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Administrator\Desktop\慧忠里-军队\"/>
    </mc:Choice>
  </mc:AlternateContent>
  <xr:revisionPtr revIDLastSave="0" documentId="13_ncr:1_{CF59F149-B4A4-497E-A938-2D4DD68424BF}" xr6:coauthVersionLast="45" xr6:coauthVersionMax="46" xr10:uidLastSave="{00000000-0000-0000-0000-000000000000}"/>
  <bookViews>
    <workbookView xWindow="-120" yWindow="-120" windowWidth="21840" windowHeight="1314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案例" sheetId="63" state="hidden" r:id="rId37"/>
    <sheet name="存贷款利率" sheetId="61" state="hidden" r:id="rId38"/>
    <sheet name="Sheet1" sheetId="66" r:id="rId39"/>
  </sheets>
  <externalReferences>
    <externalReference r:id="rId40"/>
    <externalReference r:id="rId41"/>
  </externalReferences>
  <definedNames>
    <definedName name="_xlnm._FilterDatabase" localSheetId="38" hidden="1">Sheet1!$A$2:$IU$983</definedName>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地下">'[1]2014基准地价'!$B$33:$B$39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季度2014">[1]地价!$A$3:$A$33</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3" i="21" l="1"/>
  <c r="G33" i="21"/>
  <c r="E33" i="21"/>
  <c r="I47" i="21"/>
  <c r="G47" i="21"/>
  <c r="E47" i="21"/>
  <c r="I7" i="21"/>
  <c r="G7" i="21"/>
  <c r="E7" i="21"/>
  <c r="I5" i="21"/>
  <c r="G5" i="21"/>
  <c r="E5" i="21"/>
  <c r="C6" i="11" l="1"/>
  <c r="G26" i="1" l="1"/>
  <c r="H27" i="1" s="1"/>
  <c r="C37" i="21" l="1"/>
  <c r="I15" i="1" l="1"/>
  <c r="I17" i="1" s="1"/>
  <c r="E37" i="21" l="1"/>
  <c r="D94" i="21"/>
  <c r="C94" i="21"/>
  <c r="I24" i="1" l="1"/>
  <c r="L23" i="1"/>
  <c r="K24" i="1" s="1"/>
  <c r="L24" i="1" l="1"/>
  <c r="D29" i="43"/>
  <c r="G13" i="61" l="1"/>
  <c r="F13" i="61"/>
  <c r="E13" i="61"/>
  <c r="G14" i="61"/>
  <c r="F14" i="61"/>
  <c r="E14" i="61"/>
  <c r="G15" i="61"/>
  <c r="F15" i="61"/>
  <c r="E15" i="61"/>
  <c r="E16" i="61"/>
  <c r="F16" i="61"/>
  <c r="G16" i="61"/>
  <c r="G17" i="61"/>
  <c r="F17" i="61"/>
  <c r="E17" i="61"/>
  <c r="AH5" i="59" l="1"/>
  <c r="AG5" i="59"/>
  <c r="AE5" i="59"/>
  <c r="AF5" i="59" s="1"/>
  <c r="AD5" i="59"/>
  <c r="Q5" i="59"/>
  <c r="P5" i="59"/>
  <c r="O5" i="59"/>
  <c r="N5" i="59"/>
  <c r="AH6" i="59" l="1"/>
  <c r="AG6" i="59"/>
  <c r="AE6" i="59"/>
  <c r="AF6" i="59" s="1"/>
  <c r="AD6" i="59"/>
  <c r="Q6" i="59"/>
  <c r="P6" i="59"/>
  <c r="O6" i="59"/>
  <c r="N6" i="59"/>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s="1"/>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s="1"/>
  <c r="AD12" i="59"/>
  <c r="AH13" i="59"/>
  <c r="AG13" i="59"/>
  <c r="AE13" i="59"/>
  <c r="AF13" i="59" s="1"/>
  <c r="AD13" i="59"/>
  <c r="Q13" i="59"/>
  <c r="P13" i="59"/>
  <c r="O13" i="59"/>
  <c r="N13" i="59"/>
  <c r="L3" i="59"/>
  <c r="AH3" i="59" s="1"/>
  <c r="K3" i="59"/>
  <c r="AG3" i="59" s="1"/>
  <c r="J3" i="59"/>
  <c r="AE3" i="59" s="1"/>
  <c r="I3" i="59"/>
  <c r="AD3" i="59" s="1"/>
  <c r="AH14" i="59"/>
  <c r="AG14" i="59"/>
  <c r="AE14" i="59"/>
  <c r="AF14" i="59" s="1"/>
  <c r="AD14" i="59"/>
  <c r="Q14" i="59"/>
  <c r="Q15" i="59"/>
  <c r="P14" i="59"/>
  <c r="P15" i="59"/>
  <c r="O14" i="59"/>
  <c r="O15" i="59"/>
  <c r="N14" i="59"/>
  <c r="N15" i="59"/>
  <c r="N16" i="59"/>
  <c r="O16" i="59"/>
  <c r="P16" i="59"/>
  <c r="Q16" i="59"/>
  <c r="AD15" i="59"/>
  <c r="AE15" i="59"/>
  <c r="AF15" i="59" s="1"/>
  <c r="AG15" i="59"/>
  <c r="AH15" i="59"/>
  <c r="M48" i="15"/>
  <c r="B2" i="1"/>
  <c r="F30" i="1" s="1"/>
  <c r="B24" i="1"/>
  <c r="J50" i="15"/>
  <c r="J51" i="15"/>
  <c r="B26" i="1"/>
  <c r="AH16" i="59"/>
  <c r="AG16" i="59"/>
  <c r="AE16" i="59"/>
  <c r="AF16" i="59" s="1"/>
  <c r="AD16" i="59"/>
  <c r="AH17" i="59"/>
  <c r="AG17" i="59"/>
  <c r="AE17" i="59"/>
  <c r="AF17" i="59" s="1"/>
  <c r="AD17" i="59"/>
  <c r="Q17" i="59"/>
  <c r="F17" i="59" s="1"/>
  <c r="V17" i="59" s="1"/>
  <c r="P17" i="59"/>
  <c r="E17" i="59" s="1"/>
  <c r="O17" i="59"/>
  <c r="C17" i="59" s="1"/>
  <c r="N17" i="59"/>
  <c r="Q18" i="59"/>
  <c r="P18" i="59"/>
  <c r="O18" i="59"/>
  <c r="N18" i="59"/>
  <c r="D18" i="59"/>
  <c r="A2" i="50"/>
  <c r="K60" i="15"/>
  <c r="P59" i="15" s="1"/>
  <c r="A127" i="57"/>
  <c r="A6" i="52" s="1"/>
  <c r="B64" i="60" s="1"/>
  <c r="A123" i="9"/>
  <c r="A16" i="54"/>
  <c r="B14" i="60" s="1"/>
  <c r="A14" i="54"/>
  <c r="B12" i="60" s="1"/>
  <c r="A19" i="55"/>
  <c r="B49" i="60" s="1"/>
  <c r="A13" i="55"/>
  <c r="B43" i="60" s="1"/>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H32" i="59"/>
  <c r="AG32" i="59"/>
  <c r="AE32" i="59"/>
  <c r="AD32" i="59"/>
  <c r="AF32" i="59"/>
  <c r="AD33" i="59"/>
  <c r="AE33" i="59"/>
  <c r="AF33" i="59" s="1"/>
  <c r="AG33" i="59"/>
  <c r="AH33" i="59"/>
  <c r="S5" i="31"/>
  <c r="M5" i="31"/>
  <c r="N5" i="31"/>
  <c r="O5" i="31"/>
  <c r="P5" i="31"/>
  <c r="Q5" i="31"/>
  <c r="R5" i="31"/>
  <c r="C1" i="61"/>
  <c r="L1" i="61" s="1"/>
  <c r="B68" i="60"/>
  <c r="D28" i="57"/>
  <c r="D29" i="57"/>
  <c r="D28" i="9"/>
  <c r="D29" i="9"/>
  <c r="A10" i="54"/>
  <c r="B9" i="60" s="1"/>
  <c r="Y12" i="43"/>
  <c r="Y10" i="43"/>
  <c r="AJ9" i="43"/>
  <c r="AJ12" i="43"/>
  <c r="AI9" i="43"/>
  <c r="AI12" i="43" s="1"/>
  <c r="AH9" i="43"/>
  <c r="AH10" i="43" s="1"/>
  <c r="AG9" i="43"/>
  <c r="AG12" i="43" s="1"/>
  <c r="AF9" i="43"/>
  <c r="AF12" i="43" s="1"/>
  <c r="AE9" i="43"/>
  <c r="AE12" i="43" s="1"/>
  <c r="AD9" i="43"/>
  <c r="AD12" i="43" s="1"/>
  <c r="AC9" i="43"/>
  <c r="AB9" i="43"/>
  <c r="AB12" i="43" s="1"/>
  <c r="AA9" i="43"/>
  <c r="AA12" i="43" s="1"/>
  <c r="Z9" i="43"/>
  <c r="Z12" i="43" s="1"/>
  <c r="AA10" i="43"/>
  <c r="AG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F112" i="9"/>
  <c r="B45" i="50"/>
  <c r="B59" i="60" s="1"/>
  <c r="D2" i="52"/>
  <c r="B60" i="60" s="1"/>
  <c r="B10" i="50"/>
  <c r="B31" i="50" s="1"/>
  <c r="C6" i="50"/>
  <c r="B18" i="60" s="1"/>
  <c r="A13" i="54"/>
  <c r="B10" i="60" s="1"/>
  <c r="B51" i="60"/>
  <c r="B50" i="60"/>
  <c r="B47" i="60"/>
  <c r="B16" i="60"/>
  <c r="B51" i="10"/>
  <c r="A15" i="55"/>
  <c r="B45" i="60" s="1"/>
  <c r="B44" i="60"/>
  <c r="C10" i="50"/>
  <c r="B24" i="60" s="1"/>
  <c r="C7" i="50"/>
  <c r="C15" i="50" s="1"/>
  <c r="C35" i="50"/>
  <c r="C34" i="50"/>
  <c r="C33" i="50"/>
  <c r="B13" i="60"/>
  <c r="C42" i="50"/>
  <c r="C36" i="50"/>
  <c r="C39" i="50"/>
  <c r="I19" i="43"/>
  <c r="A136" i="57"/>
  <c r="F119" i="57"/>
  <c r="D82" i="59"/>
  <c r="F81" i="59"/>
  <c r="F80" i="59" s="1"/>
  <c r="F79" i="59" s="1"/>
  <c r="E81" i="59"/>
  <c r="E80" i="59" s="1"/>
  <c r="E79" i="59" s="1"/>
  <c r="C81" i="59"/>
  <c r="C80" i="59" s="1"/>
  <c r="B81" i="59"/>
  <c r="B80" i="59" s="1"/>
  <c r="B79" i="59" s="1"/>
  <c r="D78" i="59"/>
  <c r="F77" i="59"/>
  <c r="F76" i="59" s="1"/>
  <c r="F75" i="59" s="1"/>
  <c r="E77" i="59"/>
  <c r="E76" i="59" s="1"/>
  <c r="E75" i="59" s="1"/>
  <c r="C77" i="59"/>
  <c r="D77" i="59" s="1"/>
  <c r="B77" i="59"/>
  <c r="B76" i="59" s="1"/>
  <c r="B75" i="59" s="1"/>
  <c r="D74" i="59"/>
  <c r="Q73" i="59"/>
  <c r="P73" i="59"/>
  <c r="O73" i="59"/>
  <c r="N73" i="59"/>
  <c r="F73" i="59"/>
  <c r="E73" i="59"/>
  <c r="U73" i="59" s="1"/>
  <c r="C73" i="59"/>
  <c r="C72" i="59" s="1"/>
  <c r="D72" i="59" s="1"/>
  <c r="B73" i="59"/>
  <c r="S73" i="59" s="1"/>
  <c r="Q72" i="59"/>
  <c r="P72" i="59"/>
  <c r="O72" i="59"/>
  <c r="N72" i="59"/>
  <c r="Q71" i="59"/>
  <c r="P71" i="59"/>
  <c r="O71" i="59"/>
  <c r="N71" i="59"/>
  <c r="Q70" i="59"/>
  <c r="P70" i="59"/>
  <c r="O70" i="59"/>
  <c r="N70" i="59"/>
  <c r="D70" i="59"/>
  <c r="Q69" i="59"/>
  <c r="P69" i="59"/>
  <c r="O69" i="59"/>
  <c r="N69" i="59"/>
  <c r="F69" i="59"/>
  <c r="V69" i="59" s="1"/>
  <c r="E69" i="59"/>
  <c r="U69" i="59" s="1"/>
  <c r="C69" i="59"/>
  <c r="D69" i="59" s="1"/>
  <c r="T69" i="59"/>
  <c r="B69" i="59"/>
  <c r="S69" i="59" s="1"/>
  <c r="Q68" i="59"/>
  <c r="P68" i="59"/>
  <c r="O68" i="59"/>
  <c r="N68" i="59"/>
  <c r="Q67" i="59"/>
  <c r="P67" i="59"/>
  <c r="O67" i="59"/>
  <c r="N67" i="59"/>
  <c r="Q66" i="59"/>
  <c r="P66" i="59"/>
  <c r="O66" i="59"/>
  <c r="N66" i="59"/>
  <c r="D66" i="59"/>
  <c r="Q65" i="59"/>
  <c r="P65" i="59"/>
  <c r="O65" i="59"/>
  <c r="N65" i="59"/>
  <c r="F65" i="59"/>
  <c r="V65" i="59" s="1"/>
  <c r="E65" i="59"/>
  <c r="U65" i="59" s="1"/>
  <c r="C65" i="59"/>
  <c r="B65" i="59"/>
  <c r="S65" i="59" s="1"/>
  <c r="Q64" i="59"/>
  <c r="P64" i="59"/>
  <c r="O64" i="59"/>
  <c r="N64" i="59"/>
  <c r="Q63" i="59"/>
  <c r="P63" i="59"/>
  <c r="O63" i="59"/>
  <c r="N63" i="59"/>
  <c r="Q62" i="59"/>
  <c r="P62" i="59"/>
  <c r="O62" i="59"/>
  <c r="N62" i="59"/>
  <c r="D62" i="59"/>
  <c r="F61" i="59"/>
  <c r="V61" i="59" s="1"/>
  <c r="E61" i="59"/>
  <c r="E60" i="59" s="1"/>
  <c r="E59" i="59" s="1"/>
  <c r="P58" i="59" s="1"/>
  <c r="C61" i="59"/>
  <c r="O61" i="59" s="1"/>
  <c r="B61" i="59"/>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P50" i="59"/>
  <c r="E51" i="59" s="1"/>
  <c r="O50" i="59"/>
  <c r="C51" i="59" s="1"/>
  <c r="C52" i="59" s="1"/>
  <c r="N50" i="59"/>
  <c r="B51" i="59" s="1"/>
  <c r="D50" i="59"/>
  <c r="Q49" i="59"/>
  <c r="P49" i="59"/>
  <c r="O49" i="59"/>
  <c r="N49" i="59"/>
  <c r="Q48" i="59"/>
  <c r="P48" i="59"/>
  <c r="O48" i="59"/>
  <c r="N48" i="59"/>
  <c r="Q47" i="59"/>
  <c r="P47" i="59"/>
  <c r="O47" i="59"/>
  <c r="N47" i="59"/>
  <c r="Q46" i="59"/>
  <c r="F47" i="59" s="1"/>
  <c r="F48" i="59" s="1"/>
  <c r="F49" i="59" s="1"/>
  <c r="V49" i="59" s="1"/>
  <c r="P46" i="59"/>
  <c r="E47"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c r="B45" i="59" s="1"/>
  <c r="S45" i="59" s="1"/>
  <c r="D42" i="59"/>
  <c r="T41" i="59"/>
  <c r="Q41" i="59"/>
  <c r="P41" i="59"/>
  <c r="O41" i="59"/>
  <c r="N41" i="59"/>
  <c r="D41" i="59"/>
  <c r="Q40" i="59"/>
  <c r="P40" i="59"/>
  <c r="O40" i="59"/>
  <c r="N40" i="59"/>
  <c r="Q39" i="59"/>
  <c r="P39" i="59"/>
  <c r="O39" i="59"/>
  <c r="N39" i="59"/>
  <c r="Q38" i="59"/>
  <c r="F39" i="59" s="1"/>
  <c r="P38" i="59"/>
  <c r="E39" i="59"/>
  <c r="E40" i="59" s="1"/>
  <c r="O38" i="59"/>
  <c r="C39" i="59" s="1"/>
  <c r="N38" i="59"/>
  <c r="B39" i="59" s="1"/>
  <c r="B40" i="59" s="1"/>
  <c r="B41" i="59" s="1"/>
  <c r="S41" i="59" s="1"/>
  <c r="D38" i="59"/>
  <c r="Q37" i="59"/>
  <c r="P37" i="59"/>
  <c r="O37" i="59"/>
  <c r="N37" i="59"/>
  <c r="Q36" i="59"/>
  <c r="P36" i="59"/>
  <c r="O36" i="59"/>
  <c r="N36" i="59"/>
  <c r="Q35" i="59"/>
  <c r="P35" i="59"/>
  <c r="O35" i="59"/>
  <c r="N35" i="59"/>
  <c r="F35" i="59"/>
  <c r="F36" i="59" s="1"/>
  <c r="F37" i="59" s="1"/>
  <c r="V37" i="59" s="1"/>
  <c r="Q34" i="59"/>
  <c r="P34" i="59"/>
  <c r="E35" i="59" s="1"/>
  <c r="E36" i="59" s="1"/>
  <c r="E37" i="59" s="1"/>
  <c r="U37" i="59" s="1"/>
  <c r="O34" i="59"/>
  <c r="C35" i="59" s="1"/>
  <c r="N34" i="59"/>
  <c r="B35" i="59" s="1"/>
  <c r="D34" i="59"/>
  <c r="Q33" i="59"/>
  <c r="P33" i="59"/>
  <c r="O33" i="59"/>
  <c r="N33" i="59"/>
  <c r="Q32" i="59"/>
  <c r="AB32" i="59" s="1"/>
  <c r="P32" i="59"/>
  <c r="AA32" i="59" s="1"/>
  <c r="O32" i="59"/>
  <c r="Y32" i="59" s="1"/>
  <c r="Z32" i="59" s="1"/>
  <c r="N32" i="59"/>
  <c r="X32" i="59" s="1"/>
  <c r="Q31" i="59"/>
  <c r="P31" i="59"/>
  <c r="AA31" i="59" s="1"/>
  <c r="O31" i="59"/>
  <c r="N31" i="59"/>
  <c r="X31" i="59" s="1"/>
  <c r="Q30" i="59"/>
  <c r="P30" i="59"/>
  <c r="E31" i="59" s="1"/>
  <c r="E32" i="59" s="1"/>
  <c r="E33" i="59" s="1"/>
  <c r="O30" i="59"/>
  <c r="C31" i="59" s="1"/>
  <c r="C32" i="59" s="1"/>
  <c r="N30" i="59"/>
  <c r="B31" i="59" s="1"/>
  <c r="B32" i="59" s="1"/>
  <c r="B33" i="59" s="1"/>
  <c r="S33" i="59" s="1"/>
  <c r="D30" i="59"/>
  <c r="Q29" i="59"/>
  <c r="P29" i="59"/>
  <c r="O29" i="59"/>
  <c r="N29" i="59"/>
  <c r="Q28" i="59"/>
  <c r="P28" i="59"/>
  <c r="O28" i="59"/>
  <c r="N28" i="59"/>
  <c r="Q27" i="59"/>
  <c r="P27" i="59"/>
  <c r="O27" i="59"/>
  <c r="N27" i="59"/>
  <c r="Q26" i="59"/>
  <c r="F27" i="59" s="1"/>
  <c r="P26" i="59"/>
  <c r="E27" i="59" s="1"/>
  <c r="E28" i="59" s="1"/>
  <c r="O26" i="59"/>
  <c r="C27" i="59"/>
  <c r="D27" i="59" s="1"/>
  <c r="N26" i="59"/>
  <c r="D26" i="59"/>
  <c r="Q25" i="59"/>
  <c r="P25" i="59"/>
  <c r="O25" i="59"/>
  <c r="N25" i="59"/>
  <c r="Q24" i="59"/>
  <c r="P24" i="59"/>
  <c r="O24" i="59"/>
  <c r="N24" i="59"/>
  <c r="Q23" i="59"/>
  <c r="P23" i="59"/>
  <c r="O23" i="59"/>
  <c r="N23" i="59"/>
  <c r="Q22" i="59"/>
  <c r="F23" i="59" s="1"/>
  <c r="F24" i="59" s="1"/>
  <c r="F25" i="59" s="1"/>
  <c r="V25" i="59" s="1"/>
  <c r="P22" i="59"/>
  <c r="E23" i="59" s="1"/>
  <c r="O22" i="59"/>
  <c r="C23" i="59" s="1"/>
  <c r="N22" i="59"/>
  <c r="B23" i="59" s="1"/>
  <c r="B24" i="59" s="1"/>
  <c r="D22" i="59"/>
  <c r="O21" i="59"/>
  <c r="C21" i="59" s="1"/>
  <c r="N21" i="59"/>
  <c r="D31" i="59"/>
  <c r="P21" i="59"/>
  <c r="E64" i="59"/>
  <c r="E63" i="59" s="1"/>
  <c r="Q21" i="59"/>
  <c r="F21" i="59" s="1"/>
  <c r="T61" i="59"/>
  <c r="C60" i="59"/>
  <c r="O60" i="59" s="1"/>
  <c r="C68" i="59"/>
  <c r="D68" i="59" s="1"/>
  <c r="D73" i="59"/>
  <c r="C76" i="59"/>
  <c r="D76" i="59" s="1"/>
  <c r="D32" i="59"/>
  <c r="Q25" i="40"/>
  <c r="Z25" i="40" s="1"/>
  <c r="E94" i="40"/>
  <c r="F94" i="40" s="1"/>
  <c r="G94" i="40" s="1"/>
  <c r="D94" i="40"/>
  <c r="H25" i="40"/>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F21" i="37"/>
  <c r="S21" i="37" s="1"/>
  <c r="C21" i="37"/>
  <c r="Q21" i="34"/>
  <c r="Z21" i="34" s="1"/>
  <c r="D84" i="34"/>
  <c r="E84" i="34" s="1"/>
  <c r="F84" i="34" s="1"/>
  <c r="F21" i="34"/>
  <c r="S21" i="34" s="1"/>
  <c r="C21" i="34"/>
  <c r="Q21" i="33"/>
  <c r="Z21" i="33" s="1"/>
  <c r="D83" i="33"/>
  <c r="E83" i="33" s="1"/>
  <c r="F83" i="33" s="1"/>
  <c r="G83" i="33" s="1"/>
  <c r="H21" i="33"/>
  <c r="U21" i="33" s="1"/>
  <c r="F21" i="33"/>
  <c r="AA21" i="33" s="1"/>
  <c r="C21" i="33"/>
  <c r="Q21" i="21"/>
  <c r="Z21" i="21" s="1"/>
  <c r="D83" i="21"/>
  <c r="E83" i="21" s="1"/>
  <c r="F83" i="21" s="1"/>
  <c r="C21" i="21"/>
  <c r="G20" i="20"/>
  <c r="B86" i="43" s="1"/>
  <c r="C22" i="20"/>
  <c r="B75" i="43" s="1"/>
  <c r="S18" i="36"/>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E15" i="58"/>
  <c r="I14" i="58"/>
  <c r="I13" i="58"/>
  <c r="I12" i="58"/>
  <c r="I9" i="58"/>
  <c r="I8" i="58"/>
  <c r="I7" i="58"/>
  <c r="I6" i="58"/>
  <c r="I5" i="58"/>
  <c r="I4" i="58"/>
  <c r="I10" i="58" s="1"/>
  <c r="I3" i="58"/>
  <c r="G57" i="40"/>
  <c r="C57" i="40" s="1"/>
  <c r="G56" i="40"/>
  <c r="C56" i="40" s="1"/>
  <c r="B21" i="50"/>
  <c r="B42" i="50" s="1"/>
  <c r="D1" i="43"/>
  <c r="F113" i="43"/>
  <c r="N99" i="43"/>
  <c r="N100" i="43" s="1"/>
  <c r="M99" i="43"/>
  <c r="M108" i="43" s="1"/>
  <c r="L99" i="43"/>
  <c r="K99" i="43"/>
  <c r="K108" i="43" s="1"/>
  <c r="J99" i="43"/>
  <c r="J108" i="43"/>
  <c r="I99" i="43"/>
  <c r="I108" i="43" s="1"/>
  <c r="H99" i="43"/>
  <c r="G99" i="43"/>
  <c r="G100" i="43" s="1"/>
  <c r="G108" i="43"/>
  <c r="F99" i="43"/>
  <c r="F108" i="43" s="1"/>
  <c r="E99" i="43"/>
  <c r="E100" i="43" s="1"/>
  <c r="D99" i="43"/>
  <c r="C99" i="43"/>
  <c r="C100" i="43" s="1"/>
  <c r="J100" i="43"/>
  <c r="B84" i="43"/>
  <c r="B83" i="43"/>
  <c r="B72" i="43"/>
  <c r="B61" i="43"/>
  <c r="B50" i="43"/>
  <c r="M78" i="43"/>
  <c r="N78" i="43" s="1"/>
  <c r="K78" i="43"/>
  <c r="J78" i="43" s="1"/>
  <c r="D78" i="43"/>
  <c r="M77" i="43"/>
  <c r="N77" i="43"/>
  <c r="K77" i="43"/>
  <c r="J77" i="43"/>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c r="D71" i="43"/>
  <c r="M70" i="43"/>
  <c r="N70" i="43" s="1"/>
  <c r="K70" i="43"/>
  <c r="J70" i="43" s="1"/>
  <c r="D70" i="43"/>
  <c r="M67" i="43"/>
  <c r="N67" i="43"/>
  <c r="K67" i="43"/>
  <c r="J67" i="43" s="1"/>
  <c r="D67" i="43"/>
  <c r="M66" i="43"/>
  <c r="N66" i="43" s="1"/>
  <c r="K66" i="43"/>
  <c r="J66" i="43" s="1"/>
  <c r="D66" i="43"/>
  <c r="M65" i="43"/>
  <c r="N65" i="43" s="1"/>
  <c r="K65" i="43"/>
  <c r="J65" i="43" s="1"/>
  <c r="D65" i="43"/>
  <c r="M64" i="43"/>
  <c r="N64" i="43"/>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Y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c r="R200" i="31"/>
  <c r="T200" i="31" s="1"/>
  <c r="R201" i="31"/>
  <c r="T201" i="31" s="1"/>
  <c r="R202" i="31"/>
  <c r="T202" i="31"/>
  <c r="R203" i="31"/>
  <c r="T203" i="31" s="1"/>
  <c r="R204" i="31"/>
  <c r="T204" i="31" s="1"/>
  <c r="R205" i="31"/>
  <c r="T205" i="31" s="1"/>
  <c r="R206" i="31"/>
  <c r="T206" i="31" s="1"/>
  <c r="R207" i="31"/>
  <c r="T207" i="3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H36" i="39" s="1"/>
  <c r="AB36" i="39" s="1"/>
  <c r="J30" i="36"/>
  <c r="H30" i="36"/>
  <c r="AB30" i="36" s="1"/>
  <c r="F30" i="36"/>
  <c r="AA30" i="36" s="1"/>
  <c r="C79" i="35"/>
  <c r="J31" i="35"/>
  <c r="H31" i="35"/>
  <c r="AB31" i="35" s="1"/>
  <c r="F31" i="35"/>
  <c r="D87" i="35"/>
  <c r="E87" i="35" s="1"/>
  <c r="F87" i="35" s="1"/>
  <c r="G87" i="35" s="1"/>
  <c r="H87" i="35" s="1"/>
  <c r="I87" i="35" s="1"/>
  <c r="J87" i="35" s="1"/>
  <c r="K87" i="35" s="1"/>
  <c r="L87" i="35" s="1"/>
  <c r="M87" i="35" s="1"/>
  <c r="H29" i="35"/>
  <c r="AB29" i="35" s="1"/>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c r="D96" i="40"/>
  <c r="E96" i="40" s="1"/>
  <c r="B95" i="40"/>
  <c r="H27" i="40" s="1"/>
  <c r="D92" i="40"/>
  <c r="E92" i="40" s="1"/>
  <c r="F92" i="40" s="1"/>
  <c r="G92" i="40" s="1"/>
  <c r="D90" i="40"/>
  <c r="E90" i="40" s="1"/>
  <c r="D88" i="40"/>
  <c r="E88" i="40" s="1"/>
  <c r="F88" i="40" s="1"/>
  <c r="G88" i="40" s="1"/>
  <c r="D86" i="40"/>
  <c r="E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U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H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AB8" i="39" s="1"/>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J12" i="36" s="1"/>
  <c r="W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J24" i="35" s="1"/>
  <c r="B73" i="35"/>
  <c r="H23" i="35" s="1"/>
  <c r="U23" i="35" s="1"/>
  <c r="B57" i="35"/>
  <c r="B61" i="35"/>
  <c r="B59" i="35"/>
  <c r="B131" i="34"/>
  <c r="J47" i="34" s="1"/>
  <c r="B129" i="34"/>
  <c r="B127" i="34"/>
  <c r="B99" i="34"/>
  <c r="B97" i="34"/>
  <c r="B95" i="34"/>
  <c r="B93" i="34"/>
  <c r="B75" i="34"/>
  <c r="H14" i="34" s="1"/>
  <c r="B73" i="34"/>
  <c r="B71" i="34"/>
  <c r="F12" i="34" s="1"/>
  <c r="B130" i="33"/>
  <c r="B128" i="33"/>
  <c r="F45" i="33" s="1"/>
  <c r="B126" i="33"/>
  <c r="H44" i="33" s="1"/>
  <c r="B98" i="33"/>
  <c r="B96" i="33"/>
  <c r="B94" i="33"/>
  <c r="J29" i="33" s="1"/>
  <c r="AC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c r="G79" i="33" s="1"/>
  <c r="D77" i="33"/>
  <c r="E77" i="33"/>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AB12" i="33" s="1"/>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7" i="39" s="1"/>
  <c r="C20" i="20"/>
  <c r="C18" i="20"/>
  <c r="B71" i="43" s="1"/>
  <c r="C17" i="20"/>
  <c r="B59" i="43" s="1"/>
  <c r="C16" i="20"/>
  <c r="B48" i="43" s="1"/>
  <c r="C15" i="20"/>
  <c r="B70" i="43" s="1"/>
  <c r="E54" i="21"/>
  <c r="F54" i="21" s="1"/>
  <c r="I54" i="21"/>
  <c r="J54" i="21" s="1"/>
  <c r="G54" i="21"/>
  <c r="H54" i="21" s="1"/>
  <c r="D125" i="21"/>
  <c r="F43" i="21" s="1"/>
  <c r="S43"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B128" i="21"/>
  <c r="B126" i="21"/>
  <c r="H44" i="21" s="1"/>
  <c r="B98" i="21"/>
  <c r="B96" i="21"/>
  <c r="B94" i="21"/>
  <c r="B92" i="21"/>
  <c r="H28" i="21" s="1"/>
  <c r="AB28" i="21" s="1"/>
  <c r="B90" i="21"/>
  <c r="B74" i="21"/>
  <c r="B72" i="21"/>
  <c r="B70" i="21"/>
  <c r="J12" i="21" s="1"/>
  <c r="AC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H38" i="21"/>
  <c r="U38" i="21" s="1"/>
  <c r="H43" i="21"/>
  <c r="AB43" i="21" s="1"/>
  <c r="F38" i="21"/>
  <c r="AA38" i="21" s="1"/>
  <c r="F36" i="21"/>
  <c r="S36" i="21" s="1"/>
  <c r="F39" i="21"/>
  <c r="S39" i="21" s="1"/>
  <c r="H35" i="21"/>
  <c r="AB35" i="21" s="1"/>
  <c r="J8" i="21"/>
  <c r="AC8" i="21" s="1"/>
  <c r="H8" i="21"/>
  <c r="U8" i="21" s="1"/>
  <c r="H10" i="21"/>
  <c r="AB10" i="21" s="1"/>
  <c r="H36" i="21"/>
  <c r="U36" i="21" s="1"/>
  <c r="F35" i="21"/>
  <c r="AA35" i="21" s="1"/>
  <c r="J10" i="21"/>
  <c r="AC10" i="21" s="1"/>
  <c r="H26" i="21"/>
  <c r="AB26" i="21" s="1"/>
  <c r="F26" i="21"/>
  <c r="S26" i="21" s="1"/>
  <c r="U41" i="21"/>
  <c r="S41" i="21"/>
  <c r="AA41" i="21"/>
  <c r="W41" i="21"/>
  <c r="J45" i="39"/>
  <c r="W45" i="39" s="1"/>
  <c r="J44" i="39"/>
  <c r="F36" i="39"/>
  <c r="S36" i="39" s="1"/>
  <c r="J36" i="39"/>
  <c r="AC36" i="39" s="1"/>
  <c r="S8" i="39"/>
  <c r="U38" i="39"/>
  <c r="H32" i="37"/>
  <c r="AB32" i="37" s="1"/>
  <c r="U8" i="37"/>
  <c r="F39" i="37"/>
  <c r="W30" i="37"/>
  <c r="F29" i="36"/>
  <c r="AA29" i="36" s="1"/>
  <c r="F16" i="36"/>
  <c r="S16" i="36" s="1"/>
  <c r="U22" i="36"/>
  <c r="AA31" i="36"/>
  <c r="U31" i="36"/>
  <c r="AB34" i="36"/>
  <c r="H22" i="35"/>
  <c r="AB22" i="35" s="1"/>
  <c r="S31" i="35"/>
  <c r="W31" i="35"/>
  <c r="U32" i="35"/>
  <c r="F36" i="34"/>
  <c r="AA36" i="34" s="1"/>
  <c r="H39" i="33"/>
  <c r="AB39" i="33" s="1"/>
  <c r="S40" i="33"/>
  <c r="H39" i="37"/>
  <c r="AB39" i="37" s="1"/>
  <c r="S27" i="35"/>
  <c r="F11" i="40"/>
  <c r="AA11" i="40" s="1"/>
  <c r="S8" i="40"/>
  <c r="H11" i="40"/>
  <c r="AB11" i="40" s="1"/>
  <c r="W8" i="40"/>
  <c r="U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E103" i="39"/>
  <c r="F103" i="39" s="1"/>
  <c r="G103"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U27" i="40"/>
  <c r="H23" i="40"/>
  <c r="AB23" i="40" s="1"/>
  <c r="J11" i="40"/>
  <c r="W11" i="40" s="1"/>
  <c r="AA12" i="33"/>
  <c r="F37" i="39"/>
  <c r="S37" i="39" s="1"/>
  <c r="J34" i="36"/>
  <c r="W34" i="36" s="1"/>
  <c r="U30" i="36"/>
  <c r="F22" i="35"/>
  <c r="AA22" i="35"/>
  <c r="H10" i="35"/>
  <c r="U10" i="35" s="1"/>
  <c r="U33" i="36"/>
  <c r="AB29" i="36"/>
  <c r="F33" i="36"/>
  <c r="S33" i="36" s="1"/>
  <c r="F85" i="36"/>
  <c r="G85" i="36" s="1"/>
  <c r="H85" i="36" s="1"/>
  <c r="I85" i="36" s="1"/>
  <c r="J85" i="36" s="1"/>
  <c r="K85" i="36" s="1"/>
  <c r="L85" i="36" s="1"/>
  <c r="M85" i="36" s="1"/>
  <c r="J29" i="36"/>
  <c r="AC29" i="36" s="1"/>
  <c r="F34" i="36"/>
  <c r="AA34" i="36" s="1"/>
  <c r="H20" i="36"/>
  <c r="J20" i="36"/>
  <c r="W20" i="36" s="1"/>
  <c r="AB8" i="36"/>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F28" i="34"/>
  <c r="AA28" i="34" s="1"/>
  <c r="J19" i="34"/>
  <c r="W19" i="34" s="1"/>
  <c r="J15" i="34"/>
  <c r="AC15" i="34" s="1"/>
  <c r="H15" i="34"/>
  <c r="J10" i="34"/>
  <c r="W10" i="34"/>
  <c r="H10" i="34"/>
  <c r="AB10" i="34" s="1"/>
  <c r="F41" i="33"/>
  <c r="S41" i="33" s="1"/>
  <c r="E113" i="33"/>
  <c r="J34" i="33"/>
  <c r="F36" i="33"/>
  <c r="S36" i="33" s="1"/>
  <c r="F25" i="33"/>
  <c r="S25" i="33" s="1"/>
  <c r="J25" i="33"/>
  <c r="AC25" i="33" s="1"/>
  <c r="H25" i="33"/>
  <c r="AB25" i="33" s="1"/>
  <c r="J23" i="33"/>
  <c r="AC23" i="33" s="1"/>
  <c r="F23" i="33"/>
  <c r="AA23" i="33" s="1"/>
  <c r="H23" i="33"/>
  <c r="AB23" i="33" s="1"/>
  <c r="F19" i="33"/>
  <c r="S19" i="33" s="1"/>
  <c r="J19" i="33"/>
  <c r="W19" i="33"/>
  <c r="J17" i="33"/>
  <c r="AC17" i="33" s="1"/>
  <c r="H17" i="33"/>
  <c r="AB17" i="33" s="1"/>
  <c r="J15" i="33"/>
  <c r="AC15" i="33" s="1"/>
  <c r="F11" i="33"/>
  <c r="AA11" i="33" s="1"/>
  <c r="W10" i="33"/>
  <c r="H10" i="33"/>
  <c r="U10" i="33" s="1"/>
  <c r="S10" i="21"/>
  <c r="S8" i="33"/>
  <c r="F37" i="40"/>
  <c r="AA37" i="40" s="1"/>
  <c r="F36" i="40"/>
  <c r="AA36" i="40" s="1"/>
  <c r="J27" i="40"/>
  <c r="W27" i="40" s="1"/>
  <c r="F27" i="40"/>
  <c r="S27" i="40" s="1"/>
  <c r="F23" i="40"/>
  <c r="AA23" i="40" s="1"/>
  <c r="AC34" i="36"/>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C27" i="40"/>
  <c r="AC42" i="34"/>
  <c r="W42" i="34"/>
  <c r="AA42" i="34"/>
  <c r="S42" i="34"/>
  <c r="W38" i="34"/>
  <c r="J37" i="33"/>
  <c r="AC37" i="33" s="1"/>
  <c r="J36" i="33"/>
  <c r="AC36" i="33" s="1"/>
  <c r="J11" i="33"/>
  <c r="AC11" i="33" s="1"/>
  <c r="J42" i="21"/>
  <c r="AC42" i="21" s="1"/>
  <c r="H42" i="21"/>
  <c r="U42" i="21" s="1"/>
  <c r="J10" i="35"/>
  <c r="AC10" i="35" s="1"/>
  <c r="F14" i="21"/>
  <c r="S14" i="21" s="1"/>
  <c r="J44" i="21"/>
  <c r="AC44" i="21" s="1"/>
  <c r="H26" i="33"/>
  <c r="U26" i="33" s="1"/>
  <c r="F33" i="35"/>
  <c r="S33" i="35" s="1"/>
  <c r="J33" i="35"/>
  <c r="AC33" i="35" s="1"/>
  <c r="F30" i="35"/>
  <c r="S30" i="35" s="1"/>
  <c r="E89" i="35"/>
  <c r="F89" i="35" s="1"/>
  <c r="G89" i="35" s="1"/>
  <c r="H89" i="35" s="1"/>
  <c r="I89" i="35" s="1"/>
  <c r="J89" i="35" s="1"/>
  <c r="K89" i="35" s="1"/>
  <c r="L89" i="35" s="1"/>
  <c r="M89" i="35" s="1"/>
  <c r="H10" i="36"/>
  <c r="U10" i="36" s="1"/>
  <c r="F28" i="36"/>
  <c r="AA28" i="36" s="1"/>
  <c r="J13" i="33"/>
  <c r="AC13" i="33" s="1"/>
  <c r="H13" i="33"/>
  <c r="AB13" i="33" s="1"/>
  <c r="F13" i="33"/>
  <c r="S13" i="33"/>
  <c r="H29" i="33"/>
  <c r="U29" i="33" s="1"/>
  <c r="F29" i="33"/>
  <c r="J31" i="33"/>
  <c r="W31" i="33" s="1"/>
  <c r="H31" i="33"/>
  <c r="AB31" i="33" s="1"/>
  <c r="F31" i="33"/>
  <c r="S31" i="33" s="1"/>
  <c r="H45" i="33"/>
  <c r="U45" i="33" s="1"/>
  <c r="J45" i="33"/>
  <c r="W45" i="33" s="1"/>
  <c r="J14" i="34"/>
  <c r="AC14" i="34" s="1"/>
  <c r="H30" i="34"/>
  <c r="AB30" i="34" s="1"/>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J32" i="36"/>
  <c r="W32" i="36" s="1"/>
  <c r="J11" i="36"/>
  <c r="AC11" i="36" s="1"/>
  <c r="H11" i="36"/>
  <c r="AB11" i="36" s="1"/>
  <c r="F11" i="36"/>
  <c r="AA11" i="36" s="1"/>
  <c r="H13" i="36"/>
  <c r="AB13" i="36" s="1"/>
  <c r="J13" i="36"/>
  <c r="W13" i="36" s="1"/>
  <c r="F13" i="36"/>
  <c r="S13" i="36" s="1"/>
  <c r="H36" i="37"/>
  <c r="U36" i="37" s="1"/>
  <c r="H37" i="37"/>
  <c r="AB37" i="37" s="1"/>
  <c r="AC12" i="40"/>
  <c r="W12" i="40"/>
  <c r="H14" i="33"/>
  <c r="U14" i="33" s="1"/>
  <c r="F14" i="33"/>
  <c r="S14" i="33" s="1"/>
  <c r="AA14" i="33"/>
  <c r="J14" i="33"/>
  <c r="W14" i="33" s="1"/>
  <c r="AC14" i="33"/>
  <c r="H30" i="33"/>
  <c r="AB30" i="33" s="1"/>
  <c r="F30" i="33"/>
  <c r="S30" i="33" s="1"/>
  <c r="J30" i="33"/>
  <c r="W30" i="33" s="1"/>
  <c r="AC30" i="33"/>
  <c r="J44" i="33"/>
  <c r="AC44" i="33" s="1"/>
  <c r="J46" i="33"/>
  <c r="W46" i="33" s="1"/>
  <c r="F46" i="33"/>
  <c r="S46" i="33" s="1"/>
  <c r="AA46" i="33"/>
  <c r="H46" i="33"/>
  <c r="AB46" i="33" s="1"/>
  <c r="H13" i="34"/>
  <c r="U13" i="34" s="1"/>
  <c r="J13" i="34"/>
  <c r="W13" i="34"/>
  <c r="F13" i="34"/>
  <c r="AA13" i="34" s="1"/>
  <c r="J29" i="34"/>
  <c r="W29" i="34" s="1"/>
  <c r="F29" i="34"/>
  <c r="AA29" i="34" s="1"/>
  <c r="H29" i="34"/>
  <c r="U29" i="34" s="1"/>
  <c r="J31" i="34"/>
  <c r="AC31" i="34" s="1"/>
  <c r="H31" i="34"/>
  <c r="AB31" i="34" s="1"/>
  <c r="F31" i="34"/>
  <c r="AA31" i="34" s="1"/>
  <c r="H45" i="34"/>
  <c r="U45" i="34" s="1"/>
  <c r="J45" i="34"/>
  <c r="W45" i="34" s="1"/>
  <c r="F45" i="34"/>
  <c r="S45" i="34" s="1"/>
  <c r="H47" i="34"/>
  <c r="U47" i="34" s="1"/>
  <c r="F47" i="34"/>
  <c r="S47" i="34" s="1"/>
  <c r="F13" i="35"/>
  <c r="S13" i="35" s="1"/>
  <c r="J13" i="35"/>
  <c r="W13" i="35" s="1"/>
  <c r="H13" i="35"/>
  <c r="U13" i="35" s="1"/>
  <c r="J25" i="35"/>
  <c r="W25" i="35" s="1"/>
  <c r="F25" i="35"/>
  <c r="S25" i="35" s="1"/>
  <c r="H25" i="35"/>
  <c r="AB25" i="35" s="1"/>
  <c r="J35" i="35"/>
  <c r="AC35" i="35" s="1"/>
  <c r="F35" i="35"/>
  <c r="AA35" i="35" s="1"/>
  <c r="H35" i="35"/>
  <c r="AB35" i="35" s="1"/>
  <c r="J25" i="36"/>
  <c r="W25" i="36" s="1"/>
  <c r="F25" i="36"/>
  <c r="S25" i="36" s="1"/>
  <c r="H25" i="36"/>
  <c r="AB25" i="36" s="1"/>
  <c r="H13" i="37"/>
  <c r="U13" i="37" s="1"/>
  <c r="F13" i="37"/>
  <c r="AA13" i="37" s="1"/>
  <c r="J13" i="37"/>
  <c r="W13" i="37" s="1"/>
  <c r="F28" i="37"/>
  <c r="AA28" i="37" s="1"/>
  <c r="J28" i="37"/>
  <c r="AC28" i="37" s="1"/>
  <c r="H28" i="37"/>
  <c r="AB28" i="37" s="1"/>
  <c r="H38" i="37"/>
  <c r="AB38" i="37" s="1"/>
  <c r="J38" i="37"/>
  <c r="AC38" i="37" s="1"/>
  <c r="F38" i="37"/>
  <c r="S38" i="37" s="1"/>
  <c r="F43" i="39"/>
  <c r="S43" i="39" s="1"/>
  <c r="H43" i="39"/>
  <c r="U43" i="39" s="1"/>
  <c r="J14" i="39"/>
  <c r="W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S13" i="39" s="1"/>
  <c r="J13" i="39"/>
  <c r="W13" i="39" s="1"/>
  <c r="H13" i="39"/>
  <c r="U13" i="39" s="1"/>
  <c r="H14" i="40"/>
  <c r="AB14" i="40" s="1"/>
  <c r="J14" i="40"/>
  <c r="W14" i="40"/>
  <c r="F14" i="40"/>
  <c r="AA14" i="40" s="1"/>
  <c r="J14" i="37"/>
  <c r="AC14" i="37" s="1"/>
  <c r="J10" i="36"/>
  <c r="AC10" i="36" s="1"/>
  <c r="AB45" i="33"/>
  <c r="W29" i="33"/>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c r="F23" i="37"/>
  <c r="S23" i="37" s="1"/>
  <c r="F32" i="37"/>
  <c r="S32" i="37" s="1"/>
  <c r="F39" i="33"/>
  <c r="S39" i="33" s="1"/>
  <c r="F42" i="33"/>
  <c r="AA42" i="33" s="1"/>
  <c r="F14" i="36"/>
  <c r="AA14" i="36" s="1"/>
  <c r="F22" i="36"/>
  <c r="AA22" i="36" s="1"/>
  <c r="F26" i="36"/>
  <c r="S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AB32" i="40" s="1"/>
  <c r="J36" i="40"/>
  <c r="W36" i="40" s="1"/>
  <c r="H42" i="33"/>
  <c r="U42" i="33" s="1"/>
  <c r="J23" i="37"/>
  <c r="W23" i="37" s="1"/>
  <c r="S30" i="31"/>
  <c r="U11" i="40"/>
  <c r="AB20" i="35"/>
  <c r="S28" i="37"/>
  <c r="U39" i="37"/>
  <c r="S25" i="37"/>
  <c r="AB8" i="34"/>
  <c r="AA13" i="33"/>
  <c r="AB10" i="33"/>
  <c r="H19" i="34"/>
  <c r="U19" i="34" s="1"/>
  <c r="F36" i="35"/>
  <c r="AA36" i="35" s="1"/>
  <c r="J9" i="37"/>
  <c r="W9" i="37" s="1"/>
  <c r="H9" i="37"/>
  <c r="AB9" i="37" s="1"/>
  <c r="F9" i="37"/>
  <c r="AA9" i="37" s="1"/>
  <c r="F11" i="37"/>
  <c r="S11" i="37" s="1"/>
  <c r="J42" i="39"/>
  <c r="AC42" i="39" s="1"/>
  <c r="AB27" i="40"/>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W43" i="39"/>
  <c r="AB45" i="39"/>
  <c r="H37" i="39"/>
  <c r="U37" i="39" s="1"/>
  <c r="AC37" i="39"/>
  <c r="H25" i="39"/>
  <c r="U25" i="39" s="1"/>
  <c r="J25" i="39"/>
  <c r="AC25" i="39" s="1"/>
  <c r="W25" i="39"/>
  <c r="F25" i="39"/>
  <c r="AA25" i="39" s="1"/>
  <c r="S25" i="39"/>
  <c r="F15" i="39"/>
  <c r="S15" i="39" s="1"/>
  <c r="H15" i="39"/>
  <c r="U15" i="39" s="1"/>
  <c r="J15" i="39"/>
  <c r="AC15" i="39" s="1"/>
  <c r="H41" i="39"/>
  <c r="AB41" i="39" s="1"/>
  <c r="F11" i="39"/>
  <c r="AA11" i="39" s="1"/>
  <c r="H21" i="39"/>
  <c r="U21" i="39" s="1"/>
  <c r="F32" i="39"/>
  <c r="AA32" i="39" s="1"/>
  <c r="W29" i="39"/>
  <c r="W19" i="39"/>
  <c r="S42" i="39"/>
  <c r="W39" i="39"/>
  <c r="W8" i="39"/>
  <c r="W21" i="39"/>
  <c r="J11" i="39"/>
  <c r="W11" i="39" s="1"/>
  <c r="J32" i="39"/>
  <c r="W32" i="39" s="1"/>
  <c r="E66" i="39"/>
  <c r="E61" i="40"/>
  <c r="F34" i="43"/>
  <c r="C21" i="11"/>
  <c r="C29" i="11" s="1"/>
  <c r="D27" i="11" s="1"/>
  <c r="H55" i="39"/>
  <c r="S30" i="40"/>
  <c r="G60" i="40"/>
  <c r="C60" i="40" s="1"/>
  <c r="H16" i="44"/>
  <c r="D17" i="43"/>
  <c r="I17" i="43"/>
  <c r="D108" i="9"/>
  <c r="F22" i="43"/>
  <c r="G22" i="43"/>
  <c r="H14" i="44"/>
  <c r="W40" i="39"/>
  <c r="AC20" i="35"/>
  <c r="S39" i="34"/>
  <c r="AC10" i="34"/>
  <c r="AC30" i="34"/>
  <c r="H23" i="34"/>
  <c r="U23" i="34" s="1"/>
  <c r="F33" i="34"/>
  <c r="S33" i="34" s="1"/>
  <c r="F109" i="34"/>
  <c r="G109" i="34" s="1"/>
  <c r="H109" i="34" s="1"/>
  <c r="I109" i="34" s="1"/>
  <c r="J109" i="34" s="1"/>
  <c r="K109" i="34" s="1"/>
  <c r="L109" i="34" s="1"/>
  <c r="M109" i="34" s="1"/>
  <c r="H36" i="34"/>
  <c r="AB36" i="34" s="1"/>
  <c r="F35" i="34"/>
  <c r="AA35" i="34" s="1"/>
  <c r="J35" i="34"/>
  <c r="W35" i="34" s="1"/>
  <c r="F27" i="34"/>
  <c r="S27" i="34" s="1"/>
  <c r="W34" i="34"/>
  <c r="J33" i="34"/>
  <c r="W33" i="34" s="1"/>
  <c r="J37" i="34"/>
  <c r="W37" i="34" s="1"/>
  <c r="S23" i="34"/>
  <c r="AB33" i="34"/>
  <c r="J26" i="35"/>
  <c r="W26" i="35" s="1"/>
  <c r="F26" i="35"/>
  <c r="S26" i="35" s="1"/>
  <c r="H26" i="35"/>
  <c r="AB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A14" i="52" s="1"/>
  <c r="B61" i="60" s="1"/>
  <c r="B103" i="57"/>
  <c r="B107" i="57" s="1"/>
  <c r="C112" i="57"/>
  <c r="H107" i="57" s="1"/>
  <c r="D128" i="57"/>
  <c r="D7" i="52" s="1"/>
  <c r="T27" i="31"/>
  <c r="S27" i="31"/>
  <c r="B113" i="43"/>
  <c r="I118" i="43" s="1"/>
  <c r="J118" i="43" s="1"/>
  <c r="K118" i="43" s="1"/>
  <c r="L118" i="43" s="1"/>
  <c r="M118" i="43" s="1"/>
  <c r="M101" i="43"/>
  <c r="M109" i="43" s="1"/>
  <c r="K101" i="43"/>
  <c r="K107" i="43" s="1"/>
  <c r="I101" i="43"/>
  <c r="I102" i="43" s="1"/>
  <c r="G101" i="43"/>
  <c r="G105" i="43" s="1"/>
  <c r="E101" i="43"/>
  <c r="C101" i="43"/>
  <c r="C105"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AC37" i="37" s="1"/>
  <c r="AB40" i="37"/>
  <c r="U40" i="37"/>
  <c r="AA16" i="35"/>
  <c r="AA35" i="39"/>
  <c r="U25" i="35"/>
  <c r="AB38" i="34"/>
  <c r="U38" i="34"/>
  <c r="F40" i="34"/>
  <c r="AA40" i="34" s="1"/>
  <c r="G118" i="34"/>
  <c r="U20" i="36"/>
  <c r="AB20" i="36"/>
  <c r="AA16" i="36"/>
  <c r="AC44" i="39"/>
  <c r="W44" i="39"/>
  <c r="H13" i="21"/>
  <c r="U13" i="21" s="1"/>
  <c r="J13" i="21"/>
  <c r="AC13" i="21" s="1"/>
  <c r="F13" i="21"/>
  <c r="AA13" i="21" s="1"/>
  <c r="J45" i="21"/>
  <c r="AC45" i="21" s="1"/>
  <c r="F45" i="21"/>
  <c r="S45" i="21" s="1"/>
  <c r="B41" i="47"/>
  <c r="C23" i="40"/>
  <c r="AC8" i="34"/>
  <c r="W8" i="34"/>
  <c r="W12" i="34"/>
  <c r="AC12" i="34"/>
  <c r="F9" i="34"/>
  <c r="S9" i="34" s="1"/>
  <c r="AA19" i="34"/>
  <c r="AA9" i="39"/>
  <c r="S9" i="39"/>
  <c r="J12" i="39"/>
  <c r="AC12" i="39" s="1"/>
  <c r="F12" i="39"/>
  <c r="AA12" i="39" s="1"/>
  <c r="R29" i="31"/>
  <c r="T29" i="31" s="1"/>
  <c r="F15" i="21"/>
  <c r="S15" i="21" s="1"/>
  <c r="C106" i="9"/>
  <c r="H102" i="9" s="1"/>
  <c r="J36" i="34"/>
  <c r="AC36" i="34" s="1"/>
  <c r="S8" i="34"/>
  <c r="J19" i="40"/>
  <c r="AC19" i="40" s="1"/>
  <c r="W9" i="39"/>
  <c r="H32" i="39"/>
  <c r="U32" i="39" s="1"/>
  <c r="F21" i="39"/>
  <c r="AA21" i="39" s="1"/>
  <c r="F31" i="37"/>
  <c r="AA31" i="37" s="1"/>
  <c r="U25" i="36"/>
  <c r="F17" i="37"/>
  <c r="AA17" i="37" s="1"/>
  <c r="U33" i="40"/>
  <c r="AB13" i="37"/>
  <c r="H45" i="21"/>
  <c r="AB45" i="21" s="1"/>
  <c r="J14" i="36"/>
  <c r="AC14" i="36" s="1"/>
  <c r="S15" i="34"/>
  <c r="J40" i="34"/>
  <c r="W40" i="34" s="1"/>
  <c r="S37" i="40"/>
  <c r="H19" i="33"/>
  <c r="U19" i="33" s="1"/>
  <c r="W23" i="33"/>
  <c r="AA41" i="33"/>
  <c r="J23" i="34"/>
  <c r="W23" i="34" s="1"/>
  <c r="AB17" i="39"/>
  <c r="W22" i="35"/>
  <c r="S30" i="36"/>
  <c r="E106" i="21"/>
  <c r="F106" i="21" s="1"/>
  <c r="G106" i="21" s="1"/>
  <c r="H106" i="21" s="1"/>
  <c r="I106" i="21" s="1"/>
  <c r="J106" i="21" s="1"/>
  <c r="K106" i="21" s="1"/>
  <c r="L106" i="21" s="1"/>
  <c r="M106" i="21" s="1"/>
  <c r="F34" i="21"/>
  <c r="S34" i="21" s="1"/>
  <c r="H34" i="21"/>
  <c r="U34" i="21" s="1"/>
  <c r="J34" i="21"/>
  <c r="AC34" i="21" s="1"/>
  <c r="E101" i="33"/>
  <c r="F101" i="33" s="1"/>
  <c r="G101" i="33" s="1"/>
  <c r="H101" i="33" s="1"/>
  <c r="I101" i="33" s="1"/>
  <c r="J101" i="33" s="1"/>
  <c r="K101" i="33" s="1"/>
  <c r="L101" i="33" s="1"/>
  <c r="M101" i="33" s="1"/>
  <c r="F32" i="33"/>
  <c r="AA32" i="33" s="1"/>
  <c r="W27" i="34"/>
  <c r="AC27" i="34"/>
  <c r="H28" i="34"/>
  <c r="AB28" i="34" s="1"/>
  <c r="E116" i="34"/>
  <c r="F116" i="34"/>
  <c r="G116" i="34" s="1"/>
  <c r="H116" i="34" s="1"/>
  <c r="I116" i="34" s="1"/>
  <c r="J116" i="34" s="1"/>
  <c r="K116" i="34" s="1"/>
  <c r="L116" i="34" s="1"/>
  <c r="M116" i="34" s="1"/>
  <c r="J39" i="34"/>
  <c r="W39" i="34" s="1"/>
  <c r="J27" i="36"/>
  <c r="AC27" i="36" s="1"/>
  <c r="F37" i="34"/>
  <c r="AA37" i="34" s="1"/>
  <c r="H37" i="34"/>
  <c r="U37" i="34" s="1"/>
  <c r="AC14" i="39"/>
  <c r="AC46" i="34"/>
  <c r="AA32" i="34"/>
  <c r="W34" i="33"/>
  <c r="AC34" i="33"/>
  <c r="AA14" i="35"/>
  <c r="S14" i="35"/>
  <c r="J29" i="21"/>
  <c r="AC29" i="21" s="1"/>
  <c r="H29" i="21"/>
  <c r="AB29" i="21" s="1"/>
  <c r="F29" i="21"/>
  <c r="S29" i="21" s="1"/>
  <c r="J31" i="21"/>
  <c r="W31" i="21" s="1"/>
  <c r="H31" i="21"/>
  <c r="U31" i="21" s="1"/>
  <c r="F31" i="21"/>
  <c r="AA31" i="21" s="1"/>
  <c r="H39" i="21"/>
  <c r="U39" i="21" s="1"/>
  <c r="AA9" i="21"/>
  <c r="AA15" i="33"/>
  <c r="S15" i="33"/>
  <c r="AA35" i="33"/>
  <c r="E117" i="33"/>
  <c r="F117" i="33" s="1"/>
  <c r="G117" i="33" s="1"/>
  <c r="J39" i="33"/>
  <c r="AC39" i="33" s="1"/>
  <c r="E125" i="33"/>
  <c r="H43" i="33"/>
  <c r="AB43" i="33" s="1"/>
  <c r="E91" i="33"/>
  <c r="F91" i="33" s="1"/>
  <c r="G91" i="33" s="1"/>
  <c r="H91" i="33" s="1"/>
  <c r="I91" i="33" s="1"/>
  <c r="J91" i="33" s="1"/>
  <c r="K91" i="33" s="1"/>
  <c r="L91" i="33" s="1"/>
  <c r="M91" i="33" s="1"/>
  <c r="F27" i="33"/>
  <c r="S27" i="33" s="1"/>
  <c r="H41" i="33"/>
  <c r="AB41" i="33" s="1"/>
  <c r="S12" i="34"/>
  <c r="AA12" i="34"/>
  <c r="AA11" i="34"/>
  <c r="F80" i="34"/>
  <c r="H17" i="34"/>
  <c r="U17" i="34" s="1"/>
  <c r="H16" i="35"/>
  <c r="U16" i="35" s="1"/>
  <c r="H34" i="35"/>
  <c r="U34" i="35" s="1"/>
  <c r="F34" i="35"/>
  <c r="S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S40" i="37" s="1"/>
  <c r="AB25" i="37"/>
  <c r="J29" i="35"/>
  <c r="AC29" i="35" s="1"/>
  <c r="AC30" i="36"/>
  <c r="W30" i="36"/>
  <c r="H35" i="39"/>
  <c r="U35" i="39" s="1"/>
  <c r="J35" i="39"/>
  <c r="AC35" i="39" s="1"/>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AA25" i="34" s="1"/>
  <c r="E126" i="34"/>
  <c r="F126" i="34" s="1"/>
  <c r="G126" i="34" s="1"/>
  <c r="H44" i="34"/>
  <c r="AB44" i="34" s="1"/>
  <c r="W9" i="36"/>
  <c r="AB26" i="36"/>
  <c r="U26" i="36"/>
  <c r="F20" i="36"/>
  <c r="AA20" i="36" s="1"/>
  <c r="J24" i="36"/>
  <c r="AC24" i="36" s="1"/>
  <c r="H24" i="36"/>
  <c r="AB24" i="36" s="1"/>
  <c r="F24" i="36"/>
  <c r="AA24" i="36" s="1"/>
  <c r="J26" i="37"/>
  <c r="W26" i="37" s="1"/>
  <c r="H26" i="37"/>
  <c r="AB26" i="37" s="1"/>
  <c r="F26" i="37"/>
  <c r="AA26" i="37" s="1"/>
  <c r="J23" i="39"/>
  <c r="AC23" i="39" s="1"/>
  <c r="E97" i="39"/>
  <c r="F97" i="39" s="1"/>
  <c r="G97" i="39" s="1"/>
  <c r="H15" i="37"/>
  <c r="AB15" i="37" s="1"/>
  <c r="F15" i="37"/>
  <c r="S15" i="37" s="1"/>
  <c r="F38" i="40"/>
  <c r="S38" i="40" s="1"/>
  <c r="J38" i="40"/>
  <c r="W38" i="40" s="1"/>
  <c r="H38" i="40"/>
  <c r="AB38" i="40" s="1"/>
  <c r="J40" i="40"/>
  <c r="W40" i="40" s="1"/>
  <c r="H40" i="40"/>
  <c r="AB40" i="40" s="1"/>
  <c r="F40" i="40"/>
  <c r="S40" i="40" s="1"/>
  <c r="N6" i="43"/>
  <c r="M1" i="43"/>
  <c r="F101" i="9"/>
  <c r="F33" i="9"/>
  <c r="C25" i="57"/>
  <c r="F59" i="43"/>
  <c r="H63" i="43" s="1"/>
  <c r="G15" i="47"/>
  <c r="H25" i="34"/>
  <c r="AB25" i="34" s="1"/>
  <c r="J17" i="34"/>
  <c r="AC17" i="34" s="1"/>
  <c r="G80" i="34"/>
  <c r="F17" i="34"/>
  <c r="AA17" i="34" s="1"/>
  <c r="H27" i="33"/>
  <c r="AB27" i="33" s="1"/>
  <c r="F43" i="33"/>
  <c r="AA43" i="33" s="1"/>
  <c r="F125" i="33"/>
  <c r="G125" i="33" s="1"/>
  <c r="J43" i="33"/>
  <c r="AC43" i="33" s="1"/>
  <c r="S37" i="34"/>
  <c r="H27" i="36"/>
  <c r="AB27" i="36" s="1"/>
  <c r="F27" i="36"/>
  <c r="AA27" i="36" s="1"/>
  <c r="J28" i="34"/>
  <c r="W28" i="34" s="1"/>
  <c r="H11" i="34"/>
  <c r="U11" i="34" s="1"/>
  <c r="J11" i="37"/>
  <c r="AC11" i="37" s="1"/>
  <c r="F23" i="39"/>
  <c r="AA23" i="39" s="1"/>
  <c r="S26" i="37"/>
  <c r="F44" i="34"/>
  <c r="S44" i="34" s="1"/>
  <c r="J44" i="34"/>
  <c r="W44" i="34" s="1"/>
  <c r="S40" i="21"/>
  <c r="U31" i="37"/>
  <c r="W27" i="37"/>
  <c r="H10" i="37"/>
  <c r="U10" i="37" s="1"/>
  <c r="S31" i="21"/>
  <c r="W27" i="36"/>
  <c r="J32" i="33"/>
  <c r="AC32" i="33" s="1"/>
  <c r="H32" i="33"/>
  <c r="AB32" i="33" s="1"/>
  <c r="W45" i="21"/>
  <c r="W13" i="21"/>
  <c r="J10" i="37"/>
  <c r="W10" i="37" s="1"/>
  <c r="H23" i="39"/>
  <c r="U23" i="39" s="1"/>
  <c r="J11" i="34"/>
  <c r="W11" i="34" s="1"/>
  <c r="J27" i="33"/>
  <c r="AC27" i="33" s="1"/>
  <c r="J25" i="34"/>
  <c r="W25" i="34" s="1"/>
  <c r="AC11"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J37" i="40"/>
  <c r="AC37" i="40" s="1"/>
  <c r="H35" i="40"/>
  <c r="H37" i="40"/>
  <c r="U37" i="40" s="1"/>
  <c r="H28" i="40"/>
  <c r="F28" i="40"/>
  <c r="AA28" i="40" s="1"/>
  <c r="J28" i="40"/>
  <c r="AC28" i="40" s="1"/>
  <c r="F98" i="40"/>
  <c r="G98" i="40" s="1"/>
  <c r="H98" i="40" s="1"/>
  <c r="I98" i="40" s="1"/>
  <c r="J98" i="40" s="1"/>
  <c r="K98" i="40" s="1"/>
  <c r="L98" i="40" s="1"/>
  <c r="M98" i="40" s="1"/>
  <c r="F21" i="40"/>
  <c r="AA21" i="40" s="1"/>
  <c r="H21" i="40"/>
  <c r="U21" i="40" s="1"/>
  <c r="F90" i="40"/>
  <c r="G90" i="40" s="1"/>
  <c r="J21" i="40"/>
  <c r="W21" i="40" s="1"/>
  <c r="W19" i="40"/>
  <c r="F86" i="40"/>
  <c r="G86" i="40" s="1"/>
  <c r="H17" i="40"/>
  <c r="AB17" i="40" s="1"/>
  <c r="J17" i="40"/>
  <c r="W17" i="40" s="1"/>
  <c r="F17" i="40"/>
  <c r="S17" i="40" s="1"/>
  <c r="F15" i="40"/>
  <c r="S15" i="40" s="1"/>
  <c r="J15" i="40"/>
  <c r="AC15" i="40" s="1"/>
  <c r="H15" i="40"/>
  <c r="AB15" i="40" s="1"/>
  <c r="AC25" i="40"/>
  <c r="W25" i="40"/>
  <c r="U19" i="40"/>
  <c r="U14" i="40"/>
  <c r="U8" i="40"/>
  <c r="S36" i="40"/>
  <c r="AA35" i="40"/>
  <c r="AC38" i="39"/>
  <c r="AC17" i="39"/>
  <c r="AA37" i="39"/>
  <c r="S23" i="39"/>
  <c r="W27" i="39"/>
  <c r="AC27" i="39"/>
  <c r="W35" i="39"/>
  <c r="U41" i="39"/>
  <c r="AB15" i="39"/>
  <c r="U42" i="39"/>
  <c r="U19" i="39"/>
  <c r="AB27" i="39"/>
  <c r="U27" i="39"/>
  <c r="AA27" i="39"/>
  <c r="S27" i="39"/>
  <c r="S40" i="39"/>
  <c r="S31" i="39"/>
  <c r="AC11" i="39"/>
  <c r="S34" i="36"/>
  <c r="S11" i="36"/>
  <c r="AC16" i="36"/>
  <c r="AC26" i="36"/>
  <c r="AA25" i="36"/>
  <c r="U14" i="36"/>
  <c r="S10" i="36"/>
  <c r="W18" i="36"/>
  <c r="AC18" i="36"/>
  <c r="AC32" i="36"/>
  <c r="AC20" i="36"/>
  <c r="W29" i="36"/>
  <c r="W28" i="36"/>
  <c r="W8" i="36"/>
  <c r="AB18" i="36"/>
  <c r="U18" i="36"/>
  <c r="S28" i="36"/>
  <c r="S29" i="36"/>
  <c r="W35" i="35"/>
  <c r="AC25" i="35"/>
  <c r="W23" i="35"/>
  <c r="S23" i="35"/>
  <c r="AB23" i="35"/>
  <c r="W14" i="35"/>
  <c r="W28" i="35"/>
  <c r="AC27" i="35"/>
  <c r="U14" i="35"/>
  <c r="U35" i="35"/>
  <c r="AB10" i="35"/>
  <c r="U8" i="35"/>
  <c r="AA13" i="35"/>
  <c r="S20" i="35"/>
  <c r="AB13" i="35"/>
  <c r="S10" i="35"/>
  <c r="S34" i="37"/>
  <c r="W32" i="37"/>
  <c r="AC12" i="37"/>
  <c r="J33" i="37"/>
  <c r="AC33" i="37" s="1"/>
  <c r="F33" i="37"/>
  <c r="AA33" i="37" s="1"/>
  <c r="H99" i="37"/>
  <c r="I99" i="37" s="1"/>
  <c r="J99" i="37" s="1"/>
  <c r="K99" i="37" s="1"/>
  <c r="L99" i="37" s="1"/>
  <c r="M99" i="37" s="1"/>
  <c r="H33" i="37"/>
  <c r="U33" i="37" s="1"/>
  <c r="AC35" i="37"/>
  <c r="W35" i="37"/>
  <c r="H35" i="37"/>
  <c r="AB35" i="37" s="1"/>
  <c r="F35" i="37"/>
  <c r="S35" i="37" s="1"/>
  <c r="E103" i="37"/>
  <c r="F103" i="37"/>
  <c r="G103" i="37" s="1"/>
  <c r="H103" i="37" s="1"/>
  <c r="I103" i="37" s="1"/>
  <c r="J103" i="37" s="1"/>
  <c r="K103" i="37" s="1"/>
  <c r="L103" i="37" s="1"/>
  <c r="M103" i="37" s="1"/>
  <c r="AC23" i="37"/>
  <c r="J19" i="37"/>
  <c r="W19" i="37" s="1"/>
  <c r="F19" i="37"/>
  <c r="AA19" i="37" s="1"/>
  <c r="G75" i="37"/>
  <c r="H19" i="37"/>
  <c r="U19" i="37" s="1"/>
  <c r="W17" i="37"/>
  <c r="AC17" i="37"/>
  <c r="AB17" i="37"/>
  <c r="J15" i="37"/>
  <c r="W15" i="37" s="1"/>
  <c r="U9" i="37"/>
  <c r="AC21" i="37"/>
  <c r="W21" i="37"/>
  <c r="W11" i="37"/>
  <c r="W14" i="37"/>
  <c r="W39" i="37"/>
  <c r="AB11" i="37"/>
  <c r="S37" i="37"/>
  <c r="AA14" i="37"/>
  <c r="AA38" i="37"/>
  <c r="AC39" i="34"/>
  <c r="AC28" i="34"/>
  <c r="AB41" i="34"/>
  <c r="S38" i="34"/>
  <c r="U43" i="34"/>
  <c r="S43" i="34"/>
  <c r="W15" i="34"/>
  <c r="U21" i="34"/>
  <c r="AB21" i="34"/>
  <c r="AA46" i="34"/>
  <c r="W42" i="33"/>
  <c r="W11" i="33"/>
  <c r="W25" i="33"/>
  <c r="U34" i="33"/>
  <c r="U38" i="33"/>
  <c r="U46" i="33"/>
  <c r="S23" i="33"/>
  <c r="U15" i="33"/>
  <c r="AB9" i="33"/>
  <c r="U9" i="33"/>
  <c r="S10" i="33"/>
  <c r="AC12" i="33"/>
  <c r="AC46" i="33"/>
  <c r="AC19" i="33"/>
  <c r="W21" i="33"/>
  <c r="AC21" i="33"/>
  <c r="U13" i="33"/>
  <c r="U39" i="33"/>
  <c r="S42" i="33"/>
  <c r="W40" i="21"/>
  <c r="AB21" i="21"/>
  <c r="U21" i="21"/>
  <c r="S13"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D22" i="15"/>
  <c r="Y25" i="31"/>
  <c r="D3" i="21"/>
  <c r="M6" i="43"/>
  <c r="M5" i="43"/>
  <c r="F81" i="43"/>
  <c r="H85"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c r="C24" i="43" s="1"/>
  <c r="AI11" i="43"/>
  <c r="AI13" i="43" s="1"/>
  <c r="AG11" i="43"/>
  <c r="AG13" i="43" s="1"/>
  <c r="AE11" i="43"/>
  <c r="AC11" i="43"/>
  <c r="AA11" i="43"/>
  <c r="Y11" i="43"/>
  <c r="Y13" i="43" s="1"/>
  <c r="AJ11" i="43"/>
  <c r="AJ13" i="43" s="1"/>
  <c r="AH11" i="43"/>
  <c r="AF11" i="43"/>
  <c r="AF13" i="43" s="1"/>
  <c r="AD11" i="43"/>
  <c r="AD13" i="43" s="1"/>
  <c r="AB11" i="43"/>
  <c r="AB13" i="43" s="1"/>
  <c r="Z11" i="43"/>
  <c r="Z13" i="43" s="1"/>
  <c r="Z7" i="43"/>
  <c r="E9" i="43"/>
  <c r="E8" i="43"/>
  <c r="E10" i="43"/>
  <c r="E11" i="43"/>
  <c r="C7" i="39"/>
  <c r="C68" i="39" s="1"/>
  <c r="C70" i="39" s="1"/>
  <c r="C53" i="10"/>
  <c r="D124" i="9"/>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5" i="43"/>
  <c r="D102" i="43"/>
  <c r="K103" i="43"/>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E105" i="43"/>
  <c r="M12" i="43"/>
  <c r="M8" i="43"/>
  <c r="N7" i="43"/>
  <c r="M3" i="43"/>
  <c r="M11" i="43"/>
  <c r="N8" i="43"/>
  <c r="H8" i="44"/>
  <c r="H12" i="44"/>
  <c r="C63" i="39"/>
  <c r="G64" i="39"/>
  <c r="C64" i="39" s="1"/>
  <c r="M85" i="43"/>
  <c r="N85" i="43" s="1"/>
  <c r="K85" i="43"/>
  <c r="J85" i="43" s="1"/>
  <c r="D85" i="43"/>
  <c r="M82" i="43"/>
  <c r="N82" i="43" s="1"/>
  <c r="K83" i="43"/>
  <c r="J83" i="43" s="1"/>
  <c r="D83" i="43"/>
  <c r="J104" i="43"/>
  <c r="N105" i="43"/>
  <c r="E106" i="43"/>
  <c r="B115" i="43"/>
  <c r="C115" i="43" s="1"/>
  <c r="M7" i="15"/>
  <c r="J6" i="15" s="1"/>
  <c r="F35" i="15"/>
  <c r="F64" i="15" s="1"/>
  <c r="E18" i="1"/>
  <c r="C34" i="11" s="1"/>
  <c r="C36" i="11" s="1"/>
  <c r="C17" i="15"/>
  <c r="A2" i="9"/>
  <c r="W23" i="40"/>
  <c r="U23" i="40"/>
  <c r="S33" i="40"/>
  <c r="AB31" i="40"/>
  <c r="AC14" i="40"/>
  <c r="AC13" i="40"/>
  <c r="S11" i="40"/>
  <c r="AB32" i="39"/>
  <c r="AB37" i="39"/>
  <c r="W42" i="39"/>
  <c r="W34" i="39"/>
  <c r="S11" i="39"/>
  <c r="U40" i="39"/>
  <c r="AB43" i="39"/>
  <c r="U11" i="39"/>
  <c r="S34" i="39"/>
  <c r="S39" i="39"/>
  <c r="U9" i="39"/>
  <c r="S20" i="36"/>
  <c r="AA13" i="36"/>
  <c r="AA33" i="36"/>
  <c r="S8" i="36"/>
  <c r="U33" i="35"/>
  <c r="W33" i="35"/>
  <c r="S36" i="35"/>
  <c r="U22" i="35"/>
  <c r="AA33" i="35"/>
  <c r="AA29" i="35"/>
  <c r="S22" i="35"/>
  <c r="U28" i="35"/>
  <c r="AB27" i="35"/>
  <c r="S35" i="35"/>
  <c r="AA25" i="35"/>
  <c r="S28" i="35"/>
  <c r="AC34" i="37"/>
  <c r="U29" i="37"/>
  <c r="U26" i="37"/>
  <c r="AC13" i="37"/>
  <c r="U38" i="37"/>
  <c r="S9" i="37"/>
  <c r="G84" i="34"/>
  <c r="J21" i="34"/>
  <c r="W21" i="34" s="1"/>
  <c r="AC19" i="34"/>
  <c r="AC23" i="34"/>
  <c r="AB37" i="34"/>
  <c r="W41" i="34"/>
  <c r="AA45" i="34"/>
  <c r="AB45" i="34"/>
  <c r="AB27" i="34"/>
  <c r="W43" i="34"/>
  <c r="U34" i="34"/>
  <c r="S34" i="34"/>
  <c r="AC33" i="34"/>
  <c r="AA33" i="34"/>
  <c r="S35" i="34"/>
  <c r="U31" i="34"/>
  <c r="AC45" i="34"/>
  <c r="AC13" i="34"/>
  <c r="U10" i="34"/>
  <c r="S13" i="34"/>
  <c r="AB29" i="34"/>
  <c r="U37" i="33"/>
  <c r="U33" i="33"/>
  <c r="U30" i="33"/>
  <c r="AB26" i="33"/>
  <c r="AA36" i="33"/>
  <c r="W35" i="33"/>
  <c r="W40" i="33"/>
  <c r="S33" i="33"/>
  <c r="U35" i="33"/>
  <c r="AC45" i="33"/>
  <c r="AB29" i="33"/>
  <c r="AB36" i="33"/>
  <c r="W15" i="33"/>
  <c r="AA19" i="33"/>
  <c r="W8" i="33"/>
  <c r="G83" i="21"/>
  <c r="J21" i="21"/>
  <c r="W21" i="21" s="1"/>
  <c r="AA25" i="21"/>
  <c r="W12" i="21"/>
  <c r="S35" i="21"/>
  <c r="C15" i="39"/>
  <c r="C17" i="39"/>
  <c r="C19" i="39"/>
  <c r="C15" i="40"/>
  <c r="C17" i="40"/>
  <c r="B54" i="43"/>
  <c r="B65" i="43"/>
  <c r="U30" i="40"/>
  <c r="B49" i="43"/>
  <c r="B52" i="43"/>
  <c r="B56" i="43"/>
  <c r="U35" i="40"/>
  <c r="AB35" i="40"/>
  <c r="AB37" i="40"/>
  <c r="U28" i="40"/>
  <c r="AB28" i="40"/>
  <c r="AC17" i="40"/>
  <c r="AA35" i="37"/>
  <c r="AB19" i="37"/>
  <c r="AC15" i="37"/>
  <c r="M86" i="43"/>
  <c r="N86" i="43" s="1"/>
  <c r="F34" i="11"/>
  <c r="E19" i="1"/>
  <c r="D20" i="1"/>
  <c r="D18" i="1"/>
  <c r="F50" i="11"/>
  <c r="F19" i="1"/>
  <c r="F18" i="1"/>
  <c r="C11" i="12" s="1"/>
  <c r="C15" i="12" s="1"/>
  <c r="D19" i="1"/>
  <c r="K87" i="43"/>
  <c r="J87" i="43" s="1"/>
  <c r="D87" i="43"/>
  <c r="C3" i="4"/>
  <c r="B4" i="55" s="1"/>
  <c r="B53" i="60" s="1"/>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c r="N46" i="9"/>
  <c r="H59" i="43"/>
  <c r="H9" i="44"/>
  <c r="H7" i="44"/>
  <c r="H10" i="44"/>
  <c r="N12" i="43"/>
  <c r="N4" i="43"/>
  <c r="F70" i="43" s="1"/>
  <c r="M7" i="43"/>
  <c r="N1" i="43"/>
  <c r="M10" i="43"/>
  <c r="M2" i="43"/>
  <c r="H15" i="44"/>
  <c r="H87" i="43"/>
  <c r="H5" i="44"/>
  <c r="N10" i="43"/>
  <c r="N2" i="43"/>
  <c r="N11" i="43"/>
  <c r="N9" i="43"/>
  <c r="M4" i="43"/>
  <c r="C6" i="43" s="1"/>
  <c r="N5" i="43"/>
  <c r="N3" i="43"/>
  <c r="M9" i="43"/>
  <c r="E17" i="43"/>
  <c r="N17" i="43"/>
  <c r="L17" i="43"/>
  <c r="O17" i="43"/>
  <c r="M17" i="43"/>
  <c r="J1" i="61"/>
  <c r="J52" i="15"/>
  <c r="M60" i="15" s="1"/>
  <c r="B17" i="59"/>
  <c r="B16" i="59" s="1"/>
  <c r="B15" i="59" s="1"/>
  <c r="B14" i="59" s="1"/>
  <c r="B13" i="59" s="1"/>
  <c r="AB17" i="59"/>
  <c r="AA16" i="59"/>
  <c r="X16" i="59"/>
  <c r="AB16" i="59"/>
  <c r="AA15" i="59"/>
  <c r="Y15" i="59"/>
  <c r="Z15" i="59"/>
  <c r="Y13" i="59"/>
  <c r="Z13" i="59" s="1"/>
  <c r="AB13" i="59"/>
  <c r="AB11" i="59"/>
  <c r="X13" i="59"/>
  <c r="X11" i="59"/>
  <c r="AA13" i="59"/>
  <c r="AA11" i="59"/>
  <c r="AB12" i="59"/>
  <c r="X12" i="59"/>
  <c r="J30" i="35"/>
  <c r="AC30" i="35" s="1"/>
  <c r="H30" i="35"/>
  <c r="U30" i="35" s="1"/>
  <c r="AA30" i="35"/>
  <c r="N56" i="9"/>
  <c r="O56" i="9"/>
  <c r="O58" i="57"/>
  <c r="K58" i="57"/>
  <c r="K59" i="57" s="1"/>
  <c r="K61" i="57" s="1"/>
  <c r="K63" i="57" s="1"/>
  <c r="N58" i="57"/>
  <c r="K56" i="9"/>
  <c r="K57" i="9" s="1"/>
  <c r="K59" i="9" s="1"/>
  <c r="K61" i="9" s="1"/>
  <c r="L58" i="57"/>
  <c r="X3" i="59"/>
  <c r="Y3" i="59"/>
  <c r="Z3" i="59" s="1"/>
  <c r="F48" i="43"/>
  <c r="H50" i="43" s="1"/>
  <c r="G4" i="47"/>
  <c r="I116" i="57"/>
  <c r="D133" i="57" s="1"/>
  <c r="D120" i="57"/>
  <c r="I114" i="9"/>
  <c r="D129" i="9" s="1"/>
  <c r="I112" i="9"/>
  <c r="D116" i="9"/>
  <c r="D114" i="9"/>
  <c r="D115" i="9"/>
  <c r="I113" i="9" s="1"/>
  <c r="F4" i="61"/>
  <c r="E2" i="11"/>
  <c r="E2" i="35"/>
  <c r="F5" i="61"/>
  <c r="E2" i="21"/>
  <c r="D19" i="57"/>
  <c r="C20" i="57"/>
  <c r="D4" i="61"/>
  <c r="F6" i="61"/>
  <c r="F3" i="61"/>
  <c r="E2" i="36"/>
  <c r="C19" i="57"/>
  <c r="F7" i="61"/>
  <c r="E2" i="34"/>
  <c r="E2" i="37"/>
  <c r="H23" i="31"/>
  <c r="E2" i="33"/>
  <c r="D20" i="57"/>
  <c r="AB15" i="34" l="1"/>
  <c r="U15" i="34"/>
  <c r="J14" i="21"/>
  <c r="H14" i="21"/>
  <c r="U14" i="21" s="1"/>
  <c r="F30" i="21"/>
  <c r="H30" i="21"/>
  <c r="AB30" i="21" s="1"/>
  <c r="J46" i="21"/>
  <c r="W46" i="21" s="1"/>
  <c r="H46" i="21"/>
  <c r="U46" i="21" s="1"/>
  <c r="E81" i="21"/>
  <c r="F81" i="21" s="1"/>
  <c r="G81" i="21" s="1"/>
  <c r="J19" i="21"/>
  <c r="W19" i="21" s="1"/>
  <c r="AB8" i="33"/>
  <c r="U8" i="33"/>
  <c r="H28" i="33"/>
  <c r="U28" i="33" s="1"/>
  <c r="J28" i="33"/>
  <c r="J26" i="33"/>
  <c r="F26" i="33"/>
  <c r="AB30" i="35"/>
  <c r="W30" i="35"/>
  <c r="H60" i="43"/>
  <c r="S33" i="37"/>
  <c r="W37" i="40"/>
  <c r="C7" i="43"/>
  <c r="AB17" i="34"/>
  <c r="AB10" i="37"/>
  <c r="AC26" i="35"/>
  <c r="U27" i="36"/>
  <c r="S21" i="39"/>
  <c r="W17" i="34"/>
  <c r="AA27" i="33"/>
  <c r="U25" i="34"/>
  <c r="N102" i="43"/>
  <c r="AA32" i="37"/>
  <c r="AA30" i="34"/>
  <c r="S12" i="40"/>
  <c r="S41" i="39"/>
  <c r="AC9" i="37"/>
  <c r="S11" i="33"/>
  <c r="AA30" i="33"/>
  <c r="AA11" i="35"/>
  <c r="AA36" i="39"/>
  <c r="AC45" i="39"/>
  <c r="W28" i="37"/>
  <c r="AA13" i="39"/>
  <c r="U37" i="37"/>
  <c r="U30" i="34"/>
  <c r="AA29" i="33"/>
  <c r="S29" i="33"/>
  <c r="F28" i="33"/>
  <c r="AA28" i="33" s="1"/>
  <c r="F46" i="21"/>
  <c r="AA46" i="21" s="1"/>
  <c r="J28" i="21"/>
  <c r="W28" i="21" s="1"/>
  <c r="AC11" i="40"/>
  <c r="U14" i="37"/>
  <c r="F40" i="59"/>
  <c r="F41" i="59" s="1"/>
  <c r="V41" i="59" s="1"/>
  <c r="U31" i="35"/>
  <c r="W31" i="36"/>
  <c r="W22" i="36"/>
  <c r="F45" i="39"/>
  <c r="H12" i="34"/>
  <c r="J25" i="37"/>
  <c r="I107" i="57"/>
  <c r="D127" i="57" s="1"/>
  <c r="K100" i="43"/>
  <c r="I15" i="58"/>
  <c r="E68" i="59"/>
  <c r="E67" i="59" s="1"/>
  <c r="Q61" i="59"/>
  <c r="D61" i="59"/>
  <c r="D81" i="59"/>
  <c r="AF10" i="43"/>
  <c r="W39" i="21"/>
  <c r="AB12" i="39"/>
  <c r="U12" i="39"/>
  <c r="D31" i="50"/>
  <c r="D32" i="50" s="1"/>
  <c r="C16" i="59"/>
  <c r="D17" i="59"/>
  <c r="AB44" i="33"/>
  <c r="U44" i="33"/>
  <c r="AC47" i="34"/>
  <c r="W47" i="34"/>
  <c r="E16" i="59"/>
  <c r="E15" i="59" s="1"/>
  <c r="E14" i="59" s="1"/>
  <c r="E13" i="59" s="1"/>
  <c r="U17" i="59"/>
  <c r="S45" i="33"/>
  <c r="AA45" i="33"/>
  <c r="AB9" i="34"/>
  <c r="U9" i="34"/>
  <c r="D23" i="59"/>
  <c r="C24" i="59"/>
  <c r="AC24" i="35"/>
  <c r="W24" i="35"/>
  <c r="U14" i="34"/>
  <c r="AB14" i="34"/>
  <c r="AB29" i="39"/>
  <c r="AA27" i="34"/>
  <c r="U30" i="37"/>
  <c r="W36" i="39"/>
  <c r="AH13" i="43"/>
  <c r="AA11" i="37"/>
  <c r="H86" i="43"/>
  <c r="W28" i="40"/>
  <c r="AB47" i="34"/>
  <c r="I103" i="43"/>
  <c r="AB42" i="33"/>
  <c r="S17" i="33"/>
  <c r="AA41" i="34"/>
  <c r="S10" i="37"/>
  <c r="S22" i="36"/>
  <c r="U8" i="39"/>
  <c r="AB19" i="33"/>
  <c r="AB46" i="34"/>
  <c r="F44" i="33"/>
  <c r="F14" i="34"/>
  <c r="AA14" i="34" s="1"/>
  <c r="J30" i="21"/>
  <c r="W30" i="21" s="1"/>
  <c r="U40" i="33"/>
  <c r="S34" i="40"/>
  <c r="U39" i="34"/>
  <c r="H9" i="21"/>
  <c r="J23" i="36"/>
  <c r="I105" i="9"/>
  <c r="D123" i="9" s="1"/>
  <c r="X14" i="59"/>
  <c r="D39" i="50"/>
  <c r="D40" i="50" s="1"/>
  <c r="AC41" i="39"/>
  <c r="AB13" i="39"/>
  <c r="G103" i="43"/>
  <c r="S12" i="39"/>
  <c r="W44" i="33"/>
  <c r="AA26" i="35"/>
  <c r="S32" i="39"/>
  <c r="AC29" i="34"/>
  <c r="W14" i="34"/>
  <c r="U9" i="40"/>
  <c r="F28" i="59"/>
  <c r="F29" i="59" s="1"/>
  <c r="V29" i="59" s="1"/>
  <c r="AD10" i="43"/>
  <c r="W31" i="34"/>
  <c r="J9" i="34"/>
  <c r="AA15" i="39"/>
  <c r="W38" i="37"/>
  <c r="W36" i="33"/>
  <c r="AB28" i="33"/>
  <c r="F28" i="21"/>
  <c r="AA28" i="21" s="1"/>
  <c r="S8" i="35"/>
  <c r="F19" i="21"/>
  <c r="AA19" i="21" s="1"/>
  <c r="AE10" i="43"/>
  <c r="AH12" i="43"/>
  <c r="AA13" i="43"/>
  <c r="S24" i="36"/>
  <c r="F103" i="43"/>
  <c r="AE13" i="43"/>
  <c r="AC41" i="33"/>
  <c r="AA19" i="40"/>
  <c r="S27" i="36"/>
  <c r="U29" i="35"/>
  <c r="AC37" i="34"/>
  <c r="AC13" i="39"/>
  <c r="U31" i="39"/>
  <c r="W10" i="36"/>
  <c r="F12" i="36"/>
  <c r="F21" i="21"/>
  <c r="AA21" i="21" s="1"/>
  <c r="C44" i="59"/>
  <c r="F60" i="59"/>
  <c r="F59" i="59" s="1"/>
  <c r="B68" i="59"/>
  <c r="B67" i="59" s="1"/>
  <c r="H81" i="43"/>
  <c r="W9" i="33"/>
  <c r="W37" i="33"/>
  <c r="AA44" i="34"/>
  <c r="H24" i="35"/>
  <c r="U31" i="33"/>
  <c r="H32" i="36"/>
  <c r="U32" i="36" s="1"/>
  <c r="E44" i="59"/>
  <c r="E45" i="59" s="1"/>
  <c r="U45" i="59" s="1"/>
  <c r="S32" i="33"/>
  <c r="W29" i="35"/>
  <c r="U40" i="40"/>
  <c r="B60" i="43"/>
  <c r="U32" i="33"/>
  <c r="G104" i="43"/>
  <c r="W39" i="33"/>
  <c r="AC30" i="40"/>
  <c r="AA21" i="37"/>
  <c r="E52" i="59"/>
  <c r="E53" i="59" s="1"/>
  <c r="U53" i="59" s="1"/>
  <c r="AA17" i="40"/>
  <c r="F24" i="35"/>
  <c r="AC13" i="36"/>
  <c r="AA31" i="33"/>
  <c r="C33" i="21"/>
  <c r="E13" i="1"/>
  <c r="E41" i="59"/>
  <c r="U41" i="59" s="1"/>
  <c r="F53" i="59"/>
  <c r="V53" i="59" s="1"/>
  <c r="S17" i="59"/>
  <c r="S21" i="40"/>
  <c r="U40" i="21"/>
  <c r="H12" i="36"/>
  <c r="AC31" i="33"/>
  <c r="AA25" i="33"/>
  <c r="C21" i="39"/>
  <c r="J33" i="36"/>
  <c r="W33" i="36" s="1"/>
  <c r="C75" i="59"/>
  <c r="D75" i="59" s="1"/>
  <c r="S13" i="40"/>
  <c r="T73" i="59"/>
  <c r="F106" i="43"/>
  <c r="U23" i="33"/>
  <c r="AB31" i="59"/>
  <c r="AB21" i="40"/>
  <c r="H23" i="36"/>
  <c r="W18" i="35"/>
  <c r="AB46" i="21"/>
  <c r="S46" i="21"/>
  <c r="U45" i="21"/>
  <c r="F44" i="21"/>
  <c r="AA44" i="21" s="1"/>
  <c r="W44" i="21"/>
  <c r="AC26" i="33"/>
  <c r="W26" i="33"/>
  <c r="AC34" i="35"/>
  <c r="W34" i="35"/>
  <c r="AA32" i="36"/>
  <c r="S32" i="36"/>
  <c r="S23" i="36"/>
  <c r="AA23" i="36"/>
  <c r="E48" i="43"/>
  <c r="B46" i="43" s="1"/>
  <c r="AC44" i="34"/>
  <c r="AB31" i="21"/>
  <c r="S43" i="33"/>
  <c r="S27" i="37"/>
  <c r="S25" i="34"/>
  <c r="AA40" i="37"/>
  <c r="U28" i="34"/>
  <c r="W36" i="34"/>
  <c r="AA45" i="21"/>
  <c r="AB23" i="34"/>
  <c r="AA39" i="33"/>
  <c r="AB14" i="33"/>
  <c r="AA43" i="39"/>
  <c r="U28" i="37"/>
  <c r="S13" i="37"/>
  <c r="AC25" i="36"/>
  <c r="AC13" i="35"/>
  <c r="S31" i="34"/>
  <c r="S29" i="34"/>
  <c r="W11" i="36"/>
  <c r="H15" i="21"/>
  <c r="AB15" i="21" s="1"/>
  <c r="J36" i="35"/>
  <c r="H36" i="35"/>
  <c r="U17" i="40"/>
  <c r="AB23" i="39"/>
  <c r="AC40" i="37"/>
  <c r="AA40" i="40"/>
  <c r="AA38" i="40"/>
  <c r="U24" i="36"/>
  <c r="U44" i="34"/>
  <c r="U41" i="33"/>
  <c r="AC40" i="34"/>
  <c r="W37" i="37"/>
  <c r="W15" i="39"/>
  <c r="F15" i="47"/>
  <c r="B13" i="47" s="1"/>
  <c r="C20" i="59"/>
  <c r="C19" i="59" s="1"/>
  <c r="D19" i="59" s="1"/>
  <c r="D21" i="59"/>
  <c r="T21" i="59"/>
  <c r="C53" i="59"/>
  <c r="D53" i="59" s="1"/>
  <c r="D52" i="59"/>
  <c r="AC21" i="34"/>
  <c r="S19" i="37"/>
  <c r="U35" i="37"/>
  <c r="E81" i="43"/>
  <c r="B79" i="43" s="1"/>
  <c r="W33" i="37"/>
  <c r="AA15" i="40"/>
  <c r="F26" i="47"/>
  <c r="B24" i="47" s="1"/>
  <c r="F37" i="47"/>
  <c r="B35" i="47" s="1"/>
  <c r="U32" i="40"/>
  <c r="AA26" i="36"/>
  <c r="AA47" i="34"/>
  <c r="V21" i="59"/>
  <c r="F20" i="59"/>
  <c r="F19" i="59" s="1"/>
  <c r="C40" i="59"/>
  <c r="D40" i="59" s="1"/>
  <c r="D39" i="59"/>
  <c r="U27" i="33"/>
  <c r="AC10" i="37"/>
  <c r="W32" i="33"/>
  <c r="AA34" i="35"/>
  <c r="AC26" i="37"/>
  <c r="W24" i="36"/>
  <c r="AC35" i="34"/>
  <c r="AC32" i="39"/>
  <c r="AB25" i="39"/>
  <c r="J26" i="21"/>
  <c r="W26" i="21" s="1"/>
  <c r="J43" i="21"/>
  <c r="AC43" i="21" s="1"/>
  <c r="C56" i="59"/>
  <c r="D55" i="59"/>
  <c r="C79" i="59"/>
  <c r="D79" i="59" s="1"/>
  <c r="D80" i="59"/>
  <c r="V27" i="31"/>
  <c r="V25" i="31" s="1"/>
  <c r="F100" i="43"/>
  <c r="C108" i="43"/>
  <c r="N108" i="43"/>
  <c r="N109" i="43" s="1"/>
  <c r="U18" i="35"/>
  <c r="B36" i="59"/>
  <c r="AB10" i="43"/>
  <c r="C59" i="59"/>
  <c r="C67" i="59"/>
  <c r="D67" i="59" s="1"/>
  <c r="Q60" i="59"/>
  <c r="X24" i="59"/>
  <c r="Y14" i="59"/>
  <c r="Z14" i="59" s="1"/>
  <c r="Y29" i="59"/>
  <c r="Z29" i="59" s="1"/>
  <c r="B52" i="59"/>
  <c r="B53" i="59" s="1"/>
  <c r="S53" i="59" s="1"/>
  <c r="B64" i="59"/>
  <c r="B63" i="59" s="1"/>
  <c r="F68" i="59"/>
  <c r="F67" i="59" s="1"/>
  <c r="Z10" i="43"/>
  <c r="Y30" i="59"/>
  <c r="Z30" i="59" s="1"/>
  <c r="P72" i="15"/>
  <c r="X27" i="31"/>
  <c r="F7" i="15"/>
  <c r="I20" i="58"/>
  <c r="C71" i="59"/>
  <c r="D71" i="59" s="1"/>
  <c r="P59" i="59"/>
  <c r="E24" i="59"/>
  <c r="E25" i="59" s="1"/>
  <c r="U25" i="59" s="1"/>
  <c r="AA28" i="59"/>
  <c r="AA29" i="59"/>
  <c r="C33" i="59"/>
  <c r="Y31" i="59"/>
  <c r="Z31" i="59" s="1"/>
  <c r="E48" i="59"/>
  <c r="E49" i="59" s="1"/>
  <c r="U49" i="59" s="1"/>
  <c r="P61" i="59"/>
  <c r="B72" i="59"/>
  <c r="B71" i="59" s="1"/>
  <c r="AI10" i="43"/>
  <c r="T17" i="59"/>
  <c r="AB18" i="59"/>
  <c r="U27" i="31"/>
  <c r="C48" i="59"/>
  <c r="C49" i="59" s="1"/>
  <c r="U61" i="59"/>
  <c r="AB15" i="59"/>
  <c r="AA9" i="59"/>
  <c r="U44" i="21"/>
  <c r="AB44" i="21"/>
  <c r="AA43" i="21"/>
  <c r="AB39" i="21"/>
  <c r="AA39" i="21"/>
  <c r="AB38" i="21"/>
  <c r="W29" i="21"/>
  <c r="W10" i="21"/>
  <c r="AB8" i="21"/>
  <c r="S8" i="21"/>
  <c r="AC38" i="21"/>
  <c r="AC32" i="21"/>
  <c r="AA32" i="21"/>
  <c r="E125" i="21"/>
  <c r="F125" i="21" s="1"/>
  <c r="G125" i="21" s="1"/>
  <c r="AA36" i="21"/>
  <c r="W36" i="21"/>
  <c r="AB34" i="21"/>
  <c r="S28" i="21"/>
  <c r="C13" i="12"/>
  <c r="B12" i="59"/>
  <c r="B11" i="59" s="1"/>
  <c r="B10" i="59" s="1"/>
  <c r="B9" i="59" s="1"/>
  <c r="S13" i="59"/>
  <c r="B77" i="43"/>
  <c r="C25" i="39"/>
  <c r="AA9" i="34"/>
  <c r="H64" i="43"/>
  <c r="AB13" i="34"/>
  <c r="S29" i="39"/>
  <c r="M107" i="43"/>
  <c r="B116" i="43"/>
  <c r="C116" i="43" s="1"/>
  <c r="AB32" i="21"/>
  <c r="S40" i="34"/>
  <c r="W27" i="33"/>
  <c r="W12" i="39"/>
  <c r="AB35" i="39"/>
  <c r="W23" i="39"/>
  <c r="U16" i="36"/>
  <c r="U29" i="21"/>
  <c r="AB21" i="39"/>
  <c r="U26" i="35"/>
  <c r="AB36" i="37"/>
  <c r="AB10" i="36"/>
  <c r="S28" i="33"/>
  <c r="F12" i="35"/>
  <c r="J12" i="35"/>
  <c r="H12" i="35"/>
  <c r="AC36" i="40"/>
  <c r="U12" i="40"/>
  <c r="D115" i="43"/>
  <c r="E115" i="43" s="1"/>
  <c r="F115" i="43" s="1"/>
  <c r="U13" i="36"/>
  <c r="AC12" i="36"/>
  <c r="U38" i="40"/>
  <c r="AA29" i="21"/>
  <c r="C110" i="57"/>
  <c r="H104" i="57" s="1"/>
  <c r="H84" i="43"/>
  <c r="W15" i="40"/>
  <c r="S28" i="40"/>
  <c r="AC21" i="40"/>
  <c r="AB40" i="34"/>
  <c r="AC16" i="35"/>
  <c r="AB34" i="35"/>
  <c r="U15" i="40"/>
  <c r="E102" i="43"/>
  <c r="U30" i="21"/>
  <c r="S9" i="33"/>
  <c r="U36" i="34"/>
  <c r="AB27" i="37"/>
  <c r="AC40" i="40"/>
  <c r="AA15" i="37"/>
  <c r="U43" i="33"/>
  <c r="U32" i="34"/>
  <c r="AB28" i="36"/>
  <c r="S14" i="34"/>
  <c r="AC15" i="21"/>
  <c r="U34" i="39"/>
  <c r="AA23" i="37"/>
  <c r="U23" i="37"/>
  <c r="AB14" i="21"/>
  <c r="AB39" i="39"/>
  <c r="AA39" i="37"/>
  <c r="S39" i="37"/>
  <c r="G113" i="21"/>
  <c r="F37" i="21"/>
  <c r="AB11" i="33"/>
  <c r="U11" i="33"/>
  <c r="F14" i="39"/>
  <c r="H14" i="39"/>
  <c r="M104" i="43"/>
  <c r="J107" i="43"/>
  <c r="W11" i="35"/>
  <c r="S14" i="36"/>
  <c r="D117" i="43"/>
  <c r="E117" i="43" s="1"/>
  <c r="F117" i="43" s="1"/>
  <c r="G117" i="43" s="1"/>
  <c r="H117" i="43" s="1"/>
  <c r="B117" i="43"/>
  <c r="C117" i="43" s="1"/>
  <c r="AB33" i="37"/>
  <c r="AC31" i="21"/>
  <c r="AB35" i="34"/>
  <c r="AC29" i="37"/>
  <c r="S31" i="40"/>
  <c r="D118" i="43"/>
  <c r="E118" i="43" s="1"/>
  <c r="F118" i="43" s="1"/>
  <c r="S31" i="37"/>
  <c r="AB16" i="35"/>
  <c r="W14" i="36"/>
  <c r="AB13" i="21"/>
  <c r="S17" i="37"/>
  <c r="U15" i="37"/>
  <c r="AC30" i="21"/>
  <c r="AB11" i="35"/>
  <c r="AC33" i="36"/>
  <c r="AC32" i="34"/>
  <c r="C120" i="57"/>
  <c r="H116" i="57" s="1"/>
  <c r="S17" i="34"/>
  <c r="I14" i="62"/>
  <c r="B8" i="62" s="1"/>
  <c r="D8" i="62" s="1"/>
  <c r="H65" i="43"/>
  <c r="U17" i="33"/>
  <c r="AB19" i="34"/>
  <c r="AB11" i="34"/>
  <c r="AC19" i="37"/>
  <c r="AB13" i="40"/>
  <c r="H66" i="43"/>
  <c r="AC25" i="34"/>
  <c r="AC19" i="21"/>
  <c r="W43" i="33"/>
  <c r="U25" i="33"/>
  <c r="H61" i="43"/>
  <c r="H67" i="43"/>
  <c r="L106" i="9"/>
  <c r="A18" i="55" s="1"/>
  <c r="B48" i="60" s="1"/>
  <c r="B67" i="43"/>
  <c r="AC46" i="21"/>
  <c r="S14" i="40"/>
  <c r="S23" i="40"/>
  <c r="D116" i="43"/>
  <c r="E116" i="43" s="1"/>
  <c r="F116" i="43" s="1"/>
  <c r="G116" i="43" s="1"/>
  <c r="H116" i="43" s="1"/>
  <c r="W13" i="33"/>
  <c r="W17" i="33"/>
  <c r="S36" i="34"/>
  <c r="W10" i="35"/>
  <c r="AA12" i="37"/>
  <c r="U11" i="36"/>
  <c r="S28" i="34"/>
  <c r="H12" i="21"/>
  <c r="J9" i="21"/>
  <c r="W9" i="21" s="1"/>
  <c r="J9" i="35"/>
  <c r="F9" i="35"/>
  <c r="H44" i="39"/>
  <c r="F44" i="39"/>
  <c r="S32" i="35"/>
  <c r="H19" i="21"/>
  <c r="AB19" i="21" s="1"/>
  <c r="F12" i="21"/>
  <c r="U12" i="33"/>
  <c r="U9" i="35"/>
  <c r="J39" i="40"/>
  <c r="H39" i="40"/>
  <c r="F39" i="40"/>
  <c r="F9" i="36"/>
  <c r="H9" i="36"/>
  <c r="U33" i="59"/>
  <c r="M19" i="43"/>
  <c r="U21" i="37"/>
  <c r="AB21" i="37"/>
  <c r="U25" i="40"/>
  <c r="AB25" i="40"/>
  <c r="AC12" i="43"/>
  <c r="AC13" i="43" s="1"/>
  <c r="AC10" i="43"/>
  <c r="AB25" i="59"/>
  <c r="AA17" i="59"/>
  <c r="AB14" i="59"/>
  <c r="X5" i="59"/>
  <c r="D108" i="43"/>
  <c r="D100" i="43"/>
  <c r="C25" i="59"/>
  <c r="D24" i="59"/>
  <c r="AB22" i="59"/>
  <c r="AB28" i="59"/>
  <c r="B56" i="59"/>
  <c r="B57" i="59" s="1"/>
  <c r="S57" i="59" s="1"/>
  <c r="P60" i="59"/>
  <c r="AA30" i="59"/>
  <c r="Y25" i="59"/>
  <c r="Z25" i="59" s="1"/>
  <c r="F16" i="59"/>
  <c r="F15" i="59" s="1"/>
  <c r="F14" i="59" s="1"/>
  <c r="F13" i="59" s="1"/>
  <c r="X17" i="59"/>
  <c r="X10" i="59"/>
  <c r="Y6" i="59"/>
  <c r="Z6" i="59" s="1"/>
  <c r="C18" i="9"/>
  <c r="D18" i="9" s="1"/>
  <c r="D4" i="47"/>
  <c r="F4" i="47" s="1"/>
  <c r="B2" i="47" s="1"/>
  <c r="AA3" i="59"/>
  <c r="X20" i="59"/>
  <c r="AA24" i="59"/>
  <c r="X26" i="59"/>
  <c r="X27" i="59"/>
  <c r="V73" i="59"/>
  <c r="F72" i="59"/>
  <c r="F71" i="59" s="1"/>
  <c r="Y24" i="59"/>
  <c r="Z24" i="59" s="1"/>
  <c r="Y12" i="59"/>
  <c r="Z12" i="59" s="1"/>
  <c r="Y11" i="59"/>
  <c r="Z11" i="59" s="1"/>
  <c r="AB21" i="59"/>
  <c r="B25" i="59"/>
  <c r="S25" i="59" s="1"/>
  <c r="AB24" i="59"/>
  <c r="AB19" i="59"/>
  <c r="Y20" i="59"/>
  <c r="Z20" i="59" s="1"/>
  <c r="C28" i="59"/>
  <c r="Y27" i="59"/>
  <c r="Z27" i="59" s="1"/>
  <c r="X30" i="59"/>
  <c r="AA23" i="59"/>
  <c r="Y17" i="59"/>
  <c r="Z17" i="59" s="1"/>
  <c r="AB10" i="59"/>
  <c r="AB3" i="59"/>
  <c r="S21" i="33"/>
  <c r="Y19" i="59"/>
  <c r="Z19" i="59" s="1"/>
  <c r="X23" i="59"/>
  <c r="X25" i="59"/>
  <c r="Y26" i="59"/>
  <c r="Z26" i="59" s="1"/>
  <c r="AA27" i="59"/>
  <c r="AB30" i="59"/>
  <c r="F31" i="59"/>
  <c r="F32" i="59" s="1"/>
  <c r="F33" i="59" s="1"/>
  <c r="V33" i="59" s="1"/>
  <c r="X29" i="59"/>
  <c r="AA22" i="59"/>
  <c r="L100" i="43"/>
  <c r="L108" i="43"/>
  <c r="L109" i="43" s="1"/>
  <c r="T53" i="59"/>
  <c r="D20" i="59"/>
  <c r="D51" i="59"/>
  <c r="E21" i="59"/>
  <c r="AA19" i="59"/>
  <c r="AA20" i="59"/>
  <c r="AA21" i="59"/>
  <c r="AA18" i="59"/>
  <c r="Y23" i="59"/>
  <c r="Z23" i="59" s="1"/>
  <c r="AB27" i="59"/>
  <c r="AB29" i="59"/>
  <c r="B37" i="59"/>
  <c r="S37" i="59" s="1"/>
  <c r="C45" i="59"/>
  <c r="D44" i="59"/>
  <c r="F56" i="59"/>
  <c r="F57" i="59" s="1"/>
  <c r="V57" i="59" s="1"/>
  <c r="X22" i="59"/>
  <c r="AA14" i="59"/>
  <c r="AA12" i="59"/>
  <c r="AB9" i="59"/>
  <c r="Y10" i="59"/>
  <c r="Z10" i="59" s="1"/>
  <c r="I21" i="58"/>
  <c r="D1" i="58" s="1"/>
  <c r="E10" i="58" s="1"/>
  <c r="S18" i="35"/>
  <c r="AA25" i="59"/>
  <c r="E29" i="59"/>
  <c r="U29" i="59" s="1"/>
  <c r="X28" i="59"/>
  <c r="T65" i="59"/>
  <c r="D65" i="59"/>
  <c r="C64" i="59"/>
  <c r="AB6" i="59"/>
  <c r="H100" i="43"/>
  <c r="H108" i="43"/>
  <c r="H109" i="43" s="1"/>
  <c r="AB20" i="59"/>
  <c r="B21" i="59"/>
  <c r="X21" i="59"/>
  <c r="X18" i="59"/>
  <c r="X19" i="59"/>
  <c r="AB23" i="59"/>
  <c r="AA26" i="59"/>
  <c r="Y28" i="59"/>
  <c r="Z28" i="59" s="1"/>
  <c r="C36" i="59"/>
  <c r="D35" i="59"/>
  <c r="AB26" i="59"/>
  <c r="AA10" i="59"/>
  <c r="AB7" i="59"/>
  <c r="AA6" i="59"/>
  <c r="X25" i="31"/>
  <c r="C37" i="57" s="1"/>
  <c r="F125" i="57" s="1"/>
  <c r="G125" i="57" s="1"/>
  <c r="AB21" i="33"/>
  <c r="AA21" i="34"/>
  <c r="D59" i="59"/>
  <c r="Y21" i="59"/>
  <c r="Z21" i="59" s="1"/>
  <c r="X15" i="59"/>
  <c r="M100" i="43"/>
  <c r="B60" i="59"/>
  <c r="Y22" i="59"/>
  <c r="Z22" i="59" s="1"/>
  <c r="AA8" i="59"/>
  <c r="AA5" i="59"/>
  <c r="I100" i="43"/>
  <c r="E108" i="43"/>
  <c r="E109" i="43" s="1"/>
  <c r="C31" i="58"/>
  <c r="C30" i="58"/>
  <c r="E26" i="58" s="1"/>
  <c r="S25" i="40"/>
  <c r="C25" i="40"/>
  <c r="D60" i="59"/>
  <c r="D43" i="59"/>
  <c r="B27" i="59"/>
  <c r="B28" i="59" s="1"/>
  <c r="B29" i="59" s="1"/>
  <c r="S29" i="59" s="1"/>
  <c r="A12" i="52"/>
  <c r="B67" i="60" s="1"/>
  <c r="Y16" i="59"/>
  <c r="Z16" i="59" s="1"/>
  <c r="X6" i="59"/>
  <c r="AA7" i="59"/>
  <c r="E72" i="59"/>
  <c r="E71" i="59" s="1"/>
  <c r="Y18" i="59"/>
  <c r="Z18" i="59" s="1"/>
  <c r="N61" i="59"/>
  <c r="F64" i="59"/>
  <c r="F63" i="59" s="1"/>
  <c r="AB8" i="59"/>
  <c r="Y5" i="59"/>
  <c r="Z5" i="59" s="1"/>
  <c r="U25" i="31"/>
  <c r="C36" i="57" s="1"/>
  <c r="D125" i="57" s="1"/>
  <c r="L108" i="57" s="1"/>
  <c r="B66" i="43"/>
  <c r="X8" i="59"/>
  <c r="X7" i="59"/>
  <c r="Y8" i="59"/>
  <c r="Z8" i="59" s="1"/>
  <c r="AB5" i="59"/>
  <c r="Y7" i="59"/>
  <c r="Z7" i="59" s="1"/>
  <c r="AB25" i="21"/>
  <c r="W25" i="21"/>
  <c r="W43" i="21"/>
  <c r="U43" i="21"/>
  <c r="B63" i="43"/>
  <c r="W42" i="21"/>
  <c r="S38" i="21"/>
  <c r="AC28" i="21"/>
  <c r="U28" i="21"/>
  <c r="AB36" i="21"/>
  <c r="AA34" i="21"/>
  <c r="AB11" i="21"/>
  <c r="W11" i="21"/>
  <c r="S42" i="21"/>
  <c r="AB42" i="21"/>
  <c r="W34" i="21"/>
  <c r="U26" i="21"/>
  <c r="AA26" i="21"/>
  <c r="W17" i="21"/>
  <c r="U17" i="21"/>
  <c r="S17" i="21"/>
  <c r="S21" i="21"/>
  <c r="W23" i="21"/>
  <c r="AB23" i="21"/>
  <c r="S23" i="21"/>
  <c r="AC21" i="21"/>
  <c r="S19" i="21"/>
  <c r="C29" i="39"/>
  <c r="B55" i="43"/>
  <c r="B74" i="43"/>
  <c r="AA15" i="21"/>
  <c r="W8" i="21"/>
  <c r="D42" i="50"/>
  <c r="D43" i="50" s="1"/>
  <c r="K106" i="43"/>
  <c r="H102" i="43"/>
  <c r="A8" i="52"/>
  <c r="B65" i="60" s="1"/>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E20" i="43"/>
  <c r="G20" i="57"/>
  <c r="C105" i="57" s="1"/>
  <c r="C104" i="57"/>
  <c r="D104" i="57"/>
  <c r="D5" i="61"/>
  <c r="D6" i="61"/>
  <c r="D3" i="61"/>
  <c r="D7" i="61"/>
  <c r="D6" i="52" l="1"/>
  <c r="U12" i="34"/>
  <c r="AB12" i="34"/>
  <c r="AA26" i="33"/>
  <c r="S26" i="33"/>
  <c r="AC28" i="33"/>
  <c r="W28" i="33"/>
  <c r="H7" i="35"/>
  <c r="U15" i="21"/>
  <c r="D10" i="50"/>
  <c r="AC25" i="37"/>
  <c r="W25" i="37"/>
  <c r="AA45" i="39"/>
  <c r="S45" i="39"/>
  <c r="S30" i="21"/>
  <c r="AA30" i="21"/>
  <c r="W14" i="21"/>
  <c r="AC14" i="21"/>
  <c r="AB9" i="21"/>
  <c r="U9" i="21"/>
  <c r="E12" i="59"/>
  <c r="E11" i="59" s="1"/>
  <c r="E10" i="59" s="1"/>
  <c r="E9" i="59" s="1"/>
  <c r="U13" i="59"/>
  <c r="J7" i="37"/>
  <c r="AC7" i="37" s="1"/>
  <c r="V42" i="37" s="1"/>
  <c r="I42" i="37" s="1"/>
  <c r="D48" i="59"/>
  <c r="J33" i="21"/>
  <c r="H33" i="21"/>
  <c r="F33" i="21"/>
  <c r="Q58" i="59"/>
  <c r="Q59" i="59"/>
  <c r="AC9" i="34"/>
  <c r="W9" i="34"/>
  <c r="S44" i="33"/>
  <c r="AA44" i="33"/>
  <c r="C15" i="59"/>
  <c r="D16" i="59"/>
  <c r="AA24" i="35"/>
  <c r="S24" i="35"/>
  <c r="AA12" i="36"/>
  <c r="S12" i="36"/>
  <c r="AB32" i="36"/>
  <c r="AB23" i="36"/>
  <c r="U23" i="36"/>
  <c r="AB12" i="36"/>
  <c r="U12" i="36"/>
  <c r="U24" i="35"/>
  <c r="AB24" i="35"/>
  <c r="AC23" i="36"/>
  <c r="W23" i="36"/>
  <c r="S44" i="21"/>
  <c r="K1" i="61"/>
  <c r="AC26" i="21"/>
  <c r="W36" i="35"/>
  <c r="AC36" i="35"/>
  <c r="T33" i="59"/>
  <c r="D33" i="59"/>
  <c r="D56" i="59"/>
  <c r="C57" i="59"/>
  <c r="O59" i="59"/>
  <c r="O58" i="59"/>
  <c r="AB36" i="35"/>
  <c r="U36" i="35"/>
  <c r="H113" i="21"/>
  <c r="J37" i="21"/>
  <c r="H37" i="21"/>
  <c r="AC9" i="21"/>
  <c r="U19" i="21"/>
  <c r="C8" i="62"/>
  <c r="F68" i="39"/>
  <c r="D70" i="39"/>
  <c r="F126" i="57"/>
  <c r="AC39" i="40"/>
  <c r="W39" i="40"/>
  <c r="AA44" i="39"/>
  <c r="S44" i="39"/>
  <c r="AA37" i="21"/>
  <c r="S37" i="21"/>
  <c r="S21" i="59"/>
  <c r="B20" i="59"/>
  <c r="B19" i="59" s="1"/>
  <c r="T49" i="59"/>
  <c r="D49" i="59"/>
  <c r="U44" i="39"/>
  <c r="AB44" i="39"/>
  <c r="D36" i="59"/>
  <c r="C37" i="59"/>
  <c r="AA9" i="35"/>
  <c r="S9" i="35"/>
  <c r="U12" i="35"/>
  <c r="AB12" i="35"/>
  <c r="F12" i="59"/>
  <c r="F11" i="59" s="1"/>
  <c r="F10" i="59" s="1"/>
  <c r="F9" i="59" s="1"/>
  <c r="V13" i="59"/>
  <c r="T25" i="59"/>
  <c r="D25" i="59"/>
  <c r="AC9" i="35"/>
  <c r="W9" i="35"/>
  <c r="W12" i="35"/>
  <c r="AC12" i="35"/>
  <c r="AB9" i="36"/>
  <c r="U9" i="36"/>
  <c r="AB14" i="39"/>
  <c r="U14" i="39"/>
  <c r="S12" i="35"/>
  <c r="AA12" i="35"/>
  <c r="H7" i="37"/>
  <c r="AB7" i="37" s="1"/>
  <c r="T42" i="37" s="1"/>
  <c r="G42" i="37" s="1"/>
  <c r="G46" i="37" s="1"/>
  <c r="H46" i="37" s="1"/>
  <c r="N60" i="59"/>
  <c r="B59" i="59"/>
  <c r="AA9" i="36"/>
  <c r="S9" i="36"/>
  <c r="AA12" i="21"/>
  <c r="S12" i="21"/>
  <c r="U12" i="21"/>
  <c r="AB12" i="21"/>
  <c r="AA14" i="39"/>
  <c r="S14" i="39"/>
  <c r="D64" i="59"/>
  <c r="C63" i="59"/>
  <c r="D63" i="59" s="1"/>
  <c r="T45" i="59"/>
  <c r="D45" i="59"/>
  <c r="C29" i="59"/>
  <c r="D28" i="59"/>
  <c r="AA39" i="40"/>
  <c r="S39" i="40"/>
  <c r="F7" i="37"/>
  <c r="S7" i="37" s="1"/>
  <c r="U21" i="59"/>
  <c r="E20" i="59"/>
  <c r="E19" i="59" s="1"/>
  <c r="U39" i="40"/>
  <c r="AB39" i="40"/>
  <c r="B8" i="59"/>
  <c r="B7" i="59" s="1"/>
  <c r="B6" i="59" s="1"/>
  <c r="B5" i="59" s="1"/>
  <c r="S5" i="59" s="1"/>
  <c r="S9" i="59"/>
  <c r="F7" i="35"/>
  <c r="AA7" i="35" s="1"/>
  <c r="R38" i="35" s="1"/>
  <c r="C18" i="15"/>
  <c r="C16" i="15"/>
  <c r="J7" i="35"/>
  <c r="W7" i="35" s="1"/>
  <c r="C30" i="11"/>
  <c r="C48" i="11"/>
  <c r="C32" i="15"/>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5" i="40"/>
  <c r="E63" i="40"/>
  <c r="L49" i="15"/>
  <c r="I20" i="43"/>
  <c r="B14" i="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G1" i="61"/>
  <c r="D11" i="50" l="1"/>
  <c r="B25" i="60" s="1"/>
  <c r="B23" i="60"/>
  <c r="U7" i="37"/>
  <c r="AA33" i="21"/>
  <c r="S33" i="21"/>
  <c r="AB33" i="21"/>
  <c r="U33" i="21"/>
  <c r="W33" i="21"/>
  <c r="AC33" i="21"/>
  <c r="D15" i="59"/>
  <c r="C14" i="59"/>
  <c r="E8" i="59"/>
  <c r="E7" i="59" s="1"/>
  <c r="E6" i="59" s="1"/>
  <c r="E5" i="59" s="1"/>
  <c r="U5" i="59" s="1"/>
  <c r="U9" i="59"/>
  <c r="AC7" i="35"/>
  <c r="V38" i="35" s="1"/>
  <c r="I38" i="35" s="1"/>
  <c r="G43" i="35" s="1"/>
  <c r="H43" i="35" s="1"/>
  <c r="T57" i="59"/>
  <c r="D57" i="59"/>
  <c r="W37" i="21"/>
  <c r="AC37" i="21"/>
  <c r="U37" i="21"/>
  <c r="AB37" i="21"/>
  <c r="E27" i="1"/>
  <c r="F24" i="15" s="1"/>
  <c r="S7" i="35"/>
  <c r="G68" i="39"/>
  <c r="F70" i="39"/>
  <c r="T37" i="59"/>
  <c r="D37" i="59"/>
  <c r="N58" i="59"/>
  <c r="N59" i="59"/>
  <c r="F8" i="59"/>
  <c r="F7" i="59" s="1"/>
  <c r="F6" i="59" s="1"/>
  <c r="F5" i="59" s="1"/>
  <c r="V5" i="59" s="1"/>
  <c r="V9" i="59"/>
  <c r="D29" i="59"/>
  <c r="T29" i="59"/>
  <c r="AA7" i="37"/>
  <c r="R42" i="37" s="1"/>
  <c r="C19" i="15"/>
  <c r="C20" i="15" s="1"/>
  <c r="C26" i="15" s="1"/>
  <c r="J7" i="36"/>
  <c r="W7" i="36"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G42" i="35"/>
  <c r="H42" i="35" s="1"/>
  <c r="R49" i="33"/>
  <c r="E48" i="33"/>
  <c r="F7" i="36"/>
  <c r="I42" i="35"/>
  <c r="J42" i="35" s="1"/>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l="1"/>
  <c r="F41" i="11" s="1"/>
  <c r="C13" i="59"/>
  <c r="D14" i="59"/>
  <c r="F25" i="12"/>
  <c r="C27" i="12" s="1"/>
  <c r="C25" i="12" s="1"/>
  <c r="G70" i="39"/>
  <c r="H68" i="39"/>
  <c r="R43" i="37"/>
  <c r="E42" i="37"/>
  <c r="U7" i="36"/>
  <c r="AC7" i="36"/>
  <c r="V36" i="36" s="1"/>
  <c r="I36" i="36"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3" i="11"/>
  <c r="C61" i="15"/>
  <c r="C67" i="15"/>
  <c r="C38" i="15"/>
  <c r="C24" i="11" l="1"/>
  <c r="C42" i="11"/>
  <c r="C41" i="11" s="1"/>
  <c r="C26" i="11"/>
  <c r="D22" i="11" s="1"/>
  <c r="C44" i="11"/>
  <c r="D41" i="11" s="1"/>
  <c r="D13" i="59"/>
  <c r="C12" i="59"/>
  <c r="T13" i="59"/>
  <c r="C26" i="12"/>
  <c r="D25" i="12" s="1"/>
  <c r="C32" i="12" s="1"/>
  <c r="I68" i="39"/>
  <c r="H70" i="39"/>
  <c r="I47" i="37"/>
  <c r="J47" i="37" s="1"/>
  <c r="E46" i="37"/>
  <c r="F46" i="37" s="1"/>
  <c r="E47" i="37"/>
  <c r="F47" i="37" s="1"/>
  <c r="C42" i="37"/>
  <c r="C43" i="37"/>
  <c r="B2" i="37" s="1"/>
  <c r="B3" i="37" s="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29" i="15"/>
  <c r="J14" i="15" s="1"/>
  <c r="C49" i="11" l="1"/>
  <c r="C51" i="11" s="1"/>
  <c r="C11" i="59"/>
  <c r="D12" i="59"/>
  <c r="I70" i="39"/>
  <c r="J68"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C10" i="59" l="1"/>
  <c r="D11" i="59"/>
  <c r="F7" i="21"/>
  <c r="AA7" i="21" s="1"/>
  <c r="K68" i="39"/>
  <c r="J70" i="39"/>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U7" i="21"/>
  <c r="AC7" i="21"/>
  <c r="W7" i="21"/>
  <c r="J59" i="34"/>
  <c r="Q46" i="15"/>
  <c r="C62" i="15"/>
  <c r="C60" i="15" s="1"/>
  <c r="C57" i="15"/>
  <c r="C66" i="15" s="1"/>
  <c r="C37" i="15"/>
  <c r="C30" i="15" s="1"/>
  <c r="C39" i="15" s="1"/>
  <c r="Q68" i="15"/>
  <c r="J16" i="15"/>
  <c r="J25" i="15" s="1"/>
  <c r="D10" i="59" l="1"/>
  <c r="C9" i="59"/>
  <c r="S7" i="21"/>
  <c r="K70" i="39"/>
  <c r="L68" i="39"/>
  <c r="C98" i="57"/>
  <c r="E98" i="57" s="1"/>
  <c r="E99" i="57" s="1"/>
  <c r="N71" i="57"/>
  <c r="O71" i="57" s="1"/>
  <c r="O61" i="57"/>
  <c r="O60" i="57"/>
  <c r="Q59" i="57"/>
  <c r="J65" i="40"/>
  <c r="K63" i="40"/>
  <c r="K59" i="34"/>
  <c r="C59" i="15"/>
  <c r="C68" i="15" s="1"/>
  <c r="C69" i="15" s="1"/>
  <c r="C72" i="15" s="1"/>
  <c r="C40" i="15"/>
  <c r="L52" i="15" s="1"/>
  <c r="J38" i="15"/>
  <c r="J39" i="15" s="1"/>
  <c r="Q67" i="15"/>
  <c r="Q66" i="15" s="1"/>
  <c r="C8" i="59" l="1"/>
  <c r="T9" i="59"/>
  <c r="D9" i="59"/>
  <c r="L70" i="39"/>
  <c r="M68" i="39"/>
  <c r="O63" i="57"/>
  <c r="O62" i="57"/>
  <c r="L63" i="40"/>
  <c r="K65" i="40"/>
  <c r="L59" i="34"/>
  <c r="C47" i="15"/>
  <c r="J41" i="15"/>
  <c r="J42" i="15" s="1"/>
  <c r="Q54" i="15"/>
  <c r="C43" i="15"/>
  <c r="Q65" i="15"/>
  <c r="Q45" i="15"/>
  <c r="Q51" i="15" s="1"/>
  <c r="Q63" i="15"/>
  <c r="D8" i="59" l="1"/>
  <c r="C7" i="59"/>
  <c r="N68" i="39"/>
  <c r="M70" i="39"/>
  <c r="D35" i="9"/>
  <c r="D34" i="9" s="1"/>
  <c r="L65" i="40"/>
  <c r="M63" i="40"/>
  <c r="M59" i="34"/>
  <c r="N59" i="34" s="1"/>
  <c r="O59" i="34" s="1"/>
  <c r="H7" i="34" s="1"/>
  <c r="L58" i="15"/>
  <c r="L61" i="15" s="1"/>
  <c r="D7" i="59" l="1"/>
  <c r="C6" i="59"/>
  <c r="N70" i="39"/>
  <c r="O68" i="39"/>
  <c r="O70" i="39" s="1"/>
  <c r="J7" i="39" s="1"/>
  <c r="Q64" i="15"/>
  <c r="Q73" i="15" s="1"/>
  <c r="L47" i="15"/>
  <c r="F7" i="34"/>
  <c r="S7" i="34" s="1"/>
  <c r="J7" i="34"/>
  <c r="W7" i="34" s="1"/>
  <c r="M65" i="40"/>
  <c r="N63" i="40"/>
  <c r="AB7" i="34"/>
  <c r="T49" i="34" s="1"/>
  <c r="G49" i="34" s="1"/>
  <c r="U7" i="34"/>
  <c r="Q55" i="15"/>
  <c r="Q60" i="15" s="1"/>
  <c r="D55" i="9"/>
  <c r="N53" i="9" s="1"/>
  <c r="D56" i="9"/>
  <c r="N54" i="9" s="1"/>
  <c r="D59" i="9"/>
  <c r="N55" i="9" s="1"/>
  <c r="D6" i="59" l="1"/>
  <c r="C5" i="59"/>
  <c r="F7" i="39"/>
  <c r="AA7" i="39" s="1"/>
  <c r="R47" i="39" s="1"/>
  <c r="H7" i="39"/>
  <c r="AB7" i="39" s="1"/>
  <c r="T47" i="39" s="1"/>
  <c r="G47" i="39" s="1"/>
  <c r="AC7" i="39"/>
  <c r="V47" i="39" s="1"/>
  <c r="I47" i="39" s="1"/>
  <c r="I51" i="39" s="1"/>
  <c r="J51" i="39" s="1"/>
  <c r="W7" i="39"/>
  <c r="AA7" i="34"/>
  <c r="R49" i="34" s="1"/>
  <c r="R50" i="34" s="1"/>
  <c r="B2" i="15"/>
  <c r="B3" i="15"/>
  <c r="AC7" i="34"/>
  <c r="V49" i="34" s="1"/>
  <c r="I49" i="34" s="1"/>
  <c r="G54" i="34" s="1"/>
  <c r="H54" i="34" s="1"/>
  <c r="O63" i="40"/>
  <c r="O65" i="40" s="1"/>
  <c r="N65" i="40"/>
  <c r="G53" i="34"/>
  <c r="H53" i="34" s="1"/>
  <c r="S7" i="39" l="1"/>
  <c r="T5" i="59"/>
  <c r="D5" i="59"/>
  <c r="M20" i="43"/>
  <c r="G52" i="39"/>
  <c r="H52" i="39" s="1"/>
  <c r="G51" i="39"/>
  <c r="H51" i="39" s="1"/>
  <c r="U7" i="39"/>
  <c r="R48" i="39"/>
  <c r="E47" i="39"/>
  <c r="E49" i="34"/>
  <c r="I54" i="34" s="1"/>
  <c r="J54" i="34" s="1"/>
  <c r="I53" i="34"/>
  <c r="J53" i="34" s="1"/>
  <c r="C50" i="34"/>
  <c r="B2" i="34" s="1"/>
  <c r="B3" i="34" s="1"/>
  <c r="C49" i="34"/>
  <c r="H7" i="40"/>
  <c r="J7" i="40"/>
  <c r="F7" i="40"/>
  <c r="E52" i="39" l="1"/>
  <c r="F52" i="39" s="1"/>
  <c r="I52" i="39"/>
  <c r="J52" i="39" s="1"/>
  <c r="E51" i="39"/>
  <c r="F51" i="39" s="1"/>
  <c r="C48" i="39"/>
  <c r="C47" i="39"/>
  <c r="E53" i="34"/>
  <c r="F53" i="34" s="1"/>
  <c r="E54" i="34"/>
  <c r="F54" i="34" s="1"/>
  <c r="AC7" i="40"/>
  <c r="V42" i="40" s="1"/>
  <c r="I42" i="40" s="1"/>
  <c r="I46" i="40" s="1"/>
  <c r="J46" i="40" s="1"/>
  <c r="W7" i="40"/>
  <c r="S7" i="40"/>
  <c r="AA7" i="40"/>
  <c r="R42" i="40" s="1"/>
  <c r="R43" i="40" s="1"/>
  <c r="AB7" i="40"/>
  <c r="T42" i="40" s="1"/>
  <c r="G42" i="40" s="1"/>
  <c r="G46" i="40" s="1"/>
  <c r="H46" i="40" s="1"/>
  <c r="U7" i="40"/>
  <c r="B62" i="39" l="1"/>
  <c r="F62" i="39" s="1"/>
  <c r="B59" i="39"/>
  <c r="F59" i="39" s="1"/>
  <c r="B57" i="39"/>
  <c r="F57" i="39" s="1"/>
  <c r="B56" i="39"/>
  <c r="F56" i="39" s="1"/>
  <c r="F66" i="39" s="1"/>
  <c r="B2" i="39" s="1"/>
  <c r="B3" i="39" s="1"/>
  <c r="B64" i="39"/>
  <c r="F64" i="39" s="1"/>
  <c r="B61" i="39"/>
  <c r="F61" i="39" s="1"/>
  <c r="B58" i="39"/>
  <c r="F58" i="39" s="1"/>
  <c r="B60" i="39"/>
  <c r="F60" i="39" s="1"/>
  <c r="B63" i="39"/>
  <c r="F63" i="39" s="1"/>
  <c r="B65" i="39"/>
  <c r="F65"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D16" i="50" l="1"/>
  <c r="B30" i="60" s="1"/>
  <c r="M63" i="9"/>
  <c r="N63" i="9" s="1"/>
  <c r="N69" i="9" s="1"/>
  <c r="O69" i="9" s="1"/>
  <c r="M64" i="9"/>
  <c r="N64" i="9" s="1"/>
  <c r="M68" i="9"/>
  <c r="N68" i="9" s="1"/>
  <c r="M66" i="9"/>
  <c r="N66" i="9" s="1"/>
  <c r="M67" i="9"/>
  <c r="N67" i="9" s="1"/>
  <c r="D8" i="50"/>
  <c r="B22" i="60" s="1"/>
  <c r="C7" i="11" l="1"/>
  <c r="C5" i="11" s="1"/>
  <c r="C20" i="11" l="1"/>
  <c r="C23" i="11"/>
  <c r="C28" i="11" l="1"/>
  <c r="C27" i="11" s="1"/>
  <c r="C25" i="11"/>
  <c r="C22" i="11" s="1"/>
  <c r="C31" i="11" l="1"/>
  <c r="C52" i="11" s="1"/>
  <c r="C56" i="11" s="1"/>
  <c r="C57" i="11" s="1"/>
  <c r="B3" i="11" l="1"/>
  <c r="B2" i="11"/>
  <c r="C20" i="9"/>
  <c r="C19" i="9"/>
  <c r="K21" i="9" l="1"/>
  <c r="K22" i="9" s="1"/>
  <c r="C101" i="9"/>
  <c r="C102" i="9"/>
  <c r="J27" i="21"/>
  <c r="W27" i="21" s="1"/>
  <c r="AC27" i="21" l="1"/>
  <c r="V48" i="21" s="1"/>
  <c r="I48" i="21" s="1"/>
  <c r="H27" i="21"/>
  <c r="F27" i="21"/>
  <c r="S27" i="21" s="1"/>
  <c r="AA27" i="21" l="1"/>
  <c r="R48" i="21" s="1"/>
  <c r="AB27" i="21"/>
  <c r="T48" i="21" s="1"/>
  <c r="G48" i="21" s="1"/>
  <c r="U27" i="21"/>
  <c r="I52" i="21"/>
  <c r="J52" i="21" s="1"/>
  <c r="G52" i="21" l="1"/>
  <c r="H52" i="21" s="1"/>
  <c r="G53" i="21"/>
  <c r="H53" i="21" s="1"/>
  <c r="E48" i="21"/>
  <c r="R49" i="21"/>
  <c r="E53" i="21" l="1"/>
  <c r="F53" i="21" s="1"/>
  <c r="E52" i="21"/>
  <c r="F52" i="21" s="1"/>
  <c r="I53" i="21"/>
  <c r="J53" i="21" s="1"/>
  <c r="C48" i="21"/>
  <c r="C49" i="21"/>
  <c r="B2" i="21" l="1"/>
  <c r="B3" i="21"/>
  <c r="D20" i="9"/>
  <c r="D19" i="9"/>
  <c r="D101" i="9" l="1"/>
  <c r="G19" i="9"/>
  <c r="D22" i="9"/>
  <c r="D102" i="9"/>
  <c r="G20" i="9"/>
  <c r="C32" i="9" s="1"/>
  <c r="C35" i="9" l="1"/>
  <c r="G121" i="9" s="1"/>
  <c r="F121" i="9" s="1"/>
  <c r="F122" i="9" s="1"/>
  <c r="I121" i="9"/>
  <c r="D107" i="9" l="1"/>
  <c r="I103" i="9"/>
  <c r="C104" i="9"/>
  <c r="H121" i="9"/>
  <c r="C34" i="9"/>
  <c r="E121" i="9" s="1"/>
  <c r="D121" i="9" s="1"/>
  <c r="D122" i="9" s="1"/>
  <c r="H122" i="9" l="1"/>
  <c r="C103" i="9"/>
  <c r="D14" i="62"/>
  <c r="D106" i="9"/>
  <c r="D112" i="9" s="1"/>
  <c r="I102" i="9"/>
  <c r="N48" i="9" l="1"/>
  <c r="I110" i="9"/>
  <c r="D125" i="9" s="1"/>
  <c r="G14" i="62" s="1"/>
  <c r="B6" i="62" s="1"/>
  <c r="D45" i="9"/>
  <c r="D113" i="9"/>
  <c r="I111" i="9" s="1"/>
  <c r="D126" i="9" s="1"/>
  <c r="D117" i="9"/>
  <c r="I115" i="9" s="1"/>
  <c r="F14" i="62"/>
  <c r="B5" i="62"/>
  <c r="E14" i="62"/>
  <c r="C6" i="62" l="1"/>
  <c r="D6" i="62"/>
  <c r="D5" i="62"/>
  <c r="C5" i="62"/>
  <c r="D52" i="9"/>
  <c r="C85" i="9"/>
  <c r="C78" i="9"/>
  <c r="C73" i="9" s="1"/>
  <c r="C64" i="9"/>
  <c r="C63" i="9" s="1"/>
  <c r="C67" i="9" s="1"/>
  <c r="C68" i="9" s="1"/>
  <c r="D54" i="9" s="1"/>
  <c r="C93" i="9"/>
  <c r="C86" i="9" s="1"/>
  <c r="C72" i="9"/>
  <c r="D53" i="9"/>
  <c r="D48" i="9" s="1"/>
  <c r="N52" i="9" s="1"/>
  <c r="O57" i="9" s="1"/>
  <c r="C79" i="9" l="1"/>
  <c r="C95" i="9"/>
  <c r="Q57" i="9"/>
  <c r="O59" i="9"/>
  <c r="O58" i="9"/>
  <c r="C80" i="9" l="1"/>
  <c r="E80" i="9" s="1"/>
  <c r="E81" i="9" s="1"/>
  <c r="O60" i="9"/>
  <c r="O61" i="9"/>
  <c r="C96" i="9"/>
  <c r="E96" i="9" s="1"/>
  <c r="E97" i="9" s="1"/>
  <c r="C81" i="9" l="1"/>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<sst xmlns="http://schemas.openxmlformats.org/spreadsheetml/2006/main" count="44584" uniqueCount="9855">
  <si>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</si>
  <si>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</si>
  <si>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</si>
  <si>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</si>
  <si>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</si>
  <si>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</si>
  <si>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</si>
  <si>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</si>
  <si>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</si>
  <si>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</si>
  <si>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</si>
  <si>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</si>
  <si>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</si>
  <si>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</si>
  <si>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</si>
  <si>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</si>
  <si>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</si>
  <si>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</si>
  <si>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</si>
  <si>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</si>
  <si>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</si>
  <si>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</si>
  <si>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</si>
  <si>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</si>
  <si>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</si>
  <si>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</si>
  <si>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</si>
  <si>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</si>
  <si>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</si>
  <si>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</si>
  <si>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</si>
  <si>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</si>
  <si>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</si>
  <si>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</si>
  <si>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</si>
  <si>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</si>
  <si>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</si>
  <si>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</si>
  <si>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</si>
  <si>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</si>
  <si>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</si>
  <si>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</si>
  <si>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</si>
  <si>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</si>
  <si>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</si>
  <si>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</si>
  <si>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</si>
  <si>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</si>
  <si>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</si>
  <si>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</si>
  <si>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</si>
  <si>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</si>
  <si>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</si>
  <si>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</si>
  <si>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</si>
  <si>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</si>
  <si>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</si>
  <si>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</si>
  <si>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</si>
  <si>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</si>
  <si>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</si>
  <si>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</si>
  <si>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</si>
  <si>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</si>
  <si>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</si>
  <si>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</si>
  <si>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</si>
  <si>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</si>
  <si>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</si>
  <si>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</si>
  <si>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</si>
  <si>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</si>
  <si>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</si>
  <si>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</si>
  <si>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</si>
  <si>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</si>
  <si>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</si>
  <si>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</si>
  <si>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</si>
  <si>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</si>
  <si>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</si>
  <si>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</si>
  <si>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</si>
  <si>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</si>
  <si>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</si>
  <si>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</si>
  <si>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</si>
  <si>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</si>
  <si>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</si>
  <si>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</si>
  <si>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</si>
  <si>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</si>
  <si>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</si>
  <si>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</si>
  <si>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</si>
  <si>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</si>
  <si>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</si>
  <si>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</si>
  <si>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</si>
  <si>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</si>
  <si>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</si>
  <si>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</si>
  <si>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</si>
  <si>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</si>
  <si>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</si>
  <si>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</si>
  <si>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</si>
  <si>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</si>
  <si>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</si>
  <si>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</si>
  <si>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</si>
  <si>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</si>
  <si>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</si>
  <si>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</si>
  <si>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</si>
  <si>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</si>
  <si>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</si>
  <si>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</si>
  <si>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</si>
  <si>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</si>
  <si>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</si>
  <si>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</si>
  <si>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</si>
  <si>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</si>
  <si>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</si>
  <si>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</si>
  <si>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</si>
  <si>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</si>
  <si>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</si>
  <si>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</si>
  <si>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</si>
  <si>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</si>
  <si>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</si>
  <si>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</si>
  <si>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</si>
  <si>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</si>
  <si>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</si>
  <si>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</si>
  <si>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</si>
  <si>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</si>
  <si>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</si>
  <si>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</si>
  <si>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</si>
  <si>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</si>
  <si>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</si>
  <si>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</si>
  <si>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</si>
  <si>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</si>
  <si>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</si>
  <si>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</si>
  <si>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</si>
  <si>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</si>
  <si>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</si>
  <si>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</si>
  <si>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</si>
  <si>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</si>
  <si>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</si>
  <si>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</si>
  <si>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</si>
  <si>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</si>
  <si>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</si>
  <si>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</si>
  <si>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</si>
  <si>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</si>
  <si>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</si>
  <si>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</si>
  <si>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</si>
  <si>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</si>
  <si>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</si>
  <si>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</si>
  <si>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</si>
  <si>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</si>
  <si>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</si>
  <si>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</si>
  <si>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</si>
  <si>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</si>
  <si>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</si>
  <si>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</si>
  <si>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</si>
  <si>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</si>
  <si>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</si>
  <si>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</si>
  <si>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</si>
  <si>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</si>
  <si>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</si>
  <si>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</si>
  <si>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</si>
  <si>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</si>
  <si>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</si>
  <si>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</si>
  <si>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</si>
  <si>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</si>
  <si>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</si>
  <si>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</si>
  <si>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</si>
  <si>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</si>
  <si>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</si>
  <si>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</si>
  <si>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</si>
  <si>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</si>
  <si>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</si>
  <si>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</si>
  <si>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</si>
  <si>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</si>
  <si>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</si>
  <si>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</si>
  <si>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</si>
  <si>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</si>
  <si>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</si>
  <si>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</si>
  <si>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</si>
  <si>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</si>
  <si>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</si>
  <si>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</si>
  <si>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</si>
  <si>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</si>
  <si>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</si>
  <si>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</si>
  <si>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</si>
  <si>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</si>
  <si>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</si>
  <si>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</si>
  <si>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</si>
  <si>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</si>
  <si>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</si>
  <si>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</si>
  <si>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</si>
  <si>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</si>
  <si>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</si>
  <si>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</si>
  <si>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</si>
  <si>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</si>
  <si>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</si>
  <si>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</si>
  <si>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</si>
  <si>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</si>
  <si>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</si>
  <si>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</si>
  <si>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</si>
  <si>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</si>
  <si>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</si>
  <si>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</si>
  <si>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</si>
  <si>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</si>
  <si>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</si>
  <si>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</si>
  <si>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</si>
  <si>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</si>
  <si>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</si>
  <si>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</si>
  <si>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</si>
  <si>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</si>
  <si>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</si>
  <si>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</si>
  <si>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</si>
  <si>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</si>
  <si>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</si>
  <si>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</si>
  <si>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</si>
  <si>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</si>
  <si>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</si>
  <si>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</si>
  <si>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</si>
  <si>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</si>
  <si>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</si>
  <si>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</si>
  <si>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</si>
  <si>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</si>
  <si>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</si>
  <si>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</si>
  <si>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</si>
  <si>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</si>
  <si>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</si>
  <si>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</si>
  <si>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</si>
  <si>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</si>
  <si>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</si>
  <si>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</si>
  <si>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</si>
  <si>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</si>
  <si>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</si>
  <si>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</si>
  <si>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</si>
  <si>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</si>
  <si>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</si>
  <si>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</si>
  <si>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</si>
  <si>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</si>
  <si>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</si>
  <si>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</si>
  <si>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</si>
  <si>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</si>
  <si>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</si>
  <si>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</si>
  <si>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</si>
  <si>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</si>
  <si>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</si>
  <si>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</si>
  <si>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</si>
  <si>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</si>
  <si>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</si>
  <si>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</si>
  <si>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</si>
  <si>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</si>
  <si>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</si>
  <si>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</si>
  <si>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</si>
  <si>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</si>
  <si>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</si>
  <si>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</si>
  <si>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</si>
  <si>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</si>
  <si>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</si>
  <si>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</si>
  <si>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</si>
  <si>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</si>
  <si>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</si>
  <si>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</si>
  <si>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</si>
  <si>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</si>
  <si>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</si>
  <si>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</si>
  <si>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</si>
  <si>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</si>
  <si>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</si>
  <si>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</si>
  <si>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</si>
  <si>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</si>
  <si>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</si>
  <si>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</si>
  <si>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</si>
  <si>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</si>
  <si>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</si>
  <si>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</si>
  <si>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</si>
  <si>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</si>
  <si>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</si>
  <si>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</si>
  <si>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</si>
  <si>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</si>
  <si>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</si>
  <si>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</si>
  <si>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</si>
  <si>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</si>
  <si>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</si>
  <si>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</si>
  <si>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</si>
  <si>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</si>
  <si>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</si>
  <si>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</si>
  <si>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</si>
  <si>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</si>
  <si>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</si>
  <si>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</si>
  <si>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</si>
  <si>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</si>
  <si>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</si>
  <si>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</si>
  <si>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</si>
  <si>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</si>
  <si>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</si>
  <si>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</si>
  <si>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</si>
  <si>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</si>
  <si>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</si>
  <si>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</si>
  <si>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</si>
  <si>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</si>
  <si>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</si>
  <si>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</si>
  <si>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</si>
  <si>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</si>
  <si>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</si>
  <si>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</si>
  <si>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</si>
  <si>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</si>
  <si>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</si>
  <si>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</si>
  <si>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</si>
  <si>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</si>
  <si>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</si>
  <si>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</si>
  <si>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</si>
  <si>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</si>
  <si>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</si>
  <si>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</si>
  <si>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</si>
  <si>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</si>
  <si>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</si>
  <si>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</si>
  <si>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</si>
  <si>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</si>
  <si>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</si>
  <si>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</si>
  <si>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</si>
  <si>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</si>
  <si>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</si>
  <si>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</si>
  <si>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</si>
  <si>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</si>
  <si>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</si>
  <si>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</si>
  <si>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</si>
  <si>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</si>
  <si>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</si>
  <si>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</si>
  <si>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</si>
  <si>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</si>
  <si>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</si>
  <si>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</si>
  <si>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</si>
  <si>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</si>
  <si>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</si>
  <si>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</si>
  <si>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</si>
  <si>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</si>
  <si>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</si>
  <si>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</si>
  <si>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</si>
  <si>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</si>
  <si>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</si>
  <si>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</si>
  <si>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</si>
  <si>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</si>
  <si>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</si>
  <si>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</si>
  <si>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</si>
  <si>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</si>
  <si>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</si>
  <si>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</si>
  <si>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</si>
  <si>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</si>
  <si>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</si>
  <si>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</si>
  <si>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</si>
  <si>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</si>
  <si>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</si>
  <si>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</si>
  <si>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</si>
  <si>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</si>
  <si>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</si>
  <si>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</si>
  <si>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</si>
  <si>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</si>
  <si>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</si>
  <si>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</si>
  <si>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</si>
  <si>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</si>
  <si>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</si>
  <si>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</si>
  <si>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</si>
  <si>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</si>
  <si>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</si>
  <si>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</si>
  <si>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</si>
  <si>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</si>
  <si>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</si>
  <si>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</si>
  <si>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</si>
  <si>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</si>
  <si>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</si>
  <si>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</si>
  <si>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</si>
  <si>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</si>
  <si>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</si>
  <si>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</si>
  <si>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</si>
  <si>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</si>
  <si>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</si>
  <si>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</si>
  <si>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</si>
  <si>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</si>
  <si>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</si>
  <si>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</si>
  <si>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</si>
  <si>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</si>
  <si>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</si>
  <si>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</si>
  <si>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</si>
  <si>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</si>
  <si>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</si>
  <si>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</si>
  <si>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</si>
  <si>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</si>
  <si>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</si>
  <si>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</si>
  <si>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</si>
  <si>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</si>
  <si>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</si>
  <si>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</si>
  <si>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</si>
  <si>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</si>
  <si>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</si>
  <si>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</si>
  <si>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</si>
  <si>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</si>
  <si>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</si>
  <si>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</si>
  <si>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</si>
  <si>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</si>
  <si>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</si>
  <si>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</si>
  <si>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</si>
  <si>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</si>
  <si>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</si>
  <si>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</si>
  <si>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</si>
  <si>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</si>
  <si>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</si>
  <si>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</si>
  <si>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</si>
  <si>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</si>
  <si>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</si>
  <si>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</si>
  <si>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</si>
  <si>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</si>
  <si>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</si>
  <si>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</si>
  <si>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</si>
  <si>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</si>
  <si>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</si>
  <si>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</si>
  <si>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</si>
  <si>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</si>
  <si>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</si>
  <si>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</si>
  <si>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</si>
  <si>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</si>
  <si>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</si>
  <si>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</si>
  <si>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</si>
  <si>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</si>
  <si>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</si>
  <si>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</si>
  <si>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</si>
  <si>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</si>
  <si>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</si>
  <si>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</si>
  <si>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</si>
  <si>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</si>
  <si>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</si>
  <si>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</si>
  <si>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</si>
  <si>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</si>
  <si>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</si>
  <si>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</si>
  <si>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</si>
  <si>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</si>
  <si>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</si>
  <si>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</si>
  <si>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</si>
  <si>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</si>
  <si>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</si>
  <si>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</si>
  <si>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</si>
  <si>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</si>
  <si>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</si>
  <si>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</si>
  <si>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</si>
  <si>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</si>
  <si>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</si>
  <si>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</si>
  <si>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</si>
  <si>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</si>
  <si>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</si>
  <si>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</si>
  <si>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</si>
  <si>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</si>
  <si>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</si>
  <si>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</si>
  <si>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</si>
  <si>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</si>
  <si>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</si>
  <si>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</si>
  <si>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</si>
  <si>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</si>
  <si>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</si>
  <si>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</si>
  <si>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</si>
  <si>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</si>
  <si>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</si>
  <si>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</si>
  <si>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</si>
  <si>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</si>
  <si>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</si>
  <si>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</si>
  <si>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</si>
  <si>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</si>
  <si>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</si>
  <si>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</si>
  <si>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</si>
  <si>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</si>
  <si>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</si>
  <si>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</si>
  <si>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</si>
  <si>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</si>
  <si>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</si>
  <si>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</si>
  <si>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</si>
  <si>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</si>
  <si>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</si>
  <si>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</si>
  <si>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</si>
  <si>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</si>
  <si>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</si>
  <si>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</si>
  <si>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</si>
  <si>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</si>
  <si>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</si>
  <si>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</si>
  <si>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</si>
  <si>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</si>
  <si>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</si>
  <si>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</si>
  <si>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</si>
  <si>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</si>
  <si>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</si>
  <si>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</si>
  <si>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</si>
  <si>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</si>
  <si>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</si>
  <si>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</si>
  <si>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</si>
  <si>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</si>
  <si>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</si>
  <si>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</si>
  <si>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</si>
  <si>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</si>
  <si>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</si>
  <si>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</si>
  <si>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</si>
  <si>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</si>
  <si>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</si>
  <si>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</si>
  <si>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</si>
  <si>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</si>
  <si>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</si>
  <si>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</si>
  <si>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</si>
  <si>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</si>
  <si>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</si>
  <si>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</si>
  <si>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</si>
  <si>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</si>
  <si>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</si>
  <si>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</si>
  <si>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</si>
  <si>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</si>
  <si>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</si>
  <si>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</si>
  <si>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</si>
  <si>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</si>
  <si>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</si>
  <si>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</si>
  <si>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</si>
  <si>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</si>
  <si>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</si>
  <si>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</si>
  <si>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</si>
  <si>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</si>
  <si>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</si>
  <si>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</si>
  <si>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</si>
  <si>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</si>
  <si>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</si>
  <si>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</si>
  <si>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</si>
  <si>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</si>
  <si>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</si>
  <si>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</si>
  <si>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</si>
  <si>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</si>
  <si>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</si>
  <si>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</si>
  <si>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</si>
  <si>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</si>
  <si>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</si>
  <si>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</si>
  <si>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</si>
  <si>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</si>
  <si>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</si>
  <si>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</si>
  <si>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</si>
  <si>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</si>
  <si>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</si>
  <si>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</si>
  <si>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</si>
  <si>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</si>
  <si>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</si>
  <si>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</si>
  <si>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</si>
  <si>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</si>
  <si>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</si>
  <si>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</si>
  <si>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</si>
  <si>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</si>
  <si>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</si>
  <si>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</si>
  <si>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</si>
  <si>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</si>
  <si>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</si>
  <si>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</si>
  <si>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</si>
  <si>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</si>
  <si>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</si>
  <si>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</si>
  <si>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</si>
  <si>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</si>
  <si>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</si>
  <si>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</si>
  <si>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</si>
  <si>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</si>
  <si>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</si>
  <si>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</si>
  <si>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</si>
  <si>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</si>
  <si>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</si>
  <si>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</si>
  <si>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</si>
  <si>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</si>
  <si>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</si>
  <si>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</si>
  <si>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</si>
  <si>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</si>
  <si>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</si>
  <si>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</si>
  <si>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</si>
  <si>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</si>
  <si>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</si>
  <si>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</si>
  <si>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</si>
  <si>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</si>
  <si>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</si>
  <si>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</si>
  <si>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</si>
  <si>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</si>
  <si>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</si>
  <si>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</si>
  <si>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</si>
  <si>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</si>
  <si>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</si>
  <si>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</si>
  <si>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</si>
  <si>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</si>
  <si>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</si>
  <si>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</si>
  <si>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</si>
  <si>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</si>
  <si>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</si>
  <si>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</si>
  <si>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</si>
  <si>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</si>
  <si>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</si>
  <si>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</si>
  <si>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</si>
  <si>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</si>
  <si>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</si>
  <si>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</si>
  <si>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</si>
  <si>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</si>
  <si>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</si>
  <si>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</si>
  <si>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</si>
  <si>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</si>
  <si>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</si>
  <si>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</si>
  <si>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</si>
  <si>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</si>
  <si>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</si>
  <si>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</si>
  <si>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</si>
  <si>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</si>
  <si>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</si>
  <si>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</si>
  <si>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</si>
  <si>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</si>
  <si>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</si>
  <si>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</si>
  <si>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</si>
  <si>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</si>
  <si>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</si>
  <si>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</si>
  <si>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</si>
  <si>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</si>
  <si>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</si>
  <si>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</si>
  <si>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</si>
  <si>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</si>
  <si>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</si>
  <si>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</si>
  <si>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</si>
  <si>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</si>
  <si>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</si>
  <si>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</si>
  <si>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</si>
  <si>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</si>
  <si>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</si>
  <si>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</si>
  <si>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</si>
  <si>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</si>
  <si>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</si>
  <si>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</si>
  <si>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</si>
  <si>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</si>
  <si>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</si>
  <si>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</si>
  <si>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</si>
  <si>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</si>
  <si>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</si>
  <si>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</si>
  <si>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</si>
  <si>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</si>
  <si>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</si>
  <si>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</si>
  <si>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</si>
  <si>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</si>
  <si>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</si>
  <si>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</si>
  <si>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</si>
  <si>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</si>
  <si>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</si>
  <si>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</si>
  <si>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</si>
  <si>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</si>
  <si>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</si>
  <si>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</si>
  <si>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</si>
  <si>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</si>
  <si>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</si>
  <si>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</si>
  <si>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</si>
  <si>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</si>
  <si>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</si>
  <si>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</si>
  <si>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</si>
  <si>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</si>
  <si>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</si>
  <si>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</si>
  <si>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</si>
  <si>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</si>
  <si>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</si>
  <si>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</si>
  <si>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</si>
  <si>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</si>
  <si>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</si>
  <si>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</si>
  <si>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</si>
  <si>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</si>
  <si>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</si>
  <si>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</si>
  <si>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</si>
  <si>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</si>
  <si>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</si>
  <si>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</si>
  <si>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</si>
  <si>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</si>
  <si>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</si>
  <si>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</si>
  <si>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</si>
  <si>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</si>
  <si>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</si>
  <si>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</si>
  <si>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</si>
  <si>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</si>
  <si>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</si>
  <si>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</si>
  <si>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</si>
  <si>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</si>
  <si>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</si>
  <si>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</si>
  <si>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</si>
  <si>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</si>
  <si>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</si>
  <si>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</si>
  <si>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</si>
  <si>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</si>
  <si>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</si>
  <si>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</si>
  <si>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</si>
  <si>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</si>
  <si>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</si>
  <si>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</si>
  <si>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</si>
  <si>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</si>
  <si>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</si>
  <si>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</si>
  <si>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</si>
  <si>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</si>
  <si>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</si>
  <si>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</si>
  <si>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</si>
  <si>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</si>
  <si>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</si>
  <si>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</si>
  <si>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</si>
  <si>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</si>
  <si>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</si>
  <si>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</si>
  <si>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</si>
  <si>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</si>
  <si>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</si>
  <si>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</si>
  <si>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</si>
  <si>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</si>
  <si>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</si>
  <si>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</si>
  <si>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</si>
  <si>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</si>
  <si>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</si>
  <si>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</si>
  <si>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</si>
  <si>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</si>
  <si>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</si>
  <si>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</si>
  <si>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</si>
  <si>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</si>
  <si>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</si>
  <si>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</si>
  <si>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</si>
  <si>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</si>
  <si>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</si>
  <si>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</si>
  <si>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</si>
  <si>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</si>
  <si>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</si>
  <si>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</si>
  <si>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</si>
  <si>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</si>
  <si>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</si>
  <si>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</si>
  <si>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</si>
  <si>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</si>
  <si>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</si>
  <si>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</si>
  <si>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</si>
  <si>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</si>
  <si>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</si>
  <si>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</si>
  <si>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</si>
  <si>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</si>
  <si>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</si>
  <si>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</si>
  <si>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</si>
  <si>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</si>
  <si>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</si>
  <si>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</si>
  <si>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</si>
  <si>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</si>
  <si>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</si>
  <si>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</si>
  <si>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</si>
  <si>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</si>
  <si>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</si>
  <si>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</si>
  <si>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</si>
  <si>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</si>
  <si>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</si>
  <si>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</si>
  <si>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</si>
  <si>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</si>
  <si>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</si>
  <si>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</si>
  <si>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</si>
  <si>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</si>
  <si>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</si>
  <si>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</si>
  <si>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</si>
  <si>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</si>
  <si>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</si>
  <si>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</si>
  <si>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</si>
  <si>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</si>
  <si>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</si>
  <si>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</si>
  <si>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</si>
  <si>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</si>
  <si>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</si>
  <si>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</si>
  <si>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</si>
  <si>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</si>
  <si>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</si>
  <si>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</si>
  <si>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</si>
  <si>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</si>
  <si>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</si>
  <si>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</si>
  <si>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</si>
  <si>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</si>
  <si>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</si>
  <si>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</si>
  <si>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</si>
  <si>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</si>
  <si>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</si>
  <si>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</si>
  <si>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</si>
  <si>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</si>
  <si>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</si>
  <si>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</si>
  <si>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</si>
  <si>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</si>
  <si>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</si>
  <si>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</si>
  <si>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</si>
  <si>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</si>
  <si>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</si>
  <si>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</si>
  <si>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</si>
  <si>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</si>
  <si>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</si>
  <si>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</si>
  <si>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</si>
  <si>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</si>
  <si>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</si>
  <si>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</si>
  <si>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</si>
  <si>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</si>
  <si>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</si>
  <si>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</si>
  <si>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</si>
  <si>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</si>
  <si>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</si>
  <si>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</si>
  <si>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</si>
  <si>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</si>
  <si>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</si>
  <si>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</si>
  <si>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</si>
  <si>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</si>
  <si>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</si>
  <si>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</si>
  <si>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</si>
  <si>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</si>
  <si>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</si>
  <si>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</si>
  <si>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</si>
  <si>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</si>
  <si>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</si>
  <si>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</si>
  <si>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</si>
  <si>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</si>
  <si>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</si>
  <si>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</si>
  <si>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</si>
  <si>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</si>
  <si>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</si>
  <si>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</si>
  <si>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</si>
  <si>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</si>
  <si>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</si>
  <si>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</si>
  <si>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</si>
  <si>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</si>
  <si>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</si>
  <si>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</si>
  <si>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</si>
  <si>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</si>
  <si>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</si>
  <si>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</si>
  <si>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</si>
  <si>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</si>
  <si>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</si>
  <si>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</si>
  <si>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</si>
  <si>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</si>
  <si>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</si>
  <si>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</si>
  <si>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</si>
  <si>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</si>
  <si>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</si>
  <si>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</si>
  <si>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</si>
  <si>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</si>
  <si>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</si>
  <si>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</si>
  <si>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</si>
  <si>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</si>
  <si>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</si>
  <si>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</si>
  <si>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</si>
  <si>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</si>
  <si>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</si>
  <si>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</si>
  <si>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</si>
  <si>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</si>
  <si>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</si>
  <si>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</si>
  <si>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</si>
  <si>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</si>
  <si>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</si>
  <si>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</si>
  <si>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</si>
  <si>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</si>
  <si>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</si>
  <si>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</si>
  <si>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</si>
  <si>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</si>
  <si>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</si>
  <si>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</si>
  <si>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</si>
  <si>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</si>
  <si>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</si>
  <si>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</si>
  <si>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</si>
  <si>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</si>
  <si>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</si>
  <si>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</si>
  <si>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</si>
  <si>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</si>
  <si>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</si>
  <si>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</si>
  <si>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</si>
  <si>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</si>
  <si>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</si>
  <si>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</si>
  <si>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</si>
  <si>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</si>
  <si>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</si>
  <si>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</si>
  <si>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</si>
  <si>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</si>
  <si>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</si>
  <si>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</si>
  <si>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</si>
  <si>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</si>
  <si>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</si>
  <si>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</si>
  <si>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</si>
  <si>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</si>
  <si>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</si>
  <si>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</si>
  <si>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</si>
  <si>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</si>
  <si>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</si>
  <si>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</si>
  <si>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</si>
  <si>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</si>
  <si>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</si>
  <si>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</si>
  <si>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</si>
  <si>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</si>
  <si>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</si>
  <si>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</si>
  <si>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</si>
  <si>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</si>
  <si>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</si>
  <si>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</si>
  <si>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</si>
  <si>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</si>
  <si>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</si>
  <si>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</si>
  <si>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</si>
  <si>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</si>
  <si>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</si>
  <si>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</si>
  <si>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</si>
  <si>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</si>
  <si>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</si>
  <si>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</si>
  <si>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</si>
  <si>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</si>
  <si>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</si>
  <si>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</si>
  <si>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</si>
  <si>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</si>
  <si>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</si>
  <si>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</si>
  <si>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</si>
  <si>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</si>
  <si>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</si>
  <si>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</si>
  <si>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</si>
  <si>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</si>
  <si>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</si>
  <si>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</si>
  <si>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</si>
  <si>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</si>
  <si>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</si>
  <si>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</si>
  <si>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</si>
  <si>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</si>
  <si>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</si>
  <si>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</si>
  <si>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</si>
  <si>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</si>
  <si>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</si>
  <si>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</si>
  <si>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</si>
  <si>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</si>
  <si>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</si>
  <si>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</si>
  <si>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</si>
  <si>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</si>
  <si>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</si>
  <si>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</si>
  <si>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</si>
  <si>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</si>
  <si>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</si>
  <si>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</si>
  <si>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</si>
  <si>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</si>
  <si>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</si>
  <si>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</si>
  <si>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</si>
  <si>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</si>
  <si>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</si>
  <si>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</si>
  <si>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</si>
  <si>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</si>
  <si>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</si>
  <si>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</si>
  <si>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</si>
  <si>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</si>
  <si>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</si>
  <si>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</si>
  <si>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</si>
  <si>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</si>
  <si>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</si>
  <si>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</si>
  <si>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</si>
  <si>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</si>
  <si>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</si>
  <si>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</si>
  <si>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</si>
  <si>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</si>
  <si>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</si>
  <si>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</si>
  <si>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</si>
  <si>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</si>
  <si>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</si>
  <si>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</si>
  <si>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</si>
  <si>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</si>
  <si>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</si>
  <si>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</si>
  <si>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</si>
  <si>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</si>
  <si>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</si>
  <si>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</si>
  <si>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</si>
  <si>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</si>
  <si>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</si>
  <si>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</si>
  <si>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</si>
  <si>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</si>
  <si>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</si>
  <si>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</si>
  <si>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</si>
  <si>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</si>
  <si>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</si>
  <si>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</si>
  <si>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</si>
  <si>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</si>
  <si>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</si>
  <si>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</si>
  <si>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</si>
  <si>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</si>
  <si>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</si>
  <si>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</si>
  <si>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</si>
  <si>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</si>
  <si>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</si>
  <si>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</si>
  <si>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</si>
  <si>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</si>
  <si>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</si>
  <si>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</si>
  <si>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</si>
  <si>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</si>
  <si>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</si>
  <si>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</si>
  <si>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</si>
  <si>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</si>
  <si>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</si>
  <si>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</si>
  <si>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</si>
  <si>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</si>
  <si>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</si>
  <si>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</si>
  <si>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</si>
  <si>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</si>
  <si>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</si>
  <si>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</si>
  <si>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</si>
  <si>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</si>
  <si>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</si>
  <si>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</si>
  <si>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</si>
  <si>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</si>
  <si>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</si>
  <si>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</si>
  <si>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</si>
  <si>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</si>
  <si>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</si>
  <si>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</si>
  <si>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</si>
  <si>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</si>
  <si>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</si>
  <si>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</si>
  <si>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</si>
  <si>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</si>
  <si>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</si>
  <si>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</si>
  <si>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</si>
  <si>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</si>
  <si>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</si>
  <si>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</si>
  <si>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</si>
  <si>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</si>
  <si>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</si>
  <si>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</si>
  <si>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</si>
  <si>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</si>
  <si>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</si>
  <si>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</si>
  <si>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</si>
  <si>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</si>
  <si>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</si>
  <si>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</si>
  <si>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</si>
  <si>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</si>
  <si>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</si>
  <si>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</si>
  <si>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</si>
  <si>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</si>
  <si>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</si>
  <si>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</si>
  <si>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</si>
  <si>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</si>
  <si>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</si>
  <si>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</si>
  <si>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</si>
  <si>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</si>
  <si>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</si>
  <si>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</si>
  <si>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</si>
  <si>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</si>
  <si>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</si>
  <si>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</si>
  <si>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</si>
  <si>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</si>
  <si>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</si>
  <si>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</si>
  <si>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</si>
  <si>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</si>
  <si>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</si>
  <si>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</si>
  <si>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</si>
  <si>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</si>
  <si>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</si>
  <si>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</si>
  <si>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</si>
  <si>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</si>
  <si>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</si>
  <si>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</si>
  <si>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</si>
  <si>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</si>
  <si>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</si>
  <si>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</si>
  <si>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</si>
  <si>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</si>
  <si>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</si>
  <si>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</si>
  <si>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</si>
  <si>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</si>
  <si>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</si>
  <si>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</si>
  <si>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</si>
  <si>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</si>
  <si>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</si>
  <si>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</si>
  <si>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</si>
  <si>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</si>
  <si>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</si>
  <si>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</si>
  <si>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</si>
  <si>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</si>
  <si>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</si>
  <si>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</si>
  <si>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</si>
  <si>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</si>
  <si>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</si>
  <si>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</si>
  <si>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</si>
  <si>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</si>
  <si>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</si>
  <si>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</si>
  <si>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</si>
  <si>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</si>
  <si>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</si>
  <si>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</si>
  <si>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</si>
  <si>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</si>
  <si>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</si>
  <si>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</si>
  <si>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</si>
  <si>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</si>
  <si>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</si>
  <si>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</si>
  <si>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</si>
  <si>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</si>
  <si>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</si>
  <si>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</si>
  <si>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</si>
  <si>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</si>
  <si>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</si>
  <si>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</si>
  <si>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</si>
  <si>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</si>
  <si>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</si>
  <si>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</si>
  <si>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</si>
  <si>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</si>
  <si>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</si>
  <si>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</si>
  <si>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</si>
  <si>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</si>
  <si>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</si>
  <si>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</si>
  <si>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</si>
  <si>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</si>
  <si>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</si>
  <si>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</si>
  <si>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</si>
  <si>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</si>
  <si>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</si>
  <si>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</si>
  <si>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</si>
  <si>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</si>
  <si>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</si>
  <si>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</si>
  <si>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</si>
  <si>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</si>
  <si>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</si>
  <si>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</si>
  <si>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</si>
  <si>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</si>
  <si>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</si>
  <si>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</si>
  <si>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</si>
  <si>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</si>
  <si>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</si>
  <si>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</si>
  <si>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</si>
  <si>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</si>
  <si>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</si>
  <si>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</si>
  <si>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</si>
  <si>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</si>
  <si>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</si>
  <si>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</si>
  <si>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</si>
  <si>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</si>
  <si>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</si>
  <si>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</si>
  <si>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</si>
  <si>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</si>
  <si>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</si>
  <si>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</si>
  <si>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</si>
  <si>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</si>
  <si>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</si>
  <si>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</si>
  <si>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</si>
  <si>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</si>
  <si>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</si>
  <si>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</si>
  <si>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</si>
  <si>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</si>
  <si>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</si>
  <si>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</si>
  <si>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</si>
  <si>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</si>
  <si>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</si>
  <si>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</si>
  <si>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</si>
  <si>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</si>
  <si>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</si>
  <si>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</si>
  <si>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</si>
  <si>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</si>
  <si>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</si>
  <si>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</si>
  <si>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</si>
  <si>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</si>
  <si>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</si>
  <si>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</si>
  <si>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</si>
  <si>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</si>
  <si>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</si>
  <si>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</si>
  <si>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</si>
  <si>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</si>
  <si>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</si>
  <si>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</si>
  <si>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</si>
  <si>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</si>
  <si>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</si>
  <si>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</si>
  <si>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</si>
  <si>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</si>
  <si>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</si>
  <si>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</si>
  <si>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</si>
  <si>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</si>
  <si>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</si>
  <si>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</si>
  <si>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</si>
  <si>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</si>
  <si>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</si>
  <si>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</si>
  <si>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</si>
  <si>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</si>
  <si>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</si>
  <si>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</si>
  <si>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</si>
  <si>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</si>
  <si>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</si>
  <si>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</si>
  <si>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</si>
  <si>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</si>
  <si>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</si>
  <si>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</si>
  <si>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</si>
  <si>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</si>
  <si>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</si>
  <si>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</si>
  <si>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</si>
  <si>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</si>
  <si>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</si>
  <si>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</si>
  <si>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</si>
  <si>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</si>
  <si>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</si>
  <si>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</si>
  <si>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</si>
  <si>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</si>
  <si>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</si>
  <si>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</si>
  <si>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</si>
  <si>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</si>
  <si>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</si>
  <si>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</si>
  <si>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</si>
  <si>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</si>
  <si>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</si>
  <si>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</si>
  <si>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</si>
  <si>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</si>
  <si>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</si>
  <si>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</si>
  <si>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</si>
  <si>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</si>
  <si>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</si>
  <si>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</si>
  <si>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</si>
  <si>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</si>
  <si>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</si>
  <si>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</si>
  <si>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</si>
  <si>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</si>
  <si>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</si>
  <si>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</si>
  <si>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</si>
  <si>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</si>
  <si>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</si>
  <si>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</si>
  <si>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</si>
  <si>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</si>
  <si>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</si>
  <si>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</si>
  <si>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</si>
  <si>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</si>
  <si>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</si>
  <si>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</si>
  <si>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</si>
  <si>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</si>
  <si>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</si>
  <si>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</si>
  <si>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</si>
  <si>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</si>
  <si>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</si>
  <si>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</si>
  <si>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</si>
  <si>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</si>
  <si>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</si>
  <si>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</si>
  <si>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</si>
  <si>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</si>
  <si>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</si>
  <si>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</si>
  <si>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</si>
  <si>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</si>
  <si>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</si>
  <si>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</si>
  <si>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</si>
  <si>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</si>
  <si>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</si>
  <si>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</si>
  <si>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</si>
  <si>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</si>
  <si>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</si>
  <si>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</si>
  <si>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</si>
  <si>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</si>
  <si>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</si>
  <si>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</si>
  <si>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</si>
  <si>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</si>
  <si>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</si>
  <si>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</si>
  <si>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</si>
  <si>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</si>
  <si>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</si>
  <si>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</si>
  <si>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</si>
  <si>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</si>
  <si>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</si>
  <si>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</si>
  <si>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</si>
  <si>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</si>
  <si>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</si>
  <si>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</si>
  <si>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</si>
  <si>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</si>
  <si>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</si>
  <si>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</si>
  <si>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</si>
  <si>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</si>
  <si>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</si>
  <si>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</si>
  <si>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</si>
  <si>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</si>
  <si>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</si>
  <si>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</si>
  <si>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</si>
  <si>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</si>
  <si>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</si>
  <si>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</si>
  <si>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</si>
  <si>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</si>
  <si>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</si>
  <si>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</si>
  <si>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</si>
  <si>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</si>
  <si>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</si>
  <si>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</si>
  <si>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</si>
  <si>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</si>
  <si>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</si>
  <si>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</si>
  <si>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</si>
  <si>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</si>
  <si>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</si>
  <si>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</si>
  <si>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</si>
  <si>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</si>
  <si>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</si>
  <si>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</si>
  <si>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</si>
  <si>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</si>
  <si>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</si>
  <si>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</si>
  <si>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</si>
  <si>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</si>
  <si>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</si>
  <si>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</si>
  <si>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</si>
  <si>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</si>
  <si>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</si>
  <si>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</si>
  <si>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</si>
  <si>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</si>
  <si>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</si>
  <si>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</si>
  <si>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</si>
  <si>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</si>
  <si>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</si>
  <si>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</si>
  <si>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</si>
  <si>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</si>
  <si>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</si>
  <si>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</si>
  <si>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</si>
  <si>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</si>
  <si>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</si>
  <si>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</si>
  <si>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</si>
  <si>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</si>
  <si>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</si>
  <si>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</si>
  <si>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</si>
  <si>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</si>
  <si>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</si>
  <si>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</si>
  <si>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</si>
  <si>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</si>
  <si>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</si>
  <si>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</si>
  <si>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</si>
  <si>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</si>
  <si>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</si>
  <si>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</si>
  <si>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</si>
  <si>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</si>
  <si>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</si>
  <si>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</si>
  <si>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</si>
  <si>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</si>
  <si>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</si>
  <si>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</si>
  <si>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</si>
  <si>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</si>
  <si>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</si>
  <si>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</si>
  <si>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</si>
  <si>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</si>
  <si>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</si>
  <si>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</si>
  <si>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</si>
  <si>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</si>
  <si>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</si>
  <si>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</si>
  <si>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</si>
  <si>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</si>
  <si>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</si>
  <si>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</si>
  <si>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</si>
  <si>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</si>
  <si>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</si>
  <si>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</si>
  <si>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</si>
  <si>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</si>
  <si>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</si>
  <si>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</si>
  <si>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</si>
  <si>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</si>
  <si>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</si>
  <si>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</si>
  <si>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</si>
  <si>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</si>
  <si>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</si>
  <si>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</si>
  <si>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</si>
  <si>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</si>
  <si>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</si>
  <si>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</si>
  <si>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</si>
  <si>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</si>
  <si>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</si>
  <si>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</si>
  <si>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</si>
  <si>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</si>
  <si>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</si>
  <si>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</si>
  <si>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</si>
  <si>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</si>
  <si>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</si>
  <si>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</si>
  <si>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</si>
  <si>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</si>
  <si>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</si>
  <si>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</si>
  <si>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</si>
  <si>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</si>
  <si>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</si>
  <si>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</si>
  <si>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</si>
  <si>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</si>
  <si>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</si>
  <si>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</si>
  <si>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</si>
  <si>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</si>
  <si>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</si>
  <si>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</si>
  <si>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</si>
  <si>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</si>
  <si>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</si>
  <si>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</si>
  <si>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</si>
  <si>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</si>
  <si>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</si>
  <si>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</si>
  <si>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</si>
  <si>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</si>
  <si>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</si>
  <si>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</si>
  <si>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</si>
  <si>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</si>
  <si>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</si>
  <si>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</si>
  <si>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</si>
  <si>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</si>
  <si>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</si>
  <si>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</si>
  <si>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</si>
  <si>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</si>
  <si>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</si>
  <si>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</si>
  <si>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</si>
  <si>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</si>
  <si>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</si>
  <si>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</si>
  <si>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</si>
  <si>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</si>
  <si>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</si>
  <si>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</si>
  <si>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</si>
  <si>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</si>
  <si>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</si>
  <si>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</si>
  <si>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</si>
  <si>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</si>
  <si>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</si>
  <si>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</si>
  <si>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</si>
  <si>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</si>
  <si>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</si>
  <si>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</si>
  <si>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</si>
  <si>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</si>
  <si>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</si>
  <si>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</si>
  <si>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</si>
  <si>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</si>
  <si>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</si>
  <si>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</si>
  <si>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</si>
  <si>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</si>
  <si>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</si>
  <si>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</si>
  <si>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</si>
  <si>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</si>
  <si>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</si>
  <si>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</si>
  <si>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</si>
  <si>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</si>
  <si>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</si>
  <si>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</si>
  <si>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</si>
  <si>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</si>
  <si>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</si>
  <si>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</si>
  <si>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</si>
  <si>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</si>
  <si>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</si>
  <si>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</si>
  <si>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</si>
  <si>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</si>
  <si>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</si>
  <si>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</si>
  <si>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</si>
  <si>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</si>
  <si>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</si>
  <si>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</si>
  <si>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</si>
  <si>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</si>
  <si>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</si>
  <si>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</si>
  <si>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</si>
  <si>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</si>
  <si>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</si>
  <si>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</si>
  <si>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</si>
  <si>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</si>
  <si>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</si>
  <si>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</si>
  <si>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</si>
  <si>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</si>
  <si>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</si>
  <si>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</si>
  <si>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</si>
  <si>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</si>
  <si>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</si>
  <si>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</si>
  <si>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</si>
  <si>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</si>
  <si>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</si>
  <si>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</si>
  <si>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</si>
  <si>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</si>
  <si>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</si>
  <si>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</si>
  <si>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</si>
  <si>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</si>
  <si>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</si>
  <si>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</si>
  <si>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</si>
  <si>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</si>
  <si>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</si>
  <si>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</si>
  <si>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</si>
  <si>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</si>
  <si>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</si>
  <si>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</si>
  <si>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</si>
  <si>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</si>
  <si>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</si>
  <si>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</si>
  <si>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</si>
  <si>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</si>
  <si>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</si>
  <si>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</si>
  <si>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</si>
  <si>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</si>
  <si>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</si>
  <si>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</si>
  <si>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</si>
  <si>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</si>
  <si>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</si>
  <si>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</si>
  <si>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</si>
  <si>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</si>
  <si>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</si>
  <si>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</si>
  <si>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</si>
  <si>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</si>
  <si>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</si>
  <si>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</si>
  <si>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</si>
  <si>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</si>
  <si>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</si>
  <si>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</si>
  <si>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</si>
  <si>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</si>
  <si>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</si>
  <si>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</si>
  <si>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</si>
  <si>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</si>
  <si>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</si>
  <si>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</si>
  <si>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</si>
  <si>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</si>
  <si>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</si>
  <si>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</si>
  <si>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</si>
  <si>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</si>
  <si>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</si>
  <si>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</si>
  <si>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</si>
  <si>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</si>
  <si>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</si>
  <si>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</si>
  <si>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</si>
  <si>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</si>
  <si>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</si>
  <si>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</si>
  <si>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</si>
  <si>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</si>
  <si>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</si>
  <si>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</si>
  <si>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</si>
  <si>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</si>
  <si>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</si>
  <si>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</si>
  <si>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</si>
  <si>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</si>
  <si>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</si>
  <si>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</si>
  <si>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</si>
  <si>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</si>
  <si>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</si>
  <si>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</si>
  <si>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</si>
  <si>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</si>
  <si>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</si>
  <si>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</si>
  <si>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</si>
  <si>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</si>
  <si>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</si>
  <si>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</si>
  <si>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</si>
  <si>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</si>
  <si>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</si>
  <si>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</si>
  <si>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</si>
  <si>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</si>
  <si>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</si>
  <si>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</si>
  <si>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</si>
  <si>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</si>
  <si>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</si>
  <si>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</si>
  <si>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</si>
  <si>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</si>
  <si>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</si>
  <si>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</si>
  <si>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</si>
  <si>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</si>
  <si>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</si>
  <si>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</si>
  <si>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</si>
  <si>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</si>
  <si>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</si>
  <si>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</si>
  <si>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</si>
  <si>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</si>
  <si>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</si>
  <si>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</si>
  <si>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</si>
  <si>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</si>
  <si>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</si>
  <si>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</si>
  <si>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</si>
  <si>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</si>
  <si>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</si>
  <si>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</si>
  <si>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</si>
  <si>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</si>
  <si>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</si>
  <si>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</si>
  <si>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</si>
  <si>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</si>
  <si>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</si>
  <si>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</si>
  <si>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</si>
  <si>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</si>
  <si>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</si>
  <si>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</si>
  <si>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</si>
  <si>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</si>
  <si>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</si>
  <si>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</si>
  <si>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</si>
  <si>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</si>
  <si>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</si>
  <si>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</si>
  <si>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</si>
  <si>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</si>
  <si>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</si>
  <si>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</si>
  <si>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</si>
  <si>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</si>
  <si>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</si>
  <si>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</si>
  <si>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</si>
  <si>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</si>
  <si>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</si>
  <si>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</si>
  <si>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</si>
  <si>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</si>
  <si>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</si>
  <si>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</si>
  <si>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</si>
  <si>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</si>
  <si>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</si>
  <si>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</si>
  <si>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</si>
  <si>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</si>
  <si>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</si>
  <si>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</si>
  <si>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</si>
  <si>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</si>
  <si>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</si>
  <si>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</si>
  <si>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</si>
  <si>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</si>
  <si>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</si>
  <si>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</si>
  <si>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</si>
  <si>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</si>
  <si>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</si>
  <si>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</si>
  <si>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</si>
  <si>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</si>
  <si>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</si>
  <si>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</si>
  <si>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</si>
  <si>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</si>
  <si>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</si>
  <si>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</si>
  <si>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</si>
  <si>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</si>
  <si>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</si>
  <si>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</si>
  <si>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</si>
  <si>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</si>
  <si>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</si>
  <si>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</si>
  <si>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</si>
  <si>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</si>
  <si>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</si>
  <si>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</si>
  <si>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</si>
  <si>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</si>
  <si>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</si>
  <si>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</si>
  <si>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</si>
  <si>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</si>
  <si>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</si>
  <si>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</si>
  <si>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</si>
  <si>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</si>
  <si>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</si>
  <si>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</si>
  <si>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</si>
  <si>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</si>
  <si>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</si>
  <si>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</si>
  <si>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</si>
  <si>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</si>
  <si>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</si>
  <si>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</si>
  <si>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</si>
  <si>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</si>
  <si>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</si>
  <si>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</si>
  <si>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</si>
  <si>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</si>
  <si>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</si>
  <si>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</si>
  <si>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</si>
  <si>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</si>
  <si>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</si>
  <si>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</si>
  <si>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</si>
  <si>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</si>
  <si>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</si>
  <si>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</si>
  <si>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</si>
  <si>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</si>
  <si>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</si>
  <si>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</si>
  <si>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</si>
  <si>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</si>
  <si>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</si>
  <si>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</si>
  <si>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</si>
  <si>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</si>
  <si>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</si>
  <si>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</si>
  <si>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</si>
  <si>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</si>
  <si>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</si>
  <si>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</si>
  <si>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</si>
  <si>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</si>
  <si>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</si>
  <si>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</si>
  <si>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</si>
  <si>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</si>
  <si>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</si>
  <si>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</si>
  <si>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</si>
  <si>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</si>
  <si>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</si>
  <si>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</si>
  <si>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</si>
  <si>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</si>
  <si>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</si>
  <si>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</si>
  <si>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</si>
  <si>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</si>
  <si>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</si>
  <si>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</si>
  <si>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</si>
  <si>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</si>
  <si>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</si>
  <si>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</si>
  <si>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</si>
  <si>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</si>
  <si>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</si>
  <si>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</si>
  <si>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</si>
  <si>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</si>
  <si>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</si>
  <si>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</si>
  <si>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</si>
  <si>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</si>
  <si>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</si>
  <si>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</si>
  <si>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</si>
  <si>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</si>
  <si>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</si>
  <si>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</si>
  <si>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</si>
  <si>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</si>
  <si>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</si>
  <si>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</si>
  <si>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</si>
  <si>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</si>
  <si>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</si>
  <si>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</si>
  <si>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</si>
  <si>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</si>
  <si>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</si>
  <si>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</si>
  <si>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</si>
  <si>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</si>
  <si>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</si>
  <si>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</si>
  <si>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</si>
  <si>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</si>
  <si>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</si>
  <si>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</si>
  <si>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</si>
  <si>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</si>
  <si>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</si>
  <si>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</si>
  <si>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</si>
  <si>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</si>
  <si>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</si>
  <si>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</si>
  <si>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</si>
  <si>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</si>
  <si>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</si>
  <si>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</si>
  <si>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</si>
  <si>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</si>
  <si>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</si>
  <si>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</si>
  <si>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</si>
  <si>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</si>
  <si>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</si>
  <si>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</si>
  <si>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</si>
  <si>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</si>
  <si>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</si>
  <si>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</si>
  <si>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</si>
  <si>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</si>
  <si>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</si>
  <si>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</si>
  <si>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</si>
  <si>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</si>
  <si>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</si>
  <si>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</si>
  <si>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</si>
  <si>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</si>
  <si>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</si>
  <si>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</si>
  <si>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</si>
  <si>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</si>
  <si>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</si>
  <si>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</si>
  <si>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</si>
  <si>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</si>
  <si>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</si>
  <si>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</si>
  <si>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</si>
  <si>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</si>
  <si>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</si>
  <si>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</si>
  <si>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</si>
  <si>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</si>
  <si>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</si>
  <si>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</si>
  <si>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</si>
  <si>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</si>
  <si>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</si>
  <si>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</si>
  <si>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</si>
  <si>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</si>
  <si>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</si>
  <si>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</si>
  <si>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</si>
  <si>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</si>
  <si>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</si>
  <si>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</si>
  <si>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</si>
  <si>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</si>
  <si>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</si>
  <si>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</si>
  <si>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</si>
  <si>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</si>
  <si>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</si>
  <si>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</si>
  <si>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</si>
  <si>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</si>
  <si>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</si>
  <si>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</si>
  <si>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</si>
  <si>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</si>
  <si>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</si>
  <si>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</si>
  <si>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</si>
  <si>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</si>
  <si>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</si>
  <si>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</si>
  <si>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</si>
  <si>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</si>
  <si>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</si>
  <si>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</si>
  <si>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</si>
  <si>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</si>
  <si>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</si>
  <si>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</si>
  <si>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</si>
  <si>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</si>
  <si>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</si>
  <si>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</si>
  <si>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</si>
  <si>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</si>
  <si>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</si>
  <si>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</si>
  <si>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</si>
  <si>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</si>
  <si>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</si>
  <si>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</si>
  <si>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</si>
  <si>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</si>
  <si>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</si>
  <si>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</si>
  <si>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</si>
  <si>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</si>
  <si>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</si>
  <si>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</si>
  <si>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</si>
  <si>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</si>
  <si>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</si>
  <si>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</si>
  <si>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</si>
  <si>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</si>
  <si>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</si>
  <si>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</si>
  <si>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</si>
  <si>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</si>
  <si>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</si>
  <si>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</si>
  <si>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</si>
  <si>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</si>
  <si>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</si>
  <si>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</si>
  <si>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</si>
  <si>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</si>
  <si>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</si>
  <si>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</si>
  <si>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</si>
  <si>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</si>
  <si>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</si>
  <si>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</si>
  <si>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</si>
  <si>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</si>
  <si>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</si>
  <si>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</si>
  <si>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</si>
  <si>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</si>
  <si>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</si>
  <si>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</si>
  <si>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</si>
  <si>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</si>
  <si>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</si>
  <si>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</si>
  <si>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</si>
  <si>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</si>
  <si>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</si>
  <si>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</si>
  <si>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</si>
  <si>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</si>
  <si>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</si>
  <si>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</si>
  <si>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</si>
  <si>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</si>
  <si>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</si>
  <si>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</si>
  <si>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</si>
  <si>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</si>
  <si>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</si>
  <si>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</si>
  <si>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</si>
  <si>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</si>
  <si>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</si>
  <si>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</si>
  <si>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</si>
  <si>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</si>
  <si>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</si>
  <si>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</si>
  <si>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</si>
  <si>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</si>
  <si>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</si>
  <si>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</si>
  <si>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</si>
  <si>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</si>
  <si>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</si>
  <si>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</si>
  <si>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</si>
  <si>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</si>
  <si>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</si>
  <si>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</si>
  <si>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</si>
  <si>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</si>
  <si>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</si>
  <si>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</si>
  <si>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</si>
  <si>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</si>
  <si>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</si>
  <si>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</si>
  <si>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</si>
  <si>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</si>
  <si>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</si>
  <si>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</si>
  <si>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</si>
  <si>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</si>
  <si>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</si>
  <si>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</si>
  <si>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</si>
  <si>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</si>
  <si>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</si>
  <si>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</si>
  <si>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</si>
  <si>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</si>
  <si>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</si>
  <si>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</si>
  <si>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</si>
  <si>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</si>
  <si>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</si>
  <si>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</si>
  <si>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</si>
  <si>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</si>
  <si>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</si>
  <si>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</si>
  <si>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</si>
  <si>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</si>
  <si>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</si>
  <si>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</si>
  <si>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</si>
  <si>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</si>
  <si>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</si>
  <si>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</si>
  <si>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</si>
  <si>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</si>
  <si>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</si>
  <si>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</si>
  <si>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</si>
  <si>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</si>
  <si>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</si>
  <si>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</si>
  <si>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</si>
  <si>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</si>
  <si>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</si>
  <si>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</si>
  <si>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</si>
  <si>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</si>
  <si>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</si>
  <si>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</si>
  <si>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</si>
  <si>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</si>
  <si>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</si>
  <si>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</si>
  <si>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</si>
  <si>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</si>
  <si>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</si>
  <si>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</si>
  <si>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</si>
  <si>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</si>
  <si>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</si>
  <si>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</si>
  <si>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</si>
  <si>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</si>
  <si>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</si>
  <si>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</si>
  <si>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</si>
  <si>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</si>
  <si>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</si>
  <si>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</si>
  <si>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</si>
  <si>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</si>
  <si>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</si>
  <si>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</si>
  <si>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</si>
  <si>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</si>
  <si>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</si>
  <si>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</si>
  <si>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</si>
  <si>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</si>
  <si>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</si>
  <si>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</si>
  <si>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</si>
  <si>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</si>
  <si>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</si>
  <si>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</si>
  <si>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</si>
  <si>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</si>
  <si>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</si>
  <si>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</si>
  <si>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</si>
  <si>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</si>
  <si>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</si>
  <si>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</si>
  <si>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</si>
  <si>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</si>
  <si>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</si>
  <si>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</si>
  <si>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</si>
  <si>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</si>
  <si>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</si>
  <si>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</si>
  <si>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</si>
  <si>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</si>
  <si>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</si>
  <si>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</si>
  <si>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</si>
  <si>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</si>
  <si>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</si>
  <si>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</si>
  <si>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</si>
  <si>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</si>
  <si>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</si>
  <si>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</si>
  <si>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</si>
  <si>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</si>
  <si>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</si>
  <si>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</si>
  <si>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</si>
  <si>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</si>
  <si>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</si>
  <si>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</si>
  <si>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</si>
  <si>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</si>
  <si>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</si>
  <si>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</si>
  <si>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</si>
  <si>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</si>
  <si>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</si>
  <si>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</si>
  <si>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</si>
  <si>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</si>
  <si>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</si>
  <si>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</si>
  <si>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</si>
  <si>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</si>
  <si>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</si>
  <si>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</si>
  <si>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</si>
  <si>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</si>
  <si>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</si>
  <si>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</si>
  <si>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</si>
  <si>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</si>
  <si>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</si>
  <si>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</si>
  <si>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</si>
  <si>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</si>
  <si>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</si>
  <si>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</si>
  <si>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</si>
  <si>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</si>
  <si>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</si>
  <si>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</si>
  <si>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</si>
  <si>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</si>
  <si>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</si>
  <si>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</si>
  <si>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</si>
  <si>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</si>
  <si>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</si>
  <si>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</si>
  <si>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</si>
  <si>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</si>
  <si>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</si>
  <si>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</si>
  <si>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</si>
  <si>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</si>
  <si>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</si>
  <si>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</si>
  <si>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</si>
  <si>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</si>
  <si>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</si>
  <si>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</si>
  <si>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</si>
  <si>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</si>
  <si>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</si>
  <si>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</si>
  <si>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</si>
  <si>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</si>
  <si>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</si>
  <si>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</si>
  <si>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</si>
  <si>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</si>
  <si>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</si>
  <si>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</si>
  <si>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</si>
  <si>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</si>
  <si>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</si>
  <si>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</si>
  <si>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</si>
  <si>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</si>
  <si>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</si>
  <si>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</si>
  <si>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</si>
  <si>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</si>
  <si>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</si>
  <si>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</si>
  <si>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</si>
  <si>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</si>
  <si>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</si>
  <si>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</si>
  <si>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</si>
  <si>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</si>
  <si>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</si>
  <si>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</si>
  <si>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</si>
  <si>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</si>
  <si>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</si>
  <si>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</si>
  <si>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</si>
  <si>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</si>
  <si>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</si>
  <si>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</si>
  <si>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</si>
  <si>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</si>
  <si>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</si>
  <si>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</si>
  <si>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</si>
  <si>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</si>
  <si>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</si>
  <si>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</si>
  <si>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</si>
  <si>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</si>
  <si>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</si>
  <si>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</si>
  <si>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</si>
  <si>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</si>
  <si>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</si>
  <si>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</si>
  <si>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</si>
  <si>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</si>
  <si>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</si>
  <si>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</si>
  <si>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</si>
  <si>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</si>
  <si>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</si>
  <si>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</si>
  <si>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</si>
  <si>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</si>
  <si>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</si>
  <si>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</si>
  <si>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</si>
  <si>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</si>
  <si>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</si>
  <si>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</si>
  <si>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</si>
  <si>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</si>
  <si>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</si>
  <si>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</si>
  <si>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</si>
  <si>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</si>
  <si>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</si>
  <si>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</si>
  <si>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</si>
  <si>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</si>
  <si>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</si>
  <si>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</si>
  <si>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</si>
  <si>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</si>
  <si>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</si>
  <si>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</si>
  <si>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</si>
  <si>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</si>
  <si>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</si>
  <si>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</si>
  <si>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</si>
  <si>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</si>
  <si>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</si>
  <si>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</si>
  <si>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</si>
  <si>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</si>
  <si>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</si>
  <si>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</si>
  <si>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</si>
  <si>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</si>
  <si>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</si>
  <si>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</si>
  <si>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</si>
  <si>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</si>
  <si>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</si>
  <si>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</si>
  <si>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</si>
  <si>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</si>
  <si>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</si>
  <si>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</si>
  <si>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</si>
  <si>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</si>
  <si>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</si>
  <si>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</si>
  <si>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</si>
  <si>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</si>
  <si>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</si>
  <si>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</si>
  <si>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</si>
  <si>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</si>
  <si>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</si>
  <si>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</si>
  <si>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</si>
  <si>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</si>
  <si>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</si>
  <si>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</si>
  <si>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</si>
  <si>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</si>
  <si>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</si>
  <si>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</si>
  <si>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</si>
  <si>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</si>
  <si>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</si>
  <si>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</si>
  <si>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</si>
  <si>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</si>
  <si>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</si>
  <si>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</si>
  <si>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</si>
  <si>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</si>
  <si>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</si>
  <si>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</si>
  <si>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</si>
  <si>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</si>
  <si>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</si>
  <si>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</si>
  <si>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</si>
  <si>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</si>
  <si>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</si>
  <si>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</si>
  <si>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</si>
  <si>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</si>
  <si>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</si>
  <si>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</si>
  <si>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</si>
  <si>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</si>
  <si>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</si>
  <si>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</si>
  <si>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</si>
  <si>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</si>
  <si>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</si>
  <si>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</si>
  <si>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</si>
  <si>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</si>
  <si>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</si>
  <si>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</si>
  <si>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</si>
  <si>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</si>
  <si>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</si>
  <si>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</si>
  <si>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</si>
  <si>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</si>
  <si>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</si>
  <si>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</si>
  <si>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</si>
  <si>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</si>
  <si>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</si>
  <si>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</si>
  <si>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</si>
  <si>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</si>
  <si>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</si>
  <si>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</si>
  <si>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</si>
  <si>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</si>
  <si>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</si>
  <si>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</si>
  <si>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</si>
  <si>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</si>
  <si>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</si>
  <si>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</si>
  <si>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</si>
  <si>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</si>
  <si>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</si>
  <si>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</si>
  <si>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</si>
  <si>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</si>
  <si>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</si>
  <si>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</si>
  <si>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</si>
  <si>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</si>
  <si>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</si>
  <si>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</si>
  <si>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</si>
  <si>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</si>
  <si>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</si>
  <si>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</si>
  <si>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</si>
  <si>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</si>
  <si>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</si>
  <si>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</si>
  <si>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</si>
  <si>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</si>
  <si>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</si>
  <si>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</si>
  <si>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</si>
  <si>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</si>
  <si>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</si>
  <si>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</si>
  <si>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</si>
  <si>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</si>
  <si>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</si>
  <si>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</si>
  <si>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</si>
  <si>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</si>
  <si>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</si>
  <si>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</si>
  <si>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</si>
  <si>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</si>
  <si>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</si>
  <si>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</si>
  <si>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</si>
  <si>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</si>
  <si>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</si>
  <si>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</si>
  <si>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</si>
  <si>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</si>
  <si>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</si>
  <si>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</si>
  <si>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</si>
  <si>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</si>
  <si>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</si>
  <si>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</si>
  <si>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</si>
  <si>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</si>
  <si>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</si>
  <si>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</si>
  <si>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</si>
  <si>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</si>
  <si>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</si>
  <si>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</si>
  <si>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</si>
  <si>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</si>
  <si>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</si>
  <si>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</si>
  <si>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</si>
  <si>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</si>
  <si>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</si>
  <si>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</si>
  <si>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</si>
  <si>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</si>
  <si>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</si>
  <si>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</si>
  <si>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</si>
  <si>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</si>
  <si>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</si>
  <si>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</si>
  <si>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</si>
  <si>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</si>
  <si>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</si>
  <si>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</si>
  <si>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</si>
  <si>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</si>
  <si>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</si>
  <si>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</si>
  <si>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</si>
  <si>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</si>
  <si>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</si>
  <si>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</si>
  <si>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</si>
  <si>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</si>
  <si>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</si>
  <si>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</si>
  <si>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</si>
  <si>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</si>
  <si>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</si>
  <si>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</si>
  <si>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</si>
  <si>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</si>
  <si>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</si>
  <si>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</si>
  <si>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</si>
  <si>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</si>
  <si>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</si>
  <si>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</si>
  <si>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</si>
  <si>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</si>
  <si>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</si>
  <si>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</si>
  <si>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</si>
  <si>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</si>
  <si>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</si>
  <si>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</si>
  <si>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</si>
  <si>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</si>
  <si>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</si>
  <si>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</si>
  <si>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</si>
  <si>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</si>
  <si>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</si>
  <si>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</si>
  <si>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</si>
  <si>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</si>
  <si>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</si>
  <si>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</si>
  <si>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</si>
  <si>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</si>
  <si>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</si>
  <si>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</si>
  <si>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</si>
  <si>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</si>
  <si>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</si>
  <si>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</si>
  <si>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</si>
  <si>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</si>
  <si>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</si>
  <si>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</si>
  <si>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</si>
  <si>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与级别开发程度一致</t>
  </si>
  <si>
    <t>北京市</t>
  </si>
  <si>
    <t>核定资产</t>
  </si>
  <si>
    <t>房地产市场价值</t>
  </si>
  <si>
    <t>自然人</t>
  </si>
  <si>
    <t>元</t>
  </si>
  <si>
    <t>楼面单价</t>
  </si>
  <si>
    <r>
      <rPr>
        <sz val="10"/>
        <color indexed="8"/>
        <rFont val="宋体"/>
        <family val="3"/>
        <charset val="134"/>
      </rPr>
      <t>昌平区征收城市基础设施建设费暂行办法
昌政发〔</t>
    </r>
    <r>
      <rPr>
        <sz val="10"/>
        <color indexed="8"/>
        <rFont val="Arial"/>
        <family val="2"/>
      </rPr>
      <t>2004</t>
    </r>
    <r>
      <rPr>
        <sz val="10"/>
        <color indexed="8"/>
        <rFont val="宋体"/>
        <family val="3"/>
        <charset val="134"/>
      </rPr>
      <t>〕</t>
    </r>
    <r>
      <rPr>
        <sz val="10"/>
        <color indexed="8"/>
        <rFont val="Arial"/>
        <family val="2"/>
      </rPr>
      <t>22</t>
    </r>
    <r>
      <rPr>
        <sz val="10"/>
        <color indexed="8"/>
        <rFont val="宋体"/>
        <family val="3"/>
        <charset val="134"/>
      </rPr>
      <t xml:space="preserve">号
</t>
    </r>
    <phoneticPr fontId="4"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</si>
  <si>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</si>
  <si>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</si>
  <si>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</si>
  <si>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</si>
  <si>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</si>
  <si>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</si>
  <si>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</si>
  <si>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</si>
  <si>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</si>
  <si>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</si>
  <si>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</si>
  <si>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</si>
  <si>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</si>
  <si>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</si>
  <si>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</si>
  <si>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</si>
  <si>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权重</t>
    <phoneticPr fontId="4" type="noConversion"/>
  </si>
  <si>
    <t>经济适用住房</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</si>
  <si>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</si>
  <si>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</si>
  <si>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</si>
  <si>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</si>
  <si>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</si>
  <si>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</si>
  <si>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</si>
  <si>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</si>
  <si>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</si>
  <si>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</si>
  <si>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</si>
  <si>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</si>
  <si>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</si>
  <si>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</si>
  <si>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</si>
  <si>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</si>
  <si>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</si>
  <si>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</si>
  <si>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</si>
  <si>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住宅</t>
    <phoneticPr fontId="20" type="noConversion"/>
  </si>
  <si>
    <t>60-70（含）</t>
  </si>
  <si>
    <t>已包含在土地购买价格中</t>
  </si>
  <si>
    <t>已包含在土地取得成本中</t>
  </si>
  <si>
    <t>南北</t>
  </si>
  <si>
    <t>楼层</t>
    <phoneticPr fontId="20" type="noConversion"/>
  </si>
  <si>
    <t>混合</t>
  </si>
  <si>
    <t>普通装修</t>
  </si>
  <si>
    <t>普通装修</t>
    <phoneticPr fontId="20" type="noConversion"/>
  </si>
  <si>
    <t>七通</t>
    <phoneticPr fontId="20" type="noConversion"/>
  </si>
  <si>
    <t>建成年代</t>
    <phoneticPr fontId="20" type="noConversion"/>
  </si>
  <si>
    <t>成本法</t>
  </si>
  <si>
    <t>比较法-住宅</t>
  </si>
  <si>
    <t>估价对象1（结果表）</t>
  </si>
  <si>
    <t>   </t>
  </si>
  <si>
    <t>  </t>
  </si>
  <si>
    <t>2007-3-5086-RB</t>
  </si>
  <si>
    <t>张旭</t>
  </si>
  <si>
    <t>北京市朝阳区</t>
  </si>
  <si>
    <t>百子湾家园207号楼2单元103号</t>
  </si>
  <si>
    <t>百子湾家园</t>
  </si>
  <si>
    <t>王姗</t>
  </si>
  <si>
    <t>22（-2）</t>
  </si>
  <si>
    <t>2007-22-P-01501-U</t>
    <phoneticPr fontId="4" type="noConversion"/>
  </si>
  <si>
    <t>赵宝全</t>
    <phoneticPr fontId="4" type="noConversion"/>
  </si>
  <si>
    <t>110103195805130412</t>
    <phoneticPr fontId="4" type="noConversion"/>
  </si>
  <si>
    <t>13641299468</t>
    <phoneticPr fontId="4" type="noConversion"/>
  </si>
  <si>
    <t>百子湾家园</t>
    <phoneticPr fontId="4" type="noConversion"/>
  </si>
  <si>
    <r>
      <t>203号楼</t>
    </r>
    <r>
      <rPr>
        <sz val="10"/>
        <rFont val="Times New Roman"/>
        <family val="1"/>
      </rPr>
      <t/>
    </r>
    <phoneticPr fontId="4" type="noConversion"/>
  </si>
  <si>
    <t>2单元1702号</t>
    <phoneticPr fontId="4" type="noConversion"/>
  </si>
  <si>
    <t>二室二厅一卫一厨</t>
    <phoneticPr fontId="4" type="noConversion"/>
  </si>
  <si>
    <t>复式、平层√、跃层、错层</t>
  </si>
  <si>
    <t>北京住房公积金管理中心住房公积金贷款中心</t>
    <phoneticPr fontId="4" type="noConversion"/>
  </si>
  <si>
    <t>李晶</t>
    <phoneticPr fontId="4" type="noConversion"/>
  </si>
  <si>
    <t>现房</t>
  </si>
  <si>
    <t>可抵押商品住宅</t>
  </si>
  <si>
    <t xml:space="preserve"> </t>
  </si>
  <si>
    <t>李晓岩</t>
    <phoneticPr fontId="4" type="noConversion"/>
  </si>
  <si>
    <t>四</t>
    <phoneticPr fontId="4" type="noConversion"/>
  </si>
  <si>
    <t>2007-jj-1711-B-701</t>
    <phoneticPr fontId="4" type="noConversion"/>
  </si>
  <si>
    <t>初审</t>
    <phoneticPr fontId="4" type="noConversion"/>
  </si>
  <si>
    <t>买卖协议</t>
    <phoneticPr fontId="4" type="noConversion"/>
  </si>
  <si>
    <t>张艳军</t>
    <phoneticPr fontId="4" type="noConversion"/>
  </si>
  <si>
    <t>二手房</t>
    <phoneticPr fontId="4" type="noConversion"/>
  </si>
  <si>
    <t>正常</t>
    <phoneticPr fontId="4" type="noConversion"/>
  </si>
  <si>
    <t>双方</t>
    <phoneticPr fontId="4" type="noConversion"/>
  </si>
  <si>
    <t>不含税费、出让金</t>
    <phoneticPr fontId="4" type="noConversion"/>
  </si>
  <si>
    <t>李晶</t>
  </si>
  <si>
    <t>北京住房公积金管理中心住房公积金贷款中心</t>
  </si>
  <si>
    <t>2007-2-CP-02750-U</t>
  </si>
  <si>
    <t>左霞</t>
  </si>
  <si>
    <t>42012419781103122X</t>
  </si>
  <si>
    <t>13671234067</t>
  </si>
  <si>
    <t>朝阳区</t>
  </si>
  <si>
    <t>百子湾家园305号楼</t>
  </si>
  <si>
    <t>301号</t>
  </si>
  <si>
    <t>尹焱</t>
  </si>
  <si>
    <t>二室二厅二卫一厨</t>
  </si>
  <si>
    <t>91302007070840</t>
  </si>
  <si>
    <t>胡哲明</t>
  </si>
  <si>
    <t>李晓岩</t>
  </si>
  <si>
    <t>七</t>
  </si>
  <si>
    <t>四</t>
  </si>
  <si>
    <t xml:space="preserve">胡哲明 </t>
  </si>
  <si>
    <t>初审意见书</t>
  </si>
  <si>
    <t>合同</t>
  </si>
  <si>
    <t>二手房</t>
  </si>
  <si>
    <t>中介</t>
  </si>
  <si>
    <t>不含任何税费</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</si>
  <si>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</si>
  <si>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</si>
  <si>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</si>
  <si>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</si>
  <si>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</si>
  <si>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</si>
  <si>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</si>
  <si>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</si>
  <si>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</si>
  <si>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</si>
  <si>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</si>
  <si>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</si>
  <si>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</si>
  <si>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</si>
  <si>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</si>
  <si>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</si>
  <si>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</si>
  <si>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</si>
  <si>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</si>
  <si>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</si>
  <si>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</si>
  <si>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</si>
  <si>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</si>
  <si>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</si>
  <si>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</si>
  <si>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</si>
  <si>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</si>
  <si>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</si>
  <si>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</si>
  <si>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</si>
  <si>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</si>
  <si>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</si>
  <si>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</si>
  <si>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</si>
  <si>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</si>
  <si>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</si>
  <si>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</si>
  <si>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</si>
  <si>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</si>
  <si>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</si>
  <si>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</si>
  <si>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</si>
  <si>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</si>
  <si>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</si>
  <si>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</si>
  <si>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</si>
  <si>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</si>
  <si>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</si>
  <si>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</si>
  <si>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</si>
  <si>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</si>
  <si>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</si>
  <si>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</si>
  <si>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</si>
  <si>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</si>
  <si>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</si>
  <si>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</si>
  <si>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</si>
  <si>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</si>
  <si>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</si>
  <si>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</si>
  <si>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</si>
  <si>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</si>
  <si>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</si>
  <si>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2007-2-CP-00078-U</t>
    <phoneticPr fontId="4" type="noConversion"/>
  </si>
  <si>
    <t>15号楼</t>
    <phoneticPr fontId="4" type="noConversion"/>
  </si>
  <si>
    <t>中介</t>
    <phoneticPr fontId="4" type="noConversion"/>
  </si>
  <si>
    <t>不含任何税费</t>
    <phoneticPr fontId="4" type="noConversion"/>
  </si>
  <si>
    <t>赵亮</t>
  </si>
  <si>
    <t>许冰</t>
    <phoneticPr fontId="4" type="noConversion"/>
  </si>
  <si>
    <t>630105197403111626</t>
    <phoneticPr fontId="4" type="noConversion"/>
  </si>
  <si>
    <t>4-101号</t>
    <phoneticPr fontId="4" type="noConversion"/>
  </si>
  <si>
    <t>成立严</t>
    <phoneticPr fontId="4" type="noConversion"/>
  </si>
  <si>
    <t>二室一厅一卫一厨</t>
    <phoneticPr fontId="4" type="noConversion"/>
  </si>
  <si>
    <t>复式、平层√、跃层、错层</t>
    <phoneticPr fontId="4" type="noConversion"/>
  </si>
  <si>
    <t>91302007010166</t>
    <phoneticPr fontId="4" type="noConversion"/>
  </si>
  <si>
    <t>赵亮</t>
    <phoneticPr fontId="4" type="noConversion"/>
  </si>
  <si>
    <t>现房</t>
    <phoneticPr fontId="4" type="noConversion"/>
  </si>
  <si>
    <t>可抵押经济适用住宅</t>
    <phoneticPr fontId="4" type="noConversion"/>
  </si>
  <si>
    <t>一</t>
    <phoneticPr fontId="4" type="noConversion"/>
  </si>
  <si>
    <t>45年</t>
    <phoneticPr fontId="4" type="noConversion"/>
  </si>
  <si>
    <t>五</t>
    <phoneticPr fontId="4" type="noConversion"/>
  </si>
  <si>
    <t>新增</t>
    <phoneticPr fontId="4" type="noConversion"/>
  </si>
  <si>
    <t>南北东</t>
  </si>
  <si>
    <t>通惠家园惠生园</t>
    <phoneticPr fontId="4" type="noConversion"/>
  </si>
  <si>
    <t>2016-3-01616-RA</t>
  </si>
  <si>
    <t>钢混</t>
    <phoneticPr fontId="20" type="noConversion"/>
  </si>
  <si>
    <t>简单装修</t>
    <phoneticPr fontId="20" type="noConversion"/>
  </si>
  <si>
    <t>毛坯</t>
    <phoneticPr fontId="20" type="noConversion"/>
  </si>
  <si>
    <t>普通物业管理</t>
  </si>
  <si>
    <t>普通物业管理</t>
    <phoneticPr fontId="20" type="noConversion"/>
  </si>
  <si>
    <t>板楼</t>
  </si>
  <si>
    <t>板楼</t>
    <phoneticPr fontId="20" type="noConversion"/>
  </si>
  <si>
    <t>板塔结合</t>
    <phoneticPr fontId="20" type="noConversion"/>
  </si>
  <si>
    <t>塔楼</t>
    <phoneticPr fontId="20" type="noConversion"/>
  </si>
  <si>
    <t>混合</t>
    <phoneticPr fontId="20" type="noConversion"/>
  </si>
  <si>
    <t>5号楼</t>
  </si>
  <si>
    <t>二室二厅一卫一厨</t>
  </si>
  <si>
    <t>五</t>
  </si>
  <si>
    <t>南北</t>
    <phoneticPr fontId="20" type="noConversion"/>
  </si>
  <si>
    <t>南</t>
    <phoneticPr fontId="20" type="noConversion"/>
  </si>
  <si>
    <t>东</t>
    <phoneticPr fontId="20" type="noConversion"/>
  </si>
  <si>
    <t>楼层</t>
    <phoneticPr fontId="20" type="noConversion"/>
  </si>
  <si>
    <t>电梯</t>
    <phoneticPr fontId="20" type="noConversion"/>
  </si>
  <si>
    <t>有</t>
    <phoneticPr fontId="20" type="noConversion"/>
  </si>
  <si>
    <t>无</t>
    <phoneticPr fontId="20" type="noConversion"/>
  </si>
  <si>
    <t>50</t>
    <phoneticPr fontId="4" type="noConversion"/>
  </si>
  <si>
    <t>利息：取LPR加浮动点数</t>
  </si>
  <si>
    <t>东关二条</t>
    <phoneticPr fontId="4" type="noConversion"/>
  </si>
  <si>
    <t>北京住房公积金管理中心中央国家机关分中心</t>
  </si>
  <si>
    <t>双方</t>
  </si>
  <si>
    <t>买卖合同</t>
  </si>
  <si>
    <t>新增</t>
  </si>
  <si>
    <t>三</t>
  </si>
  <si>
    <t>刘朝阳</t>
  </si>
  <si>
    <t>三室二厅一卫一厨</t>
  </si>
  <si>
    <t>6号</t>
  </si>
  <si>
    <t>12号楼</t>
  </si>
  <si>
    <t>协议</t>
  </si>
  <si>
    <t>十二</t>
  </si>
  <si>
    <t>马琳琳</t>
  </si>
  <si>
    <t>二室一厅一卫一厨</t>
  </si>
  <si>
    <t>401号</t>
  </si>
  <si>
    <t>7号楼</t>
  </si>
  <si>
    <t>三室一厅一卫一厨</t>
  </si>
  <si>
    <t>601号</t>
  </si>
  <si>
    <t>11号楼</t>
  </si>
  <si>
    <t>偏低</t>
  </si>
  <si>
    <t>三室二厅二卫一厨</t>
  </si>
  <si>
    <t>2号楼</t>
  </si>
  <si>
    <t>一</t>
  </si>
  <si>
    <t>李伟</t>
  </si>
  <si>
    <t>311号</t>
  </si>
  <si>
    <t>32号楼</t>
  </si>
  <si>
    <t>3号</t>
  </si>
  <si>
    <t>31号楼</t>
  </si>
  <si>
    <t>十一</t>
  </si>
  <si>
    <t>22号楼</t>
  </si>
  <si>
    <t>4号楼</t>
  </si>
  <si>
    <t>二</t>
  </si>
  <si>
    <t>7单元</t>
  </si>
  <si>
    <t>王凯</t>
  </si>
  <si>
    <t>510号</t>
  </si>
  <si>
    <t>14号楼</t>
  </si>
  <si>
    <t>韩静</t>
  </si>
  <si>
    <t>不含税费</t>
  </si>
  <si>
    <t>陈红</t>
  </si>
  <si>
    <t>十</t>
  </si>
  <si>
    <t>10号</t>
  </si>
  <si>
    <t>16号楼</t>
  </si>
  <si>
    <t>502号</t>
  </si>
  <si>
    <t>一室一厅一卫一厨</t>
  </si>
  <si>
    <t>2号</t>
  </si>
  <si>
    <t>九</t>
  </si>
  <si>
    <t>3</t>
  </si>
  <si>
    <t>11号</t>
  </si>
  <si>
    <t>刘旭</t>
  </si>
  <si>
    <t>7号</t>
  </si>
  <si>
    <t>21号楼</t>
  </si>
  <si>
    <t>六</t>
  </si>
  <si>
    <t>39号楼</t>
  </si>
  <si>
    <t>29号楼</t>
  </si>
  <si>
    <t>5号</t>
  </si>
  <si>
    <t>47号楼</t>
  </si>
  <si>
    <t>602号</t>
  </si>
  <si>
    <t>张雷</t>
  </si>
  <si>
    <t>41号楼</t>
  </si>
  <si>
    <t>8号</t>
  </si>
  <si>
    <t>13号楼</t>
  </si>
  <si>
    <t>6层</t>
  </si>
  <si>
    <t>买卖协议</t>
  </si>
  <si>
    <r>
      <t>二室一厅一卫一厨</t>
    </r>
    <r>
      <rPr>
        <sz val="10"/>
        <rFont val="Times New Roman"/>
        <family val="1"/>
      </rPr>
      <t/>
    </r>
  </si>
  <si>
    <t>202号</t>
  </si>
  <si>
    <t>242号</t>
  </si>
  <si>
    <t>611号</t>
  </si>
  <si>
    <t>魏伯欣</t>
  </si>
  <si>
    <t>王羽</t>
  </si>
  <si>
    <t>15号楼</t>
  </si>
  <si>
    <t>28号楼</t>
  </si>
  <si>
    <t>杨红英</t>
  </si>
  <si>
    <t>38号楼</t>
  </si>
  <si>
    <t>1号楼</t>
  </si>
  <si>
    <t>23号楼</t>
  </si>
  <si>
    <t>王冬</t>
  </si>
  <si>
    <t>204号</t>
  </si>
  <si>
    <t>张秀荣</t>
  </si>
  <si>
    <t>4号</t>
  </si>
  <si>
    <t>2单元</t>
  </si>
  <si>
    <t>101号</t>
  </si>
  <si>
    <t>4单元</t>
  </si>
  <si>
    <t>1单元</t>
  </si>
  <si>
    <t>305号</t>
  </si>
  <si>
    <t>李江</t>
  </si>
  <si>
    <t>9号楼</t>
  </si>
  <si>
    <t>仅限于抵押物</t>
  </si>
  <si>
    <t>评估通知单</t>
  </si>
  <si>
    <t>更改日期</t>
  </si>
  <si>
    <t>康正代办</t>
  </si>
  <si>
    <t>记录时间</t>
  </si>
  <si>
    <t>贷款机构</t>
  </si>
  <si>
    <t>评估日期</t>
  </si>
  <si>
    <t>6/6</t>
    <phoneticPr fontId="20" type="noConversion"/>
  </si>
  <si>
    <t>无</t>
    <phoneticPr fontId="20" type="noConversion"/>
  </si>
  <si>
    <t>2/6</t>
    <phoneticPr fontId="20" type="noConversion"/>
  </si>
  <si>
    <t>无租约</t>
  </si>
  <si>
    <t>周边有东关二条、东关南里、燕平家园等住宅小区，综合评价居住社区成熟度好</t>
    <phoneticPr fontId="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</si>
  <si>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</si>
  <si>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4" type="noConversion"/>
  </si>
  <si>
    <t>估价对象所在区域基础设施水平-七通</t>
    <phoneticPr fontId="4" type="noConversion"/>
  </si>
  <si>
    <t>城市支路——东关二条</t>
    <phoneticPr fontId="4" type="noConversion"/>
  </si>
  <si>
    <t>估价对象周边有多条公交线路，综合评价交通便捷度较好。</t>
    <phoneticPr fontId="4" type="noConversion"/>
  </si>
  <si>
    <t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t>
    <phoneticPr fontId="4" type="noConversion"/>
  </si>
  <si>
    <t xml:space="preserve">自然环境：昌平公园等；
综上，环境状况一般。
</t>
    <phoneticPr fontId="4" type="noConversion"/>
  </si>
  <si>
    <t>五通</t>
  </si>
  <si>
    <t>六通</t>
    <phoneticPr fontId="20" type="noConversion"/>
  </si>
  <si>
    <t>五通</t>
    <phoneticPr fontId="20" type="noConversion"/>
  </si>
  <si>
    <t>评估人电话</t>
  </si>
  <si>
    <t>工行</t>
  </si>
  <si>
    <t>办公电话</t>
  </si>
  <si>
    <t>移动电话</t>
  </si>
  <si>
    <t>2005-21-P-02252-U</t>
  </si>
  <si>
    <t>李辉</t>
  </si>
  <si>
    <t>110105195006070823</t>
  </si>
  <si>
    <t>京通苑</t>
  </si>
  <si>
    <t>8号楼</t>
  </si>
  <si>
    <t>1406号</t>
  </si>
  <si>
    <t>北京住房公积金管理中心朝阳管理部</t>
  </si>
  <si>
    <t>初审换正式</t>
  </si>
  <si>
    <t>况伟英</t>
  </si>
  <si>
    <t>2005年10月</t>
  </si>
  <si>
    <t>2005-21-P-03146-U</t>
  </si>
  <si>
    <t>刘沙沙</t>
  </si>
  <si>
    <t>360103750904172</t>
  </si>
  <si>
    <t>13051381803</t>
  </si>
  <si>
    <r>
      <t>静安庄一区</t>
    </r>
    <r>
      <rPr>
        <sz val="10"/>
        <rFont val="Times New Roman"/>
        <family val="1"/>
      </rPr>
      <t/>
    </r>
  </si>
  <si>
    <t>2门5单元</t>
  </si>
  <si>
    <t>马向众</t>
  </si>
  <si>
    <t>周婷婷</t>
  </si>
  <si>
    <t>张国威</t>
  </si>
  <si>
    <t>2005-21-P-03282-U</t>
  </si>
  <si>
    <t>胡叶青</t>
  </si>
  <si>
    <t>370105197503283720</t>
  </si>
  <si>
    <r>
      <t>北苑家园绣菊园</t>
    </r>
    <r>
      <rPr>
        <sz val="10"/>
        <rFont val="Times New Roman"/>
        <family val="1"/>
      </rPr>
      <t/>
    </r>
  </si>
  <si>
    <t>10号楼</t>
  </si>
  <si>
    <t>吴薇</t>
  </si>
  <si>
    <t>2005-3-1D1-00390CJD</t>
  </si>
  <si>
    <t>有担保中心担保变为纯抵</t>
  </si>
  <si>
    <t>杨小东</t>
  </si>
  <si>
    <t>现售</t>
  </si>
  <si>
    <t>2005-21-P-03402-U</t>
  </si>
  <si>
    <t>周守杰</t>
  </si>
  <si>
    <t>110105196904105455</t>
  </si>
  <si>
    <t>建东苑</t>
  </si>
  <si>
    <t>5门</t>
  </si>
  <si>
    <t>贾雪如</t>
  </si>
  <si>
    <t>邹哓鸣</t>
  </si>
  <si>
    <t>2005-21-P-03403-U</t>
  </si>
  <si>
    <t>柴礼岩</t>
  </si>
  <si>
    <t>220881197906300312</t>
  </si>
  <si>
    <t>13701004733、51667158-143、</t>
  </si>
  <si>
    <t>西坝河东里</t>
  </si>
  <si>
    <t/>
  </si>
  <si>
    <t>6号楼</t>
  </si>
  <si>
    <t>6门</t>
  </si>
  <si>
    <t>刘砚丽</t>
  </si>
  <si>
    <t>5</t>
  </si>
  <si>
    <t>刘锫</t>
  </si>
  <si>
    <t>不含税费及出让金</t>
  </si>
  <si>
    <t>2005-21-P-03404-U</t>
  </si>
  <si>
    <t>谭迎辉</t>
  </si>
  <si>
    <t>360502781117133</t>
  </si>
  <si>
    <t>13910197891</t>
  </si>
  <si>
    <t>安慧里一区</t>
  </si>
  <si>
    <t>904号</t>
  </si>
  <si>
    <t>郭涛</t>
  </si>
  <si>
    <t>2005-21-P-03428-U</t>
  </si>
  <si>
    <t>孟繁华</t>
  </si>
  <si>
    <t>110222197807194843</t>
  </si>
  <si>
    <t>花家地西里</t>
  </si>
  <si>
    <t>112号楼</t>
  </si>
  <si>
    <t>6单元</t>
  </si>
  <si>
    <t>6</t>
  </si>
  <si>
    <t>杜军玲</t>
  </si>
  <si>
    <t>2005-21-P-03453-U</t>
  </si>
  <si>
    <t>110111198011043011</t>
  </si>
  <si>
    <r>
      <t>北苑家园紫绶园</t>
    </r>
    <r>
      <rPr>
        <sz val="10"/>
        <rFont val="Times New Roman"/>
        <family val="1"/>
      </rPr>
      <t/>
    </r>
  </si>
  <si>
    <t>806号</t>
  </si>
  <si>
    <t>刘明芳</t>
  </si>
  <si>
    <t>2005-21-P-03496-U</t>
  </si>
  <si>
    <t>高柯俊</t>
  </si>
  <si>
    <t>340703197409050079</t>
  </si>
  <si>
    <t>北苑家园绣菊园</t>
  </si>
  <si>
    <t>2402号</t>
  </si>
  <si>
    <t>倪景君</t>
  </si>
  <si>
    <t>邹晓鸣</t>
  </si>
  <si>
    <t>2005-21-P-03497-U</t>
  </si>
  <si>
    <t>张国华</t>
  </si>
  <si>
    <t>330621197707070057</t>
  </si>
  <si>
    <t>13661033954</t>
  </si>
  <si>
    <t>西大望路19号</t>
  </si>
  <si>
    <t>501号</t>
  </si>
  <si>
    <t>王金芳</t>
  </si>
  <si>
    <t>三室一厅二卫一厨</t>
  </si>
  <si>
    <t>苏海</t>
  </si>
  <si>
    <t>裴蓓</t>
  </si>
  <si>
    <t>2005-21-P-03499-U</t>
  </si>
  <si>
    <t>王媛</t>
  </si>
  <si>
    <t>120225197811040020</t>
  </si>
  <si>
    <t>芍药居北里</t>
  </si>
  <si>
    <t>209号楼</t>
  </si>
  <si>
    <t>1610号</t>
  </si>
  <si>
    <t>余世存</t>
  </si>
  <si>
    <t>2005-21-P-03535-U</t>
  </si>
  <si>
    <t>边淼</t>
  </si>
  <si>
    <t>11010519700329541X</t>
  </si>
  <si>
    <t>13681519721</t>
  </si>
  <si>
    <t>小黄庄前街</t>
  </si>
  <si>
    <t>1门</t>
  </si>
  <si>
    <t>高利利</t>
  </si>
  <si>
    <t>含税费</t>
  </si>
  <si>
    <t>2005-21-P-03537-U</t>
  </si>
  <si>
    <t>钟氡</t>
  </si>
  <si>
    <t>110101195311182551</t>
  </si>
  <si>
    <t>望京西园四区</t>
  </si>
  <si>
    <t>418号楼</t>
  </si>
  <si>
    <t>2010号</t>
  </si>
  <si>
    <t>北京绿岛置业房地产开发有限公司</t>
  </si>
  <si>
    <t>2005-3-1D1-431CJD</t>
  </si>
  <si>
    <t>2005-21-P-03554-U</t>
  </si>
  <si>
    <t>冯蕾</t>
  </si>
  <si>
    <t>230106197809251727</t>
  </si>
  <si>
    <t>东土城路7号院</t>
  </si>
  <si>
    <t>313号</t>
  </si>
  <si>
    <t>孙淑琴</t>
  </si>
  <si>
    <t>2005-21-P-03599-U</t>
  </si>
  <si>
    <t>钱勇</t>
  </si>
  <si>
    <t>110101197209032097</t>
  </si>
  <si>
    <t>13701128482、61761684、62569368</t>
  </si>
  <si>
    <t>37号楼</t>
  </si>
  <si>
    <t>2-303号</t>
  </si>
  <si>
    <t>张春江</t>
  </si>
  <si>
    <t>邓晓澜</t>
  </si>
  <si>
    <t>2005-3-1D1-438CJD</t>
  </si>
  <si>
    <t>赵萍</t>
  </si>
  <si>
    <t>正常交易</t>
  </si>
  <si>
    <t>2005-21-P-03600-U</t>
  </si>
  <si>
    <t>刘海俊</t>
  </si>
  <si>
    <t>110108196508026383</t>
  </si>
  <si>
    <t>13801044946、63824186、68578005、13901167934</t>
  </si>
  <si>
    <t>慧忠北里</t>
  </si>
  <si>
    <t>104号楼</t>
  </si>
  <si>
    <t>109号</t>
  </si>
  <si>
    <t>北京水泥厂有限责任公司</t>
  </si>
  <si>
    <t>13801398011、80605078</t>
  </si>
  <si>
    <t>2005-21-P-03628-U</t>
  </si>
  <si>
    <t>李朝晖</t>
  </si>
  <si>
    <t>110101196406051524</t>
  </si>
  <si>
    <t>13641290012</t>
  </si>
  <si>
    <t>高家园三区</t>
  </si>
  <si>
    <t>18号</t>
  </si>
  <si>
    <t>吴坤宝</t>
  </si>
  <si>
    <t>2005-21-P-03629-U</t>
  </si>
  <si>
    <t>徐晶</t>
  </si>
  <si>
    <t>320203198107230027</t>
  </si>
  <si>
    <r>
      <t>农光里</t>
    </r>
    <r>
      <rPr>
        <sz val="10"/>
        <rFont val="Times New Roman"/>
        <family val="1"/>
      </rPr>
      <t/>
    </r>
  </si>
  <si>
    <t>114号楼</t>
  </si>
  <si>
    <t>1门601号</t>
  </si>
  <si>
    <t>高智春</t>
  </si>
  <si>
    <t>2005-21-P-03630-U</t>
  </si>
  <si>
    <t>方绪孔</t>
  </si>
  <si>
    <t>330326198101110712</t>
  </si>
  <si>
    <t>太阳宫乡芍药居</t>
  </si>
  <si>
    <t>3号楼（现为5号院3号楼）</t>
  </si>
  <si>
    <t>王振洲</t>
  </si>
  <si>
    <t>2005-21-P-03631-U</t>
  </si>
  <si>
    <t>刘鲲鹏</t>
  </si>
  <si>
    <t>43252219721102001X</t>
  </si>
  <si>
    <t>砖角楼南里</t>
  </si>
  <si>
    <t>20号楼</t>
  </si>
  <si>
    <t>302号</t>
  </si>
  <si>
    <t>许欣之</t>
  </si>
  <si>
    <t>2005-21-P-03632-U</t>
  </si>
  <si>
    <t>黄星</t>
  </si>
  <si>
    <t>110105197406270428</t>
  </si>
  <si>
    <t>广渠路九龙山家园</t>
  </si>
  <si>
    <t>2C1801号</t>
  </si>
  <si>
    <t>王晓文</t>
  </si>
  <si>
    <t>2005-21-P-03633-U</t>
  </si>
  <si>
    <t>汪照辉</t>
  </si>
  <si>
    <t>342728197110222533</t>
  </si>
  <si>
    <t>甘露园南里一区</t>
  </si>
  <si>
    <t>33号楼C座</t>
  </si>
  <si>
    <t>2101号</t>
  </si>
  <si>
    <t>米丹</t>
  </si>
  <si>
    <t>二室一厅二卫一厨</t>
  </si>
  <si>
    <t>宋宇</t>
  </si>
  <si>
    <t>2005-21-P-03635-U</t>
  </si>
  <si>
    <t>尹树国</t>
  </si>
  <si>
    <t>150403197304222514</t>
  </si>
  <si>
    <t>13366235581、62021285、84613522</t>
  </si>
  <si>
    <t>芍药居2号院</t>
  </si>
  <si>
    <t>3号楼</t>
  </si>
  <si>
    <t>5门701号</t>
  </si>
  <si>
    <t>文钢</t>
  </si>
  <si>
    <t>2005-3-1D1-00443CJD</t>
  </si>
  <si>
    <t>84612771、13901245237</t>
  </si>
  <si>
    <t>2005-21-P-03645-U</t>
  </si>
  <si>
    <t>吕德齐</t>
  </si>
  <si>
    <t>110107711123124</t>
  </si>
  <si>
    <t>安华西里一区</t>
  </si>
  <si>
    <t>24号楼</t>
  </si>
  <si>
    <t>16层</t>
  </si>
  <si>
    <t>1605号</t>
  </si>
  <si>
    <t>吕德海</t>
  </si>
  <si>
    <t>86058433、51660077-8236</t>
  </si>
  <si>
    <t>双方为亲属</t>
  </si>
  <si>
    <t>2005-21-P-03656-U</t>
  </si>
  <si>
    <t>赵扬</t>
  </si>
  <si>
    <t>110103196909301532</t>
  </si>
  <si>
    <t>劲松九区</t>
  </si>
  <si>
    <t>908号楼</t>
  </si>
  <si>
    <t>5-402号</t>
  </si>
  <si>
    <t>吕明革</t>
  </si>
  <si>
    <t>郭凡</t>
  </si>
  <si>
    <t>2005-21-P-03665-U</t>
  </si>
  <si>
    <t>徐德</t>
  </si>
  <si>
    <t>320925197710123615</t>
  </si>
  <si>
    <t>13693149144</t>
  </si>
  <si>
    <t>慧忠里</t>
  </si>
  <si>
    <t>311号楼</t>
  </si>
  <si>
    <t>8门</t>
  </si>
  <si>
    <t>841号</t>
  </si>
  <si>
    <t>金景茹</t>
  </si>
  <si>
    <t>2005-3-1D-447CJD</t>
  </si>
  <si>
    <t>2005-21-P-3656-U</t>
  </si>
  <si>
    <t>5单元</t>
  </si>
  <si>
    <t>402号</t>
  </si>
  <si>
    <t>2005-22-P-17543-U</t>
  </si>
  <si>
    <t>梁彩恒</t>
  </si>
  <si>
    <t>452623197307131844</t>
  </si>
  <si>
    <t>13910659713、65368338</t>
  </si>
  <si>
    <t>金台北街</t>
  </si>
  <si>
    <t>905号</t>
  </si>
  <si>
    <t>北京住房公积金管理中心中共中央直属机关分中心</t>
  </si>
  <si>
    <t>杨萍莉</t>
  </si>
  <si>
    <t>不含税费、出让金</t>
  </si>
  <si>
    <t>2005-22-P-18861-U</t>
  </si>
  <si>
    <t>吕扬</t>
  </si>
  <si>
    <t>110102197909022355</t>
  </si>
  <si>
    <t>十里堡甲3号</t>
  </si>
  <si>
    <t>5H号</t>
  </si>
  <si>
    <t>缪立青</t>
  </si>
  <si>
    <t>2005-22-P-19628-U</t>
  </si>
  <si>
    <t>付玉华</t>
  </si>
  <si>
    <t>110105631231008</t>
  </si>
  <si>
    <t>13161955264</t>
  </si>
  <si>
    <t>金台里</t>
  </si>
  <si>
    <t>4门</t>
  </si>
  <si>
    <t>马希仲</t>
  </si>
  <si>
    <t>2005-22-P-20164-U</t>
  </si>
  <si>
    <t>陈宇</t>
  </si>
  <si>
    <t>110105790718531</t>
  </si>
  <si>
    <t>松榆北路7号院4号楼</t>
  </si>
  <si>
    <t>512号</t>
  </si>
  <si>
    <t>徐霄汉</t>
  </si>
  <si>
    <t>13501013981、67339570</t>
  </si>
  <si>
    <t>2005-22-P-20382-U</t>
  </si>
  <si>
    <t>单庆民</t>
  </si>
  <si>
    <t>110223197607087273</t>
  </si>
  <si>
    <t>通惠家园惠民园</t>
  </si>
  <si>
    <t>1804号</t>
  </si>
  <si>
    <t>陈薇、邓彦平</t>
  </si>
  <si>
    <t>可抵押经济适用住房</t>
  </si>
  <si>
    <t>2005-22-P-20692-U</t>
  </si>
  <si>
    <t>苑媗婷</t>
  </si>
  <si>
    <t>110101197606203523</t>
  </si>
  <si>
    <t>313号楼</t>
  </si>
  <si>
    <t>10011号</t>
  </si>
  <si>
    <t>刘世生</t>
  </si>
  <si>
    <t>北京住房公积金管理中心海淀管理部</t>
  </si>
  <si>
    <t>2005-22-P-20757-U</t>
  </si>
  <si>
    <t>王子剑</t>
  </si>
  <si>
    <t>110102198101283338</t>
  </si>
  <si>
    <t>潘家园东里</t>
  </si>
  <si>
    <t>1208</t>
  </si>
  <si>
    <t>一室二厅一卫一厨</t>
  </si>
  <si>
    <t>胡灏</t>
  </si>
  <si>
    <t>2005-22-P-20759-U</t>
  </si>
  <si>
    <t>徐杨、马从越</t>
  </si>
  <si>
    <t>110101197302152528、110101197108312057</t>
  </si>
  <si>
    <t>13681230125</t>
  </si>
  <si>
    <t>安慧里五区六号院</t>
  </si>
  <si>
    <t>1202号</t>
  </si>
  <si>
    <t>安改玲</t>
  </si>
  <si>
    <t>复式、平层、跃层√、错层</t>
  </si>
  <si>
    <t>2005年11月</t>
  </si>
  <si>
    <t>2005-22-P-20998-U</t>
  </si>
  <si>
    <t>吴丹丹</t>
  </si>
  <si>
    <t>450204198008280323</t>
  </si>
  <si>
    <t>426号楼</t>
  </si>
  <si>
    <t>1611号</t>
  </si>
  <si>
    <t>姚丹</t>
  </si>
  <si>
    <t>2005-22-P-21395-U</t>
  </si>
  <si>
    <t>赵刚</t>
  </si>
  <si>
    <t>15010219781019201X</t>
  </si>
  <si>
    <t>刘建昌</t>
  </si>
  <si>
    <t>2005-22-P-21479-U</t>
  </si>
  <si>
    <t>谢万木</t>
  </si>
  <si>
    <t>370802197801141519</t>
  </si>
  <si>
    <t>13126711657</t>
  </si>
  <si>
    <t>核桃园北里</t>
  </si>
  <si>
    <t>503号</t>
  </si>
  <si>
    <t>夏扣锁</t>
  </si>
  <si>
    <t>2005-22-P-22008-U</t>
  </si>
  <si>
    <t>杨伟光</t>
  </si>
  <si>
    <t>222403198001030413</t>
  </si>
  <si>
    <t>花家地西里小区</t>
  </si>
  <si>
    <t>115号楼</t>
  </si>
  <si>
    <t>9单元</t>
  </si>
  <si>
    <t>王京明</t>
  </si>
  <si>
    <t>北京住房公积金管理中心方庄管理部</t>
  </si>
  <si>
    <t>2005-22-P-22151-U</t>
  </si>
  <si>
    <t>赵海涛</t>
  </si>
  <si>
    <t>211421197902264415</t>
  </si>
  <si>
    <t>静安里</t>
  </si>
  <si>
    <t>13楼</t>
  </si>
  <si>
    <t>6门2层</t>
  </si>
  <si>
    <t>603号</t>
  </si>
  <si>
    <t>杜宗玉</t>
  </si>
  <si>
    <t>2005-22-P-22254-U</t>
  </si>
  <si>
    <t>冯进</t>
  </si>
  <si>
    <t>142401751215061</t>
  </si>
  <si>
    <t>百子湾路16号百子园</t>
  </si>
  <si>
    <t>A单元</t>
  </si>
  <si>
    <t>一室一卫一厨</t>
  </si>
  <si>
    <t>曹海涛</t>
  </si>
  <si>
    <t>范永刚</t>
  </si>
  <si>
    <t>不含税费、含装修</t>
  </si>
  <si>
    <t>2005-22-P-22302-U</t>
  </si>
  <si>
    <t>刘松</t>
  </si>
  <si>
    <t>11010819780828141X</t>
  </si>
  <si>
    <t>安慧里二区</t>
  </si>
  <si>
    <t>24层</t>
  </si>
  <si>
    <t>2406号</t>
  </si>
  <si>
    <t>齐志华</t>
  </si>
  <si>
    <t>2005-22-P-22325-U</t>
  </si>
  <si>
    <t>马树青</t>
  </si>
  <si>
    <t>110105197005250098</t>
  </si>
  <si>
    <t>八里桥南里1号院</t>
  </si>
  <si>
    <t>3层6号</t>
  </si>
  <si>
    <t>王秀东</t>
  </si>
  <si>
    <t>买卖契约</t>
  </si>
  <si>
    <t>2005-22-P-22363-U</t>
  </si>
  <si>
    <t>李瑞鼎</t>
  </si>
  <si>
    <t>370503197705010092</t>
  </si>
  <si>
    <t>13911754021</t>
  </si>
  <si>
    <t>方舟苑</t>
  </si>
  <si>
    <t>1806号</t>
  </si>
  <si>
    <t>李彬</t>
  </si>
  <si>
    <t>2005-22-P-22374-U</t>
  </si>
  <si>
    <t>杨朴</t>
  </si>
  <si>
    <t>110105197412171514</t>
  </si>
  <si>
    <t>望京西园三区</t>
  </si>
  <si>
    <t>320号楼</t>
  </si>
  <si>
    <t>2005号</t>
  </si>
  <si>
    <t>皇甫晋勇</t>
  </si>
  <si>
    <t>2005-22-P-22506-U</t>
  </si>
  <si>
    <t>李晔</t>
  </si>
  <si>
    <t>110105196905220826</t>
  </si>
  <si>
    <t>百子湾路甲16号</t>
  </si>
  <si>
    <t>2706号</t>
  </si>
  <si>
    <t>2005-22-P-22566-U</t>
  </si>
  <si>
    <t>张成</t>
  </si>
  <si>
    <t>110101198007101554</t>
  </si>
  <si>
    <t>13911905550</t>
  </si>
  <si>
    <t>南湖南路9号</t>
  </si>
  <si>
    <t>A座</t>
  </si>
  <si>
    <t>610号</t>
  </si>
  <si>
    <t>聂奕</t>
  </si>
  <si>
    <t>2005-22-P-22654-U</t>
  </si>
  <si>
    <t>陈蕴卓</t>
  </si>
  <si>
    <t>520103791228122</t>
  </si>
  <si>
    <t>13911320515</t>
  </si>
  <si>
    <t>双惠苑</t>
  </si>
  <si>
    <t xml:space="preserve">13号楼 </t>
  </si>
  <si>
    <t>2门</t>
  </si>
  <si>
    <t>602号、跃层</t>
  </si>
  <si>
    <t>6-7</t>
  </si>
  <si>
    <t>陈自明</t>
  </si>
  <si>
    <t>含出让金</t>
  </si>
  <si>
    <t>2005-22-P-22803-U</t>
  </si>
  <si>
    <t>庞健</t>
  </si>
  <si>
    <t>110228196902122112</t>
  </si>
  <si>
    <t>411号楼</t>
  </si>
  <si>
    <t>2806号</t>
  </si>
  <si>
    <t>倪文祥</t>
  </si>
  <si>
    <t>2005-22-P-22804-U</t>
  </si>
  <si>
    <t>刘占源</t>
  </si>
  <si>
    <t>110108197905077816</t>
  </si>
  <si>
    <t>13601174003</t>
  </si>
  <si>
    <t>西坝河北里</t>
  </si>
  <si>
    <t>5-502号</t>
  </si>
  <si>
    <t>王丹阳</t>
  </si>
  <si>
    <t>2005-22-P-22849-U</t>
  </si>
  <si>
    <t>贾燕鸣</t>
  </si>
  <si>
    <t>110103197103241512</t>
  </si>
  <si>
    <t>望花路西里</t>
  </si>
  <si>
    <t>3门</t>
  </si>
  <si>
    <t>杜聪</t>
  </si>
  <si>
    <t>2006-21-P-00022-U</t>
  </si>
  <si>
    <t>杨芃</t>
  </si>
  <si>
    <t>51022119750619061X</t>
  </si>
  <si>
    <t>甜水园北里</t>
  </si>
  <si>
    <t>802号</t>
  </si>
  <si>
    <t>翟连仲</t>
  </si>
  <si>
    <t>含出让金、不含税费</t>
  </si>
  <si>
    <t>2006-21-P-00075-U</t>
  </si>
  <si>
    <t>黄新昌</t>
  </si>
  <si>
    <t>13108219781127079X</t>
  </si>
  <si>
    <t>育慧西里</t>
  </si>
  <si>
    <t>2门403号</t>
  </si>
  <si>
    <t>张一均</t>
  </si>
  <si>
    <t>2006-21-P-00084-U</t>
  </si>
  <si>
    <t>樊冰</t>
  </si>
  <si>
    <t>23260319790914024X</t>
  </si>
  <si>
    <t>13910090723</t>
  </si>
  <si>
    <t>612号</t>
  </si>
  <si>
    <t>吕翠红</t>
  </si>
  <si>
    <t>2006-3-1D1-00006CJD</t>
  </si>
  <si>
    <t>2006-21-P-00149-U</t>
  </si>
  <si>
    <t>牛丰</t>
  </si>
  <si>
    <t>610104197902231171</t>
  </si>
  <si>
    <t xml:space="preserve">405号楼 </t>
  </si>
  <si>
    <t>701号</t>
  </si>
  <si>
    <t>张卫红</t>
  </si>
  <si>
    <t>2006-3-1D1-00011CJD</t>
  </si>
  <si>
    <t>2006-21-P-00166-U</t>
  </si>
  <si>
    <t>张景富</t>
  </si>
  <si>
    <t>110222195308201819</t>
  </si>
  <si>
    <t>13311289523</t>
  </si>
  <si>
    <t>团结湖路</t>
  </si>
  <si>
    <t>3单元</t>
  </si>
  <si>
    <t>刘彤</t>
  </si>
  <si>
    <t>2006-21-P-00167-U</t>
  </si>
  <si>
    <t>郭立瑜</t>
  </si>
  <si>
    <t>110105197601195419</t>
  </si>
  <si>
    <t>13910317459</t>
  </si>
  <si>
    <t>潘家园</t>
  </si>
  <si>
    <t>901号</t>
  </si>
  <si>
    <t>李文厚</t>
  </si>
  <si>
    <t>2006-21-P-00169-U</t>
  </si>
  <si>
    <t>李震英</t>
  </si>
  <si>
    <t>130203760916304</t>
  </si>
  <si>
    <t>双桥东路一号院</t>
  </si>
  <si>
    <t>谭金珍</t>
  </si>
  <si>
    <t>6--7</t>
  </si>
  <si>
    <t>2006-21-P-00170-U</t>
  </si>
  <si>
    <t>王亮</t>
  </si>
  <si>
    <t>210105197806290819</t>
  </si>
  <si>
    <t>13810195994</t>
  </si>
  <si>
    <t>安慧东里</t>
  </si>
  <si>
    <t>514号</t>
  </si>
  <si>
    <t>胡越江</t>
  </si>
  <si>
    <t>2006-21-P-00171-U</t>
  </si>
  <si>
    <t>陈大为</t>
  </si>
  <si>
    <t>420111197909284178</t>
  </si>
  <si>
    <t>13661385049</t>
  </si>
  <si>
    <t>19号楼</t>
  </si>
  <si>
    <t>1602号</t>
  </si>
  <si>
    <t>韩敬体</t>
  </si>
  <si>
    <t>含税费、出让金</t>
  </si>
  <si>
    <t>2006-21-P-00218-U</t>
  </si>
  <si>
    <t>韩振钢</t>
  </si>
  <si>
    <t>110101196712013518</t>
  </si>
  <si>
    <t>13621043418</t>
  </si>
  <si>
    <t>定福庄西街</t>
  </si>
  <si>
    <t>1层101号</t>
  </si>
  <si>
    <t>马淑萍</t>
  </si>
  <si>
    <t>2006-21-P-00255-U</t>
  </si>
  <si>
    <t>丁建河</t>
  </si>
  <si>
    <t>110103196306161577</t>
  </si>
  <si>
    <t>劲松小区</t>
  </si>
  <si>
    <t>228号楼</t>
  </si>
  <si>
    <t>1404号</t>
  </si>
  <si>
    <t>何望平</t>
  </si>
  <si>
    <t>赵亚群</t>
  </si>
  <si>
    <t>2006-21-P-00256-U</t>
  </si>
  <si>
    <t>曹永峰</t>
  </si>
  <si>
    <t>142701197902281518</t>
  </si>
  <si>
    <t>1606号</t>
  </si>
  <si>
    <t>王永萍</t>
  </si>
  <si>
    <t>2006-21-P-00258-U</t>
  </si>
  <si>
    <t>王知林</t>
  </si>
  <si>
    <t>610113720309003</t>
  </si>
  <si>
    <t xml:space="preserve">1001号 </t>
  </si>
  <si>
    <t>张艺捷</t>
  </si>
  <si>
    <t>2006-3-1D1-00032CJD</t>
  </si>
  <si>
    <t>2006-21-P-00268-U</t>
  </si>
  <si>
    <t>张宏斌</t>
  </si>
  <si>
    <t>140202197905181018</t>
  </si>
  <si>
    <t>13341021894、65677511-216、60140994</t>
  </si>
  <si>
    <r>
      <t>石佛营东里133号</t>
    </r>
    <r>
      <rPr>
        <sz val="10"/>
        <rFont val="Times New Roman"/>
        <family val="1"/>
      </rPr>
      <t/>
    </r>
  </si>
  <si>
    <t>A楼</t>
  </si>
  <si>
    <t>2103号</t>
  </si>
  <si>
    <t>党淑平</t>
  </si>
  <si>
    <t>82253558</t>
  </si>
  <si>
    <t>2006-21-P-00269-U</t>
  </si>
  <si>
    <t>沈鹏</t>
  </si>
  <si>
    <t>510229751224001</t>
  </si>
  <si>
    <t>13911530893</t>
  </si>
  <si>
    <t>西坝河南里</t>
  </si>
  <si>
    <t>18号楼</t>
  </si>
  <si>
    <t>203号</t>
  </si>
  <si>
    <t>李淑媛</t>
  </si>
  <si>
    <t>2006-3-1D1-00035CJD</t>
  </si>
  <si>
    <t>2006-21-P-00290-U</t>
  </si>
  <si>
    <t>林勇</t>
  </si>
  <si>
    <t>11010519750428943X</t>
  </si>
  <si>
    <t>望京西园</t>
  </si>
  <si>
    <t>419号楼</t>
  </si>
  <si>
    <t>1311号</t>
  </si>
  <si>
    <t>刘隆文</t>
  </si>
  <si>
    <t>2006-3-1D1-00043CJD</t>
  </si>
  <si>
    <t>2006-21-P-00291-U</t>
  </si>
  <si>
    <t>门秋芝</t>
  </si>
  <si>
    <t>220121196908171428</t>
  </si>
  <si>
    <t>116号楼</t>
  </si>
  <si>
    <t>高鸿</t>
  </si>
  <si>
    <t>2006-3-1D1-00044CJD</t>
  </si>
  <si>
    <t>2006-21-P-00296-U</t>
  </si>
  <si>
    <t>周作彪</t>
  </si>
  <si>
    <t>230823197707210435</t>
  </si>
  <si>
    <t>花家地</t>
  </si>
  <si>
    <t>6-603</t>
  </si>
  <si>
    <t>李静</t>
  </si>
  <si>
    <t>2006-3-1D1-00046CJD</t>
  </si>
  <si>
    <t>2006-21-P-00311-U</t>
  </si>
  <si>
    <t>谢怡茹</t>
  </si>
  <si>
    <t>110102640704114</t>
  </si>
  <si>
    <t>13021952717、84216243</t>
  </si>
  <si>
    <t>左家庄北里</t>
  </si>
  <si>
    <t>甲8号楼</t>
  </si>
  <si>
    <t>孙琳</t>
  </si>
  <si>
    <t>2006-3-1D1-00050CJD</t>
  </si>
  <si>
    <t>2006-21-P-00383-U</t>
  </si>
  <si>
    <t>付帆</t>
  </si>
  <si>
    <t>430103197704281522</t>
  </si>
  <si>
    <t>朝阳路十里堡甲3号</t>
  </si>
  <si>
    <t>13A号</t>
  </si>
  <si>
    <t>朱锦强等</t>
  </si>
  <si>
    <t>土地用途为公寓</t>
  </si>
  <si>
    <t>2006-21-P-00435-U</t>
  </si>
  <si>
    <t>李志逸</t>
  </si>
  <si>
    <t>220324197810150634</t>
  </si>
  <si>
    <t>石勇</t>
  </si>
  <si>
    <t>2006-21-P-00521-U</t>
  </si>
  <si>
    <t>刘杰</t>
  </si>
  <si>
    <t>110105198010255816</t>
  </si>
  <si>
    <t>甜水园东里</t>
  </si>
  <si>
    <t>刘焕智</t>
  </si>
  <si>
    <t>2006-21-P-00524-U</t>
  </si>
  <si>
    <t>朱春雨</t>
  </si>
  <si>
    <t>152530701010381</t>
  </si>
  <si>
    <t>南十里居</t>
  </si>
  <si>
    <t>34号楼</t>
  </si>
  <si>
    <t>1门102号</t>
  </si>
  <si>
    <t>姚宜珠</t>
  </si>
  <si>
    <t>2006-21-P-00545-U</t>
  </si>
  <si>
    <t>王峻</t>
  </si>
  <si>
    <t>110223197208170045</t>
  </si>
  <si>
    <t>103号</t>
  </si>
  <si>
    <t>杨志萍</t>
  </si>
  <si>
    <t>2006-21-P-00557-U</t>
  </si>
  <si>
    <t>杨永波、隋婷</t>
  </si>
  <si>
    <t>120106197709260532、211004197810246326</t>
  </si>
  <si>
    <t>13911086699、65660352、64753959</t>
  </si>
  <si>
    <t>花家地北里</t>
  </si>
  <si>
    <t>902号</t>
  </si>
  <si>
    <t>德玉霞</t>
  </si>
  <si>
    <t>添加贷款人</t>
  </si>
  <si>
    <t>2006-3-1D1-00085CJD</t>
  </si>
  <si>
    <t>2006-21-P-00586-U</t>
  </si>
  <si>
    <t>肖明超</t>
  </si>
  <si>
    <t>532233197909082315</t>
  </si>
  <si>
    <t>安华里二区</t>
  </si>
  <si>
    <t>18层</t>
  </si>
  <si>
    <t>1801号</t>
  </si>
  <si>
    <t>吴国和</t>
  </si>
  <si>
    <t>2006-21-P-00588-U</t>
  </si>
  <si>
    <t>贾永庆</t>
  </si>
  <si>
    <t>110105196803286138</t>
  </si>
  <si>
    <t>望京路10号院内</t>
  </si>
  <si>
    <t>杨文星</t>
  </si>
  <si>
    <t>2006-3-1D1-0092CJD</t>
  </si>
  <si>
    <t>2006-21-P-00597-U</t>
  </si>
  <si>
    <t>赵冬柏</t>
  </si>
  <si>
    <t>230204197907201419</t>
  </si>
  <si>
    <t>花虎沟8号院</t>
  </si>
  <si>
    <t>邵勇</t>
  </si>
  <si>
    <t>成交价含家具家电</t>
  </si>
  <si>
    <t>2006-3-1D1-00093CJD</t>
  </si>
  <si>
    <t>2006-21-P-00601-U</t>
  </si>
  <si>
    <t>王德郁</t>
  </si>
  <si>
    <t>110105196409034127</t>
  </si>
  <si>
    <t>吉祥里</t>
  </si>
  <si>
    <t>207号楼</t>
  </si>
  <si>
    <t>742号</t>
  </si>
  <si>
    <t>郭顺</t>
  </si>
  <si>
    <t>2006-21-P-00607-U</t>
  </si>
  <si>
    <t>曾笑男</t>
  </si>
  <si>
    <t>110222197912046041</t>
  </si>
  <si>
    <t>13683029476、65264838-5305、67059966</t>
  </si>
  <si>
    <t>利泽西园</t>
  </si>
  <si>
    <t>105号楼</t>
  </si>
  <si>
    <t>303号</t>
  </si>
  <si>
    <t>2006-3-1D1-00095CD</t>
  </si>
  <si>
    <t>马国萍</t>
  </si>
  <si>
    <t>2006-21-P-00655-U</t>
  </si>
  <si>
    <t>李贇</t>
  </si>
  <si>
    <t>142401197709251417</t>
  </si>
  <si>
    <t>芍药居</t>
  </si>
  <si>
    <t>9号楼（现为9号院9号楼）</t>
  </si>
  <si>
    <t>14层</t>
  </si>
  <si>
    <t>史洪泉</t>
  </si>
  <si>
    <t>2006-21-P-00677-U</t>
  </si>
  <si>
    <t>孔玮铤</t>
  </si>
  <si>
    <t>110105196203281819</t>
  </si>
  <si>
    <t>13051052219、64674996、85968170</t>
  </si>
  <si>
    <t>香河园中里</t>
  </si>
  <si>
    <t>1层101</t>
  </si>
  <si>
    <t>肖宇烨</t>
  </si>
  <si>
    <t>2006-3-1D1-00108CJD</t>
  </si>
  <si>
    <t>2006-21-P-00738-U</t>
  </si>
  <si>
    <t>徐成竹</t>
  </si>
  <si>
    <t>110102197008122332</t>
  </si>
  <si>
    <t>13693270369</t>
  </si>
  <si>
    <t>刘向澄</t>
  </si>
  <si>
    <t>二室一门厅一卫一厨</t>
  </si>
  <si>
    <t>2006-21-P-00750-U</t>
  </si>
  <si>
    <t>吴昕雷</t>
  </si>
  <si>
    <t>11010819720207183X</t>
  </si>
  <si>
    <t>13501039806</t>
  </si>
  <si>
    <t>广顺南大街嘉润花园</t>
  </si>
  <si>
    <t>B座</t>
  </si>
  <si>
    <t>2705号</t>
  </si>
  <si>
    <t>马志辉</t>
  </si>
  <si>
    <t>13801158496</t>
  </si>
  <si>
    <t>2006-21-P-00759-U</t>
  </si>
  <si>
    <t>李浩晨</t>
  </si>
  <si>
    <t>110223197908300015</t>
  </si>
  <si>
    <t>13911684661</t>
  </si>
  <si>
    <t>育慧北路8号二区</t>
  </si>
  <si>
    <t>205</t>
  </si>
  <si>
    <t>师京</t>
  </si>
  <si>
    <t>2006-21-P-00760-U</t>
  </si>
  <si>
    <t>侯庆辉</t>
  </si>
  <si>
    <t>110224197610150022</t>
  </si>
  <si>
    <t>403号</t>
  </si>
  <si>
    <t>林升</t>
  </si>
  <si>
    <t>中大</t>
  </si>
  <si>
    <t>2006-21-P-00761-U</t>
  </si>
  <si>
    <t>李江涛</t>
  </si>
  <si>
    <t>420621198009170014</t>
  </si>
  <si>
    <t>晨光家园</t>
  </si>
  <si>
    <t>217号楼</t>
  </si>
  <si>
    <t>1607号</t>
  </si>
  <si>
    <t>刘小彤</t>
  </si>
  <si>
    <t>2006-21-P-00777-U</t>
  </si>
  <si>
    <t>于进</t>
  </si>
  <si>
    <t>110105196403081125</t>
  </si>
  <si>
    <t>13651125913</t>
  </si>
  <si>
    <t>团结湖东里</t>
  </si>
  <si>
    <t>不含税费、中介费</t>
  </si>
  <si>
    <t>2006-21-P-00780-U</t>
  </si>
  <si>
    <t>庚梅</t>
  </si>
  <si>
    <t>231027197808221523</t>
  </si>
  <si>
    <t>13661124044</t>
  </si>
  <si>
    <t>604</t>
  </si>
  <si>
    <t>宋颢</t>
  </si>
  <si>
    <t>2006-21-P-00799-U</t>
  </si>
  <si>
    <t>姜菲然</t>
  </si>
  <si>
    <t>132903197908097721</t>
  </si>
  <si>
    <t>13311295814、68055555、64669737</t>
  </si>
  <si>
    <t>夏家园</t>
  </si>
  <si>
    <t>张静</t>
  </si>
  <si>
    <t>2006-3-1D1-00121CJD</t>
  </si>
  <si>
    <t>13601338920、64355783</t>
  </si>
  <si>
    <t>2006-21-P-00900-U</t>
  </si>
  <si>
    <t>王少龙</t>
  </si>
  <si>
    <t>130103198204152111</t>
  </si>
  <si>
    <t>鑫兆佳园</t>
  </si>
  <si>
    <t>诸葛冰</t>
  </si>
  <si>
    <t>2006-21-P-00901-U</t>
  </si>
  <si>
    <t>浦涛</t>
  </si>
  <si>
    <t>11010519811029613X</t>
  </si>
  <si>
    <t>13911667655、84562684、86647877</t>
  </si>
  <si>
    <t>高家园二区</t>
  </si>
  <si>
    <t>8楼</t>
  </si>
  <si>
    <t>1层19号</t>
  </si>
  <si>
    <t>赵环宇</t>
  </si>
  <si>
    <t>2006-21-P-00902-U</t>
  </si>
  <si>
    <t>闫亮</t>
  </si>
  <si>
    <t>120104198109012115</t>
  </si>
  <si>
    <t>六里屯北里</t>
  </si>
  <si>
    <t>2层202号</t>
  </si>
  <si>
    <t>陈亚平</t>
  </si>
  <si>
    <t>2006-21-P-00919-U</t>
  </si>
  <si>
    <t>薛彬</t>
  </si>
  <si>
    <t>120223198009030177</t>
  </si>
  <si>
    <t>13401000938</t>
  </si>
  <si>
    <t xml:space="preserve">朝阳区 </t>
  </si>
  <si>
    <t>甘露园南里三区</t>
  </si>
  <si>
    <t>207号</t>
  </si>
  <si>
    <t>王松</t>
  </si>
  <si>
    <t>2006-21-P-00920-U</t>
  </si>
  <si>
    <t>吕尧新</t>
  </si>
  <si>
    <t>370727197306270374</t>
  </si>
  <si>
    <t>13311063416</t>
  </si>
  <si>
    <t>建国路29号兴隆家园</t>
  </si>
  <si>
    <t>郑震</t>
  </si>
  <si>
    <t>2006-3-1D1-00140CD</t>
  </si>
  <si>
    <t>不含税费（含家电））</t>
  </si>
  <si>
    <t>2006-21-P-00956-U</t>
  </si>
  <si>
    <t>焦欣欣</t>
  </si>
  <si>
    <t>110227198104170024</t>
  </si>
  <si>
    <t>酒仙桥南十里居</t>
  </si>
  <si>
    <t>35号楼</t>
  </si>
  <si>
    <t>3-1002</t>
  </si>
  <si>
    <t>么建</t>
  </si>
  <si>
    <t>2006-21-P-00957-U</t>
  </si>
  <si>
    <t>秦骏伯</t>
  </si>
  <si>
    <t>210302197811283017</t>
  </si>
  <si>
    <t>红庙西里</t>
  </si>
  <si>
    <t>朱忠义</t>
  </si>
  <si>
    <t>偏高</t>
  </si>
  <si>
    <t>2006-21-P-00985-U</t>
  </si>
  <si>
    <t>冉儒学</t>
  </si>
  <si>
    <t>513524197605292353</t>
  </si>
  <si>
    <t>13691397609、64700637、64318888</t>
  </si>
  <si>
    <t>高家园</t>
  </si>
  <si>
    <t>301号楼（现为三区1号楼）</t>
  </si>
  <si>
    <t>4门2层</t>
  </si>
  <si>
    <t>58号</t>
  </si>
  <si>
    <t>查连顺</t>
  </si>
  <si>
    <t>2006-3-1D1-00145CJD</t>
  </si>
  <si>
    <t>2006-21-P-01020-U</t>
  </si>
  <si>
    <t>李艳</t>
  </si>
  <si>
    <t>110101197712252548</t>
  </si>
  <si>
    <t>樱花园</t>
  </si>
  <si>
    <t>30号楼</t>
  </si>
  <si>
    <t>李荣奎</t>
  </si>
  <si>
    <t xml:space="preserve">三 </t>
  </si>
  <si>
    <t>2006-21-P-01023-U</t>
  </si>
  <si>
    <t>杨殿强</t>
  </si>
  <si>
    <t>410105197806021018</t>
  </si>
  <si>
    <t>13521381505、64112818</t>
  </si>
  <si>
    <t>安慧东里1号院</t>
  </si>
  <si>
    <t>102号</t>
  </si>
  <si>
    <t>张友直</t>
  </si>
  <si>
    <t>2006-21-P-01036-U</t>
  </si>
  <si>
    <t>白少军</t>
  </si>
  <si>
    <t>120108196211300574</t>
  </si>
  <si>
    <t>13126625629、84970422、64845265</t>
  </si>
  <si>
    <t>108号楼</t>
  </si>
  <si>
    <t>808号</t>
  </si>
  <si>
    <t>张慧莉</t>
  </si>
  <si>
    <t>2006-3-1D1-00156CJD</t>
  </si>
  <si>
    <t>2006-21-P-01073-U</t>
  </si>
  <si>
    <t>周勇</t>
  </si>
  <si>
    <t>152728197409144837</t>
  </si>
  <si>
    <t>芍药居20号吉利家园</t>
  </si>
  <si>
    <t>2006-3-1D1-00161CD</t>
  </si>
  <si>
    <t>2006-21-P-01115-U</t>
  </si>
  <si>
    <t>张红梅</t>
  </si>
  <si>
    <t>421022198006240325</t>
  </si>
  <si>
    <t>13911111554</t>
  </si>
  <si>
    <t>定福庄北里1号院</t>
  </si>
  <si>
    <t xml:space="preserve">19号楼 </t>
  </si>
  <si>
    <t>2006-3-1D1-00169CJD</t>
  </si>
  <si>
    <t>王荣山</t>
  </si>
  <si>
    <t>2006-21-P-01161-U</t>
  </si>
  <si>
    <t>山雪青</t>
  </si>
  <si>
    <t>110101197112123021</t>
  </si>
  <si>
    <t>13901006378</t>
  </si>
  <si>
    <t>高碑店都市经典家园</t>
  </si>
  <si>
    <t>2006-3-1D1-00173CJD</t>
  </si>
  <si>
    <t>张桂玲</t>
  </si>
  <si>
    <t>2006-21-P-01162-U</t>
  </si>
  <si>
    <t>王诚</t>
  </si>
  <si>
    <t>11010219821017195X</t>
  </si>
  <si>
    <t>将台西路19号院</t>
  </si>
  <si>
    <t>1710号</t>
  </si>
  <si>
    <t>谢素梅</t>
  </si>
  <si>
    <t>2006-21-P-01186-U</t>
  </si>
  <si>
    <t>邵希青</t>
  </si>
  <si>
    <t>110104195507153516</t>
  </si>
  <si>
    <t>85814634</t>
  </si>
  <si>
    <t>白家庄东里</t>
  </si>
  <si>
    <t>26号楼</t>
  </si>
  <si>
    <t>1004号</t>
  </si>
  <si>
    <t>李万珍</t>
  </si>
  <si>
    <t>59.91</t>
  </si>
  <si>
    <t>10</t>
  </si>
  <si>
    <t>478000</t>
  </si>
  <si>
    <t>7115</t>
  </si>
  <si>
    <t>5%</t>
  </si>
  <si>
    <t>2006</t>
  </si>
  <si>
    <t>27</t>
  </si>
  <si>
    <t>2006年3月20日</t>
  </si>
  <si>
    <t>#DIV/0!</t>
  </si>
  <si>
    <t>2006-21-P-01189-U</t>
  </si>
  <si>
    <t>王明田</t>
  </si>
  <si>
    <t>220105197705282619</t>
  </si>
  <si>
    <t>13683503040</t>
  </si>
  <si>
    <t>212号楼</t>
  </si>
  <si>
    <t>12-201号</t>
  </si>
  <si>
    <t>王邱文</t>
  </si>
  <si>
    <t xml:space="preserve"> 北京住房公积金管理中心中央国家机关分中心</t>
  </si>
  <si>
    <t>2006-21-P-01216-U</t>
  </si>
  <si>
    <t>李芳英</t>
  </si>
  <si>
    <t>362133197302080025</t>
  </si>
  <si>
    <t>2006-21-P-01218-U</t>
  </si>
  <si>
    <t>王瑛</t>
  </si>
  <si>
    <t>110103197604191226</t>
  </si>
  <si>
    <t>81976562</t>
  </si>
  <si>
    <t>1203号</t>
  </si>
  <si>
    <t>戴楠</t>
  </si>
  <si>
    <t>69.54</t>
  </si>
  <si>
    <t>12</t>
  </si>
  <si>
    <t>510000</t>
  </si>
  <si>
    <t>6208</t>
  </si>
  <si>
    <t>中大契税票换报告</t>
  </si>
  <si>
    <t>2006-21-P-01262-U</t>
  </si>
  <si>
    <t>孟爱军</t>
  </si>
  <si>
    <t>110227196711060012</t>
  </si>
  <si>
    <t>13716265153、89682584</t>
  </si>
  <si>
    <t>花家地南里</t>
  </si>
  <si>
    <t>9门</t>
  </si>
  <si>
    <t>陈永德</t>
  </si>
  <si>
    <t>2006-3-1D1-00189CJD</t>
  </si>
  <si>
    <t>2006-21-P-01264-U</t>
  </si>
  <si>
    <t>潘文贵、王颖</t>
  </si>
  <si>
    <t>512201711017251、130502197710300923</t>
  </si>
  <si>
    <t>13910765189、62795313、86702051</t>
  </si>
  <si>
    <t>左家庄西街</t>
  </si>
  <si>
    <t>6-701</t>
  </si>
  <si>
    <t>潘文贵</t>
  </si>
  <si>
    <t>周建生</t>
  </si>
  <si>
    <t>13683515459、64687198</t>
  </si>
  <si>
    <t>2006-21-P-01269-U</t>
  </si>
  <si>
    <t>薛秋晖</t>
  </si>
  <si>
    <t>420800197309162133</t>
  </si>
  <si>
    <t>13501119679、64632970</t>
  </si>
  <si>
    <t>10门</t>
  </si>
  <si>
    <t>刘万明</t>
  </si>
  <si>
    <t>2006-3-1D1-00191CJD</t>
  </si>
  <si>
    <t>2006-21-P-01287-U</t>
  </si>
  <si>
    <t>刘恩永</t>
  </si>
  <si>
    <t>110108196409280079</t>
  </si>
  <si>
    <r>
      <t>安慧北里</t>
    </r>
    <r>
      <rPr>
        <sz val="10"/>
        <rFont val="Times New Roman"/>
        <family val="1"/>
      </rPr>
      <t/>
    </r>
  </si>
  <si>
    <t>邵明</t>
  </si>
  <si>
    <t>三室一门厅一卫一厨</t>
  </si>
  <si>
    <t>2006-3-1D1-00198CJD</t>
  </si>
  <si>
    <t>2006-21-P-01292-U</t>
  </si>
  <si>
    <t>蔡世军</t>
  </si>
  <si>
    <t>420621196804306815</t>
  </si>
  <si>
    <t>13241952035</t>
  </si>
  <si>
    <t>松榆西里</t>
  </si>
  <si>
    <t>王国晖</t>
  </si>
  <si>
    <t>64.11</t>
  </si>
  <si>
    <t>18</t>
  </si>
  <si>
    <t>450000</t>
  </si>
  <si>
    <t>7019</t>
  </si>
  <si>
    <t>36.13</t>
  </si>
  <si>
    <t>5636</t>
  </si>
  <si>
    <t>34.32</t>
  </si>
  <si>
    <t>1080</t>
  </si>
  <si>
    <t>2006-21-P-01302-U</t>
  </si>
  <si>
    <t>张浩</t>
  </si>
  <si>
    <t>640102198006291210</t>
  </si>
  <si>
    <t>芍药居4号院</t>
  </si>
  <si>
    <t>1308号</t>
  </si>
  <si>
    <t>郭克社</t>
  </si>
  <si>
    <t>2006-3-1D1-00199CJD</t>
  </si>
  <si>
    <t>2006-21-P-01320-U</t>
  </si>
  <si>
    <t>李如强</t>
  </si>
  <si>
    <t>110102660523233</t>
  </si>
  <si>
    <t>通惠家园惠生园</t>
  </si>
  <si>
    <t>苏真</t>
  </si>
  <si>
    <t>2006-21-P-01352-U</t>
  </si>
  <si>
    <t>冷梅</t>
  </si>
  <si>
    <t>370502810306002</t>
  </si>
  <si>
    <t>13581996039、82659930</t>
  </si>
  <si>
    <t>东三环南路19号院</t>
  </si>
  <si>
    <t>邴荣</t>
  </si>
  <si>
    <t>2006-3-1D1-206CJD</t>
  </si>
  <si>
    <t>2006-21-P-01386-U</t>
  </si>
  <si>
    <t>张明宇</t>
  </si>
  <si>
    <t>230106810315235</t>
  </si>
  <si>
    <t>北苑家园紫绶园</t>
  </si>
  <si>
    <t>刘胜利</t>
  </si>
  <si>
    <t>2006-21-P-01389-U</t>
  </si>
  <si>
    <t>王涛</t>
  </si>
  <si>
    <t>130103197609020311</t>
  </si>
  <si>
    <t>安贞西里一区</t>
  </si>
  <si>
    <t>王月琴</t>
  </si>
  <si>
    <t>2006-3-1D1-208CJD</t>
  </si>
  <si>
    <t>2006-21-P-01392-U</t>
  </si>
  <si>
    <t>滕悦</t>
  </si>
  <si>
    <t>110105197211306523</t>
  </si>
  <si>
    <t>13801317215、85191321、64292297</t>
  </si>
  <si>
    <t>2006-3-1D1-00211CD</t>
  </si>
  <si>
    <t>滕守尧</t>
  </si>
  <si>
    <t>2006-21-P-01393-U</t>
  </si>
  <si>
    <t>王倩</t>
  </si>
  <si>
    <t>510321197704300045</t>
  </si>
  <si>
    <t>413号楼</t>
  </si>
  <si>
    <t>张月娥</t>
  </si>
  <si>
    <t>2006-21-P-01396-U</t>
  </si>
  <si>
    <t>闫厚</t>
  </si>
  <si>
    <t>110108196702010414</t>
  </si>
  <si>
    <t>和平街十四区</t>
  </si>
  <si>
    <t>李瑞琴</t>
  </si>
  <si>
    <t>三室一卫一厨</t>
  </si>
  <si>
    <t>2006-21-P-01397-U</t>
  </si>
  <si>
    <t>秦献辉</t>
  </si>
  <si>
    <t>410782197907155619</t>
  </si>
  <si>
    <t>13552979096</t>
  </si>
  <si>
    <t>福怡苑</t>
  </si>
  <si>
    <t>林立</t>
  </si>
  <si>
    <t>契约</t>
  </si>
  <si>
    <t>2006-21-P-01398-U</t>
  </si>
  <si>
    <t>刘维</t>
  </si>
  <si>
    <t>110103195803120923</t>
  </si>
  <si>
    <t>八里庄北里</t>
  </si>
  <si>
    <t>1001号</t>
  </si>
  <si>
    <t>赵淑华</t>
  </si>
  <si>
    <t>成交价为当初经济适用房价格</t>
  </si>
  <si>
    <t>2006-21-P-01400-U</t>
  </si>
  <si>
    <t>白丽静</t>
  </si>
  <si>
    <t>110221800809832</t>
  </si>
  <si>
    <t>13811205114</t>
  </si>
  <si>
    <r>
      <t>鑫兆佳园</t>
    </r>
    <r>
      <rPr>
        <sz val="10"/>
        <rFont val="Times New Roman"/>
        <family val="1"/>
      </rPr>
      <t/>
    </r>
  </si>
  <si>
    <t>702号</t>
  </si>
  <si>
    <t>王寿龙</t>
  </si>
  <si>
    <t xml:space="preserve"> 刘朝阳</t>
  </si>
  <si>
    <t>2006-21-P-01409-U</t>
  </si>
  <si>
    <t>英燕山</t>
  </si>
  <si>
    <t>110105195507180035</t>
  </si>
  <si>
    <t>65018815</t>
  </si>
  <si>
    <t>甘露园南里</t>
  </si>
  <si>
    <t>新10号楼</t>
  </si>
  <si>
    <t>2006-3-1D1-00216CJD</t>
  </si>
  <si>
    <t>2006-21-P-01477-U</t>
  </si>
  <si>
    <t>尚金彤</t>
  </si>
  <si>
    <t>110105197405176114</t>
  </si>
  <si>
    <r>
      <t>利泽西园</t>
    </r>
    <r>
      <rPr>
        <sz val="10"/>
        <rFont val="Times New Roman"/>
        <family val="1"/>
      </rPr>
      <t/>
    </r>
  </si>
  <si>
    <t>119号楼</t>
  </si>
  <si>
    <t>2单元　</t>
  </si>
  <si>
    <t>田景一</t>
  </si>
  <si>
    <t>2006-21-P-01478-U</t>
  </si>
  <si>
    <t>吴斌</t>
  </si>
  <si>
    <t>210703197901142611</t>
  </si>
  <si>
    <t>13911513224</t>
  </si>
  <si>
    <t>松榆南路38号院</t>
  </si>
  <si>
    <t>609号</t>
  </si>
  <si>
    <t>祁俊远</t>
  </si>
  <si>
    <t>2006-21-P-01811-U</t>
  </si>
  <si>
    <t>柏楠</t>
  </si>
  <si>
    <t>110227198110010051</t>
  </si>
  <si>
    <t>13911857350、58552245</t>
  </si>
  <si>
    <t>和平西街1号院</t>
  </si>
  <si>
    <t>金波</t>
  </si>
  <si>
    <t>2006-21-P-01852-U</t>
  </si>
  <si>
    <t>吴学进、姜红英</t>
  </si>
  <si>
    <t>110226197202200855、110226197709050067</t>
  </si>
  <si>
    <t>13521991699、64570610、13520857120</t>
  </si>
  <si>
    <t>望京中环南路11号院</t>
  </si>
  <si>
    <t>佟维丽</t>
  </si>
  <si>
    <t>4</t>
  </si>
  <si>
    <t>2006-3-1D1-00279CJD</t>
  </si>
  <si>
    <t>2006-21-P-01962-U</t>
  </si>
  <si>
    <t>熊峰</t>
  </si>
  <si>
    <t>36220219820303001X</t>
  </si>
  <si>
    <t>刘文智</t>
  </si>
  <si>
    <t>2006-3-1D1-00410CD</t>
  </si>
  <si>
    <t>2006-21-P-02239-U</t>
  </si>
  <si>
    <t>翁小刚</t>
  </si>
  <si>
    <t>362322197510316911</t>
  </si>
  <si>
    <t>13611197948、64065991</t>
  </si>
  <si>
    <t>傅慧勤</t>
  </si>
  <si>
    <t>2006-3-1D1-00343CD</t>
  </si>
  <si>
    <t>13683062858、64119138</t>
  </si>
  <si>
    <t>2006-21-P-02275-U</t>
  </si>
  <si>
    <t>郭明山</t>
  </si>
  <si>
    <t>110106196402194810</t>
  </si>
  <si>
    <t>13581658565、83017181</t>
  </si>
  <si>
    <t>东三环南路54号院</t>
  </si>
  <si>
    <t>710号</t>
  </si>
  <si>
    <t>颜争</t>
  </si>
  <si>
    <t>2006-21-P-02310-U</t>
  </si>
  <si>
    <t>夏岚、张建川</t>
  </si>
  <si>
    <t>360103197604082229、510402197607153033</t>
  </si>
  <si>
    <t>13683692201</t>
  </si>
  <si>
    <r>
      <t>双花园南里一区</t>
    </r>
    <r>
      <rPr>
        <sz val="10"/>
        <color indexed="8"/>
        <rFont val="Times New Roman"/>
        <family val="1"/>
      </rPr>
      <t/>
    </r>
  </si>
  <si>
    <t xml:space="preserve">6号楼 </t>
  </si>
  <si>
    <t>王淑荣</t>
  </si>
  <si>
    <t>2006-21-P-02311-U</t>
  </si>
  <si>
    <t>刘涛</t>
  </si>
  <si>
    <t>142401197511234216</t>
  </si>
  <si>
    <t>13521218699、64751002</t>
  </si>
  <si>
    <t>酒仙桥一街坊</t>
  </si>
  <si>
    <t>甲13号楼</t>
  </si>
  <si>
    <t>王立辉</t>
  </si>
  <si>
    <t>2006-3-1D1-00379CD</t>
  </si>
  <si>
    <t>2006-21-P-02331-U</t>
  </si>
  <si>
    <t>宋宝权</t>
  </si>
  <si>
    <t>140303810119161</t>
  </si>
  <si>
    <t>安贞西里三区</t>
  </si>
  <si>
    <t>2-501</t>
  </si>
  <si>
    <t>叶阳</t>
  </si>
  <si>
    <t>2006-3-1D1-00388CD</t>
  </si>
  <si>
    <t>2006-21-P-02352-U</t>
  </si>
  <si>
    <t>孙婷婷</t>
  </si>
  <si>
    <t>130403810207064</t>
  </si>
  <si>
    <t>13581928630、62301078</t>
  </si>
  <si>
    <t>劲松二区</t>
  </si>
  <si>
    <t>405号</t>
  </si>
  <si>
    <t>杨炳志</t>
  </si>
  <si>
    <t>刘珊</t>
  </si>
  <si>
    <t>2006-21-P-02534-U</t>
  </si>
  <si>
    <t>于骞</t>
  </si>
  <si>
    <t>210212196906050550</t>
  </si>
  <si>
    <t>13693661558、80498311</t>
  </si>
  <si>
    <t>艾际卫</t>
  </si>
  <si>
    <t>2006-3-1D1-00492CD</t>
  </si>
  <si>
    <t>2006-21-P-02568-U</t>
  </si>
  <si>
    <t>商文秀</t>
  </si>
  <si>
    <t>110103197002020649</t>
  </si>
  <si>
    <t>广渠路21号</t>
  </si>
  <si>
    <t>2208号</t>
  </si>
  <si>
    <t>金丰</t>
  </si>
  <si>
    <t>2006-21-P-02660-U</t>
  </si>
  <si>
    <t>蔡坚</t>
  </si>
  <si>
    <t>110102195908142794</t>
  </si>
  <si>
    <t>安定路12号院</t>
  </si>
  <si>
    <t>李娜</t>
  </si>
  <si>
    <t>2006-21-P-02669-U</t>
  </si>
  <si>
    <t>卢健</t>
  </si>
  <si>
    <t>450103197910142033</t>
  </si>
  <si>
    <t>13051916660、66240426</t>
  </si>
  <si>
    <t>枣营北里</t>
  </si>
  <si>
    <t>17号楼</t>
  </si>
  <si>
    <t>101</t>
  </si>
  <si>
    <t>张国才</t>
  </si>
  <si>
    <t>八</t>
  </si>
  <si>
    <t>2006-3-1D1-00572CD</t>
  </si>
  <si>
    <t>2006-21-P-02671-U</t>
  </si>
  <si>
    <t>吴瑾</t>
  </si>
  <si>
    <t>320482197804010101</t>
  </si>
  <si>
    <t>59202226、84848949、13810665421</t>
  </si>
  <si>
    <t>胜古南里</t>
  </si>
  <si>
    <t>奚君武</t>
  </si>
  <si>
    <t>2006-21-P-02686-U</t>
  </si>
  <si>
    <t>李艳馥</t>
  </si>
  <si>
    <t>220503197308120025</t>
  </si>
  <si>
    <t>13601335697、65080589</t>
  </si>
  <si>
    <t>小营路9号</t>
  </si>
  <si>
    <t>1701</t>
  </si>
  <si>
    <t>京房权证朝私06字</t>
  </si>
  <si>
    <t>2006-3-1D1-00583CD</t>
  </si>
  <si>
    <t>任鹏</t>
  </si>
  <si>
    <t>13681163482、64893482</t>
  </si>
  <si>
    <t>2006-21-P-02744-U</t>
  </si>
  <si>
    <t>张玮玮、桑海一</t>
  </si>
  <si>
    <t>110106197704123043、110102197212091131</t>
  </si>
  <si>
    <t>13671121115、66152147</t>
  </si>
  <si>
    <t>冯淑梅</t>
  </si>
  <si>
    <t>14</t>
  </si>
  <si>
    <t>冯淑敏</t>
  </si>
  <si>
    <t>2006-21-P-02783-U</t>
  </si>
  <si>
    <t>高月刚</t>
  </si>
  <si>
    <t>110101196011282010</t>
  </si>
  <si>
    <t>13901365135</t>
  </si>
  <si>
    <t>柳芳南里</t>
  </si>
  <si>
    <t>501</t>
  </si>
  <si>
    <t>李亚明</t>
  </si>
  <si>
    <t>2006-21-P-02825-U</t>
  </si>
  <si>
    <t>康勇军</t>
  </si>
  <si>
    <t>612132197005241211</t>
  </si>
  <si>
    <t>13801006568、84238471、64227003</t>
  </si>
  <si>
    <t>和平街十区</t>
  </si>
  <si>
    <t>王近庸</t>
  </si>
  <si>
    <t>京房权证朝私06字第206806号</t>
  </si>
  <si>
    <t>2006-3-1D1-00688CD</t>
  </si>
  <si>
    <t>2006-21-P-02837-U</t>
  </si>
  <si>
    <t>汪林</t>
  </si>
  <si>
    <t>340821198007062811</t>
  </si>
  <si>
    <t>13683116771</t>
  </si>
  <si>
    <t>202号楼</t>
  </si>
  <si>
    <t>荣彬</t>
  </si>
  <si>
    <t>2006-21-P-02894-U</t>
  </si>
  <si>
    <t>李颖</t>
  </si>
  <si>
    <t>110105197412147725</t>
  </si>
  <si>
    <t>13693549161</t>
  </si>
  <si>
    <t>惠新西街9号院惠新苑</t>
  </si>
  <si>
    <t>董晓燕</t>
  </si>
  <si>
    <t>2006-21-P-04330-U</t>
  </si>
  <si>
    <t>刘静</t>
  </si>
  <si>
    <t>220104196102130025</t>
  </si>
  <si>
    <t>204号楼</t>
  </si>
  <si>
    <t>徐晨</t>
  </si>
  <si>
    <t>2006-22-P-00040-U</t>
  </si>
  <si>
    <t>羿保云</t>
  </si>
  <si>
    <t>110105195407021520</t>
  </si>
  <si>
    <t>13671386869</t>
  </si>
  <si>
    <t>1006号</t>
  </si>
  <si>
    <t>2005年底</t>
  </si>
  <si>
    <t>2006-22-P-00041-U</t>
  </si>
  <si>
    <t>李凤玲</t>
  </si>
  <si>
    <t>642221710611002</t>
  </si>
  <si>
    <t>7门2号</t>
  </si>
  <si>
    <t>2006-22-P-00162-U</t>
  </si>
  <si>
    <t>张晨阳</t>
  </si>
  <si>
    <t>110104195307250856</t>
  </si>
  <si>
    <t>13901308485</t>
  </si>
  <si>
    <t>新源里西</t>
  </si>
  <si>
    <t>2门2层</t>
  </si>
  <si>
    <t>侯焕良</t>
  </si>
  <si>
    <t>2006-22-P-00163-U</t>
  </si>
  <si>
    <t>郑鹏飞</t>
  </si>
  <si>
    <t>370102197711154916</t>
  </si>
  <si>
    <t>13651137258、62302333</t>
  </si>
  <si>
    <t>林萃西里</t>
  </si>
  <si>
    <t>4-501号</t>
  </si>
  <si>
    <t>丁明禄</t>
  </si>
  <si>
    <t>2006-22-P-00209-U</t>
  </si>
  <si>
    <t>王丽萍</t>
  </si>
  <si>
    <t>110106196511123923</t>
  </si>
  <si>
    <t>和平街12区</t>
  </si>
  <si>
    <t>25号楼</t>
  </si>
  <si>
    <t>3-106号</t>
  </si>
  <si>
    <t>高永峰</t>
  </si>
  <si>
    <t>2006-22-P-00234-U</t>
  </si>
  <si>
    <t>田海峰</t>
  </si>
  <si>
    <t>110105197609060818</t>
  </si>
  <si>
    <t>7门</t>
  </si>
  <si>
    <t>王近</t>
  </si>
  <si>
    <t>2006-22-P-00239-U</t>
  </si>
  <si>
    <t>白佔茹</t>
  </si>
  <si>
    <t>110105195603262225</t>
  </si>
  <si>
    <t>13501134463、13693694100</t>
  </si>
  <si>
    <t>道家园</t>
  </si>
  <si>
    <t>7层703号</t>
  </si>
  <si>
    <t>朱宝龙</t>
  </si>
  <si>
    <t>2006-22-P-00296-U</t>
  </si>
  <si>
    <t>任强</t>
  </si>
  <si>
    <t>110104197310112517</t>
  </si>
  <si>
    <t>13621033252</t>
  </si>
  <si>
    <t>武圣东里</t>
  </si>
  <si>
    <t>55号楼</t>
  </si>
  <si>
    <t>王淑琴</t>
  </si>
  <si>
    <t>2006-22-P-00335-U</t>
  </si>
  <si>
    <t>冯雪莲</t>
  </si>
  <si>
    <t>230104197907062628</t>
  </si>
  <si>
    <t>13811200127</t>
  </si>
  <si>
    <t>呼家楼北街</t>
  </si>
  <si>
    <t>5-403</t>
  </si>
  <si>
    <t>毕秀英</t>
  </si>
  <si>
    <t>2006-22-P-00360-U</t>
  </si>
  <si>
    <t>陈进</t>
  </si>
  <si>
    <t>110105680412045</t>
  </si>
  <si>
    <t>松榆北路七号院</t>
  </si>
  <si>
    <t>段云辉</t>
  </si>
  <si>
    <t>2006-22-P-00409-U</t>
  </si>
  <si>
    <t>刘云鹤</t>
  </si>
  <si>
    <t>370105197502103732</t>
  </si>
  <si>
    <t>13621359340、13683389327</t>
  </si>
  <si>
    <t>胜古北里</t>
  </si>
  <si>
    <t>19号</t>
  </si>
  <si>
    <t>常光中</t>
  </si>
  <si>
    <t>2006-22-P-00419-U</t>
  </si>
  <si>
    <t>郑韦伯</t>
  </si>
  <si>
    <t>110105197412226810</t>
  </si>
  <si>
    <t>13366281074、65666526</t>
  </si>
  <si>
    <t>南新园</t>
  </si>
  <si>
    <t>709号</t>
  </si>
  <si>
    <t>房玉玲</t>
  </si>
  <si>
    <t>2006-22-P-00522-U</t>
  </si>
  <si>
    <t>徐云超</t>
  </si>
  <si>
    <t>110103197107160314</t>
  </si>
  <si>
    <t>安华里四区</t>
  </si>
  <si>
    <t>409号</t>
  </si>
  <si>
    <t>徐瑞敏</t>
  </si>
  <si>
    <t>吴铭</t>
  </si>
  <si>
    <t>2006-22-P-00551-U</t>
  </si>
  <si>
    <t>成光远</t>
  </si>
  <si>
    <t>310104197209275634</t>
  </si>
  <si>
    <t>13520750931</t>
  </si>
  <si>
    <t>甘露园南里二区</t>
  </si>
  <si>
    <t>3门0351</t>
  </si>
  <si>
    <t>高守波</t>
  </si>
  <si>
    <t>2006-22-P-00592-U</t>
  </si>
  <si>
    <t>白元英</t>
  </si>
  <si>
    <t>110103195311101523</t>
  </si>
  <si>
    <t>67350833</t>
  </si>
  <si>
    <t>1206</t>
  </si>
  <si>
    <t>李省宜</t>
  </si>
  <si>
    <t>2006-22-P-00605-U</t>
  </si>
  <si>
    <t>杨波</t>
  </si>
  <si>
    <t>11010219820123041X</t>
  </si>
  <si>
    <t>农光里</t>
  </si>
  <si>
    <t>221号楼</t>
  </si>
  <si>
    <t>2006-22-P-00606-U</t>
  </si>
  <si>
    <t>刘琤</t>
  </si>
  <si>
    <t>41120219781102005X</t>
  </si>
  <si>
    <t>13801275815、13810553891</t>
  </si>
  <si>
    <t>3-601</t>
  </si>
  <si>
    <t>韩琳</t>
  </si>
  <si>
    <t>2006-22-P-00622-U</t>
  </si>
  <si>
    <t>肖海峰</t>
  </si>
  <si>
    <t>210211197906212917</t>
  </si>
  <si>
    <t>13501169052</t>
  </si>
  <si>
    <t>慈云寺</t>
  </si>
  <si>
    <t>六单元</t>
  </si>
  <si>
    <t xml:space="preserve">正常 </t>
  </si>
  <si>
    <t>2006-22-P-00699-U</t>
  </si>
  <si>
    <t>张萱</t>
  </si>
  <si>
    <t>11010319801013152X</t>
  </si>
  <si>
    <t>6门402号</t>
  </si>
  <si>
    <t>2006-22-P-00705-U</t>
  </si>
  <si>
    <t>宋卫国</t>
  </si>
  <si>
    <t>11022619731123283X</t>
  </si>
  <si>
    <t>1单元4层</t>
  </si>
  <si>
    <t>19-20号</t>
  </si>
  <si>
    <t>苏斌</t>
  </si>
  <si>
    <t>2006-22-P-00801-U</t>
  </si>
  <si>
    <t>张建利</t>
  </si>
  <si>
    <t>110105690406861</t>
  </si>
  <si>
    <t>13651393398</t>
  </si>
  <si>
    <t>八里庄北里小区</t>
  </si>
  <si>
    <t>3-601号</t>
  </si>
  <si>
    <t>北京住房公积金管理中心朝阳第一管理部</t>
  </si>
  <si>
    <t>程秀敏</t>
  </si>
  <si>
    <t>2006-22-P-00805-U</t>
  </si>
  <si>
    <t>郭宇力</t>
  </si>
  <si>
    <t>230103197605205527</t>
  </si>
  <si>
    <t>13911622751</t>
  </si>
  <si>
    <t>南沙滩</t>
  </si>
  <si>
    <t>49号楼</t>
  </si>
  <si>
    <t>甲503号</t>
  </si>
  <si>
    <t>李文杰</t>
  </si>
  <si>
    <t>2006-22-P-00847-U</t>
  </si>
  <si>
    <t>高雷</t>
  </si>
  <si>
    <t>120109197811086517</t>
  </si>
  <si>
    <t>铁丽萍</t>
  </si>
  <si>
    <t>2006-22-P-00849-U</t>
  </si>
  <si>
    <t>刘文婷</t>
  </si>
  <si>
    <t>210402197911131729</t>
  </si>
  <si>
    <t>13811827922、58742208</t>
  </si>
  <si>
    <t>幸福三村</t>
  </si>
  <si>
    <t>马俊英</t>
  </si>
  <si>
    <t>2006-22-P-00862-U</t>
  </si>
  <si>
    <t>杨威</t>
  </si>
  <si>
    <t>110105197803283329</t>
  </si>
  <si>
    <t>松榆东里</t>
  </si>
  <si>
    <t>906号</t>
  </si>
  <si>
    <t>张月萍</t>
  </si>
  <si>
    <t>2006-22-P-00922-U</t>
  </si>
  <si>
    <t>210303800110121</t>
  </si>
  <si>
    <t>1303号</t>
  </si>
  <si>
    <t>邢玉辉</t>
  </si>
  <si>
    <t>2006-22-P-00927-U</t>
  </si>
  <si>
    <t>王垚</t>
  </si>
  <si>
    <t>110221198205310016</t>
  </si>
  <si>
    <t>13910888060</t>
  </si>
  <si>
    <t>201号楼</t>
  </si>
  <si>
    <t>.304号</t>
  </si>
  <si>
    <t>王金玲</t>
  </si>
  <si>
    <t>2006-22-P-00964-U</t>
  </si>
  <si>
    <t>周雷</t>
  </si>
  <si>
    <t>330325197112070014</t>
  </si>
  <si>
    <t>706号</t>
  </si>
  <si>
    <t>赵守星</t>
  </si>
  <si>
    <t>含税费、装修费</t>
  </si>
  <si>
    <t>2006-22-P-01120-U</t>
  </si>
  <si>
    <t>李琰</t>
  </si>
  <si>
    <t>510102196912146113</t>
  </si>
  <si>
    <r>
      <t>方舟苑</t>
    </r>
    <r>
      <rPr>
        <sz val="10"/>
        <rFont val="Times New Roman"/>
        <family val="1"/>
      </rPr>
      <t/>
    </r>
  </si>
  <si>
    <t>1107号</t>
  </si>
  <si>
    <t>刘岩辉</t>
  </si>
  <si>
    <t>2006-22-P-01121-U</t>
  </si>
  <si>
    <t>双平</t>
  </si>
  <si>
    <t>110105196910212564</t>
  </si>
  <si>
    <t>双龙南里113号楼</t>
  </si>
  <si>
    <t>高继业</t>
  </si>
  <si>
    <t>2006-22-P-01169-U</t>
  </si>
  <si>
    <t>赵文忠</t>
  </si>
  <si>
    <t>120225197210061176</t>
  </si>
  <si>
    <t>13671162064</t>
  </si>
  <si>
    <t>柳芳北里</t>
  </si>
  <si>
    <t>双方为同事</t>
  </si>
  <si>
    <t>2006-22-P-01232-U</t>
  </si>
  <si>
    <t>莫国东</t>
  </si>
  <si>
    <t>450204791011033</t>
  </si>
  <si>
    <t>13810372897、85189918</t>
  </si>
  <si>
    <t>606号</t>
  </si>
  <si>
    <t>陈晓龙、赵衍辉</t>
  </si>
  <si>
    <t>2006-22-P-01326-U</t>
  </si>
  <si>
    <t>季学猷、冯雪玲</t>
  </si>
  <si>
    <t>321088197111255015、130324197304072723</t>
  </si>
  <si>
    <t>2503号</t>
  </si>
  <si>
    <t>彭丽君</t>
  </si>
  <si>
    <t>2006-22-P-01328-U</t>
  </si>
  <si>
    <t>魏强</t>
  </si>
  <si>
    <t>130324197708022415</t>
  </si>
  <si>
    <t>13651250507</t>
  </si>
  <si>
    <t>1609号</t>
  </si>
  <si>
    <t>王春</t>
  </si>
  <si>
    <t>2006-22-P-01329-U</t>
  </si>
  <si>
    <t>单淑敏</t>
  </si>
  <si>
    <t>110221195609105322</t>
  </si>
  <si>
    <t>甘露西园</t>
  </si>
  <si>
    <t>1304号</t>
  </si>
  <si>
    <t>史桂花</t>
  </si>
  <si>
    <t>2006-22-P-01362-U</t>
  </si>
  <si>
    <t>刘玲</t>
  </si>
  <si>
    <t>130404197711151226</t>
  </si>
  <si>
    <t>磨房北里</t>
  </si>
  <si>
    <t>223号楼</t>
  </si>
  <si>
    <t>907号</t>
  </si>
  <si>
    <t>白景生</t>
  </si>
  <si>
    <t>2006-22-P-01363-U</t>
  </si>
  <si>
    <t>江涛</t>
  </si>
  <si>
    <t>110108196810241543</t>
  </si>
  <si>
    <t>13701359135、64993247</t>
  </si>
  <si>
    <t>华严里</t>
  </si>
  <si>
    <t>107号</t>
  </si>
  <si>
    <t>周红月</t>
  </si>
  <si>
    <t>2006-22-P-01443-U</t>
  </si>
  <si>
    <t>孙岳</t>
  </si>
  <si>
    <t>110104198003072038</t>
  </si>
  <si>
    <t>松榆南路52号</t>
  </si>
  <si>
    <t>13层</t>
  </si>
  <si>
    <t>D号</t>
  </si>
  <si>
    <t>13</t>
  </si>
  <si>
    <t>2006-22-P-01444-U</t>
  </si>
  <si>
    <t>张楠</t>
  </si>
  <si>
    <t>110102198006150465</t>
  </si>
  <si>
    <t>左家庄南里</t>
  </si>
  <si>
    <t>0817号</t>
  </si>
  <si>
    <t>于晓江</t>
  </si>
  <si>
    <t>2006-22-P-01446-U</t>
  </si>
  <si>
    <t>张洁</t>
  </si>
  <si>
    <t>110101197211304549</t>
  </si>
  <si>
    <t>13811981995、13811882833</t>
  </si>
  <si>
    <t>4门401</t>
  </si>
  <si>
    <t>2006-22-P-01520-U</t>
  </si>
  <si>
    <t>刘燕</t>
  </si>
  <si>
    <t>110229198109083125</t>
  </si>
  <si>
    <t>13121486189</t>
  </si>
  <si>
    <t>小关东里10号院</t>
  </si>
  <si>
    <t>谢仁凤</t>
  </si>
  <si>
    <t>2006-22-P-01541-U</t>
  </si>
  <si>
    <t>陈贇</t>
  </si>
  <si>
    <t>132801198104044217</t>
  </si>
  <si>
    <t>0504号</t>
  </si>
  <si>
    <t>李宝华</t>
  </si>
  <si>
    <t>2006-22-P-01570-U</t>
  </si>
  <si>
    <t>宋雁冰</t>
  </si>
  <si>
    <t>110109196705020331</t>
  </si>
  <si>
    <t>东苇路万象新天家园</t>
  </si>
  <si>
    <t>141号楼</t>
  </si>
  <si>
    <t>2-302号</t>
  </si>
  <si>
    <t>索京涛</t>
  </si>
  <si>
    <t>2006-22-P-01676-U</t>
  </si>
  <si>
    <t>韩愈</t>
  </si>
  <si>
    <t>130121198008100026</t>
  </si>
  <si>
    <t>404号</t>
  </si>
  <si>
    <t>肖玉昆</t>
  </si>
  <si>
    <t>2006-22-P-01677-U</t>
  </si>
  <si>
    <t>苏革</t>
  </si>
  <si>
    <t>110105196712190018</t>
  </si>
  <si>
    <t>田艳</t>
  </si>
  <si>
    <t>2006-22-P-01764-U</t>
  </si>
  <si>
    <t>黄舜彦</t>
  </si>
  <si>
    <t>110108197304111417</t>
  </si>
  <si>
    <t>13701065108</t>
  </si>
  <si>
    <t>南湖西园</t>
  </si>
  <si>
    <r>
      <t>113</t>
    </r>
    <r>
      <rPr>
        <sz val="10"/>
        <color indexed="8"/>
        <rFont val="宋体"/>
        <family val="3"/>
        <charset val="134"/>
      </rPr>
      <t>号楼</t>
    </r>
  </si>
  <si>
    <r>
      <t>2003</t>
    </r>
    <r>
      <rPr>
        <sz val="10"/>
        <color indexed="8"/>
        <rFont val="宋体"/>
        <family val="3"/>
        <charset val="134"/>
      </rPr>
      <t>号</t>
    </r>
  </si>
  <si>
    <t>郭鹏</t>
  </si>
  <si>
    <t>2006-22-P-01800-U</t>
  </si>
  <si>
    <t>黄东晖</t>
  </si>
  <si>
    <t>130106730219091</t>
  </si>
  <si>
    <t>13651018747</t>
  </si>
  <si>
    <t>103号楼</t>
  </si>
  <si>
    <t>1104号</t>
  </si>
  <si>
    <t>周金凤</t>
  </si>
  <si>
    <t>2006-22-P-01839-U</t>
  </si>
  <si>
    <t>耿春江</t>
  </si>
  <si>
    <t>110226197911141114</t>
  </si>
  <si>
    <t>824号</t>
  </si>
  <si>
    <t>张朔</t>
  </si>
  <si>
    <t>2006-22-P-01982-U</t>
  </si>
  <si>
    <t>余金友</t>
  </si>
  <si>
    <t>422802197305261833</t>
  </si>
  <si>
    <t>13521272152</t>
  </si>
  <si>
    <t>柴家湾</t>
  </si>
  <si>
    <t>王丽娟</t>
  </si>
  <si>
    <t>2006-22-P-01983-U</t>
  </si>
  <si>
    <t>421083800528351</t>
  </si>
  <si>
    <t>13801377459、13911776908</t>
  </si>
  <si>
    <t>211号楼</t>
  </si>
  <si>
    <t>12门</t>
  </si>
  <si>
    <t>邢秀珍</t>
  </si>
  <si>
    <t>2006-22-P-02063-U</t>
  </si>
  <si>
    <t>于霆</t>
  </si>
  <si>
    <t>210105800702251</t>
  </si>
  <si>
    <t>13911160681</t>
  </si>
  <si>
    <t>水碓子北里</t>
  </si>
  <si>
    <t>11门</t>
  </si>
  <si>
    <t>302</t>
  </si>
  <si>
    <t>韩国忠</t>
  </si>
  <si>
    <t>2006-22-P-02113-U</t>
  </si>
  <si>
    <t xml:space="preserve">裴培 </t>
  </si>
  <si>
    <t>340322198408142424</t>
  </si>
  <si>
    <t>13911617035、64995700</t>
  </si>
  <si>
    <t>朝阳北路50号院</t>
  </si>
  <si>
    <t>章立</t>
  </si>
  <si>
    <t>2006-22-P-02131-U</t>
  </si>
  <si>
    <t>刘媛</t>
  </si>
  <si>
    <t>230802197710130522</t>
  </si>
  <si>
    <t>潘家园南里</t>
  </si>
  <si>
    <t>602</t>
  </si>
  <si>
    <t>2006-22-P-02132-U</t>
  </si>
  <si>
    <t>王根柱</t>
  </si>
  <si>
    <t>230404197802170215</t>
  </si>
  <si>
    <t>双桥温泉东里</t>
  </si>
  <si>
    <t>张玉祥</t>
  </si>
  <si>
    <t>2006-22-P-02133-U</t>
  </si>
  <si>
    <t>徐凯</t>
  </si>
  <si>
    <t>110108198101270914</t>
  </si>
  <si>
    <t>和平里12区</t>
  </si>
  <si>
    <t>甲1号楼</t>
  </si>
  <si>
    <t>五层502号</t>
  </si>
  <si>
    <t>2006-22-P-02193-U</t>
  </si>
  <si>
    <t>杨筠</t>
  </si>
  <si>
    <t>320112197503251643</t>
  </si>
  <si>
    <t>仇祥华</t>
  </si>
  <si>
    <t>2006-22-P-02246-U</t>
  </si>
  <si>
    <t>李晓峰</t>
  </si>
  <si>
    <t>110105197602138619</t>
  </si>
  <si>
    <t>安贞西里四区</t>
  </si>
  <si>
    <t>205号</t>
  </si>
  <si>
    <t>陈沛</t>
  </si>
  <si>
    <t>全含</t>
  </si>
  <si>
    <t>2006-22-P-02247-U</t>
  </si>
  <si>
    <t>王晓</t>
  </si>
  <si>
    <t>220104197611134432</t>
  </si>
  <si>
    <t>13811662567、65041290</t>
  </si>
  <si>
    <t>红庙北里</t>
  </si>
  <si>
    <t xml:space="preserve">二 </t>
  </si>
  <si>
    <t>郭小苏</t>
  </si>
  <si>
    <t>2006-22-P-02277-U</t>
  </si>
  <si>
    <t>陈玮、宋允</t>
  </si>
  <si>
    <t>110108197308261228、21100119710317001X</t>
  </si>
  <si>
    <t>13910154575</t>
  </si>
  <si>
    <t>406号</t>
  </si>
  <si>
    <t>张国祝</t>
  </si>
  <si>
    <t>2006-22-P-02286-U</t>
  </si>
  <si>
    <t>张树发</t>
  </si>
  <si>
    <t>110105196007121172</t>
  </si>
  <si>
    <t>58262830、13671059568</t>
  </si>
  <si>
    <t>甘露园</t>
  </si>
  <si>
    <t>王萍</t>
  </si>
  <si>
    <t>85739915、13041074701</t>
  </si>
  <si>
    <t>2006-22-P-02312-U</t>
  </si>
  <si>
    <t>王建海</t>
  </si>
  <si>
    <t>110103196302060330</t>
  </si>
  <si>
    <t>306号楼</t>
  </si>
  <si>
    <t>史长红</t>
  </si>
  <si>
    <t>2006-22-P-02313-U</t>
  </si>
  <si>
    <t>赵日生</t>
  </si>
  <si>
    <t>110103195310071836</t>
  </si>
  <si>
    <r>
      <t>垂杨柳南里11号楼</t>
    </r>
    <r>
      <rPr>
        <sz val="10"/>
        <rFont val="Times New Roman"/>
        <family val="1"/>
      </rPr>
      <t/>
    </r>
  </si>
  <si>
    <t>72号</t>
  </si>
  <si>
    <t>2006-22-P-02373-U</t>
  </si>
  <si>
    <t>李刚</t>
  </si>
  <si>
    <t>132440197801175616</t>
  </si>
  <si>
    <t>13381187876</t>
  </si>
  <si>
    <r>
      <t>三源里北小街</t>
    </r>
    <r>
      <rPr>
        <sz val="10"/>
        <rFont val="Times New Roman"/>
        <family val="1"/>
      </rPr>
      <t/>
    </r>
  </si>
  <si>
    <t>9层905</t>
  </si>
  <si>
    <t>2006-22-P-02392-U</t>
  </si>
  <si>
    <t>李海、徐蕊</t>
  </si>
  <si>
    <t>410305197004083517、110101197712300028</t>
  </si>
  <si>
    <t>13621177297</t>
  </si>
  <si>
    <t>1305号</t>
  </si>
  <si>
    <t>二室一卫一厨</t>
  </si>
  <si>
    <t>王爱敏</t>
  </si>
  <si>
    <t>2006-22-P-02449-U</t>
  </si>
  <si>
    <t>张勇</t>
  </si>
  <si>
    <t>110105196601270410</t>
  </si>
  <si>
    <t>508号</t>
  </si>
  <si>
    <t>2006-22-P-02462-U</t>
  </si>
  <si>
    <t>徐志强</t>
  </si>
  <si>
    <t>110105197906227311</t>
  </si>
  <si>
    <t>13146551863、89540628、81442808</t>
  </si>
  <si>
    <t>定福庄北街</t>
  </si>
  <si>
    <t>1103号</t>
  </si>
  <si>
    <t>评估收费300</t>
  </si>
  <si>
    <t>孔令泉</t>
  </si>
  <si>
    <t>2006-22-P-02504-U</t>
  </si>
  <si>
    <t>王晶</t>
  </si>
  <si>
    <t>110108610126546</t>
  </si>
  <si>
    <t>13621241226、86218718</t>
  </si>
  <si>
    <t>安华西里三区</t>
  </si>
  <si>
    <t>焦旭兰</t>
  </si>
  <si>
    <t>2006-22-P-02544-U</t>
  </si>
  <si>
    <t>王海燕</t>
  </si>
  <si>
    <t>142424197609172927</t>
  </si>
  <si>
    <t>13683323917、13911882928</t>
  </si>
  <si>
    <t>南湖中园一区</t>
  </si>
  <si>
    <t>106号楼</t>
  </si>
  <si>
    <t>卑婧滨</t>
  </si>
  <si>
    <t>2006-22-P-02578-U</t>
  </si>
  <si>
    <t>汤晓凌</t>
  </si>
  <si>
    <t>11010819720806274X</t>
  </si>
  <si>
    <t>安翔里</t>
  </si>
  <si>
    <t>1003号</t>
  </si>
  <si>
    <t>刘春生</t>
  </si>
  <si>
    <t>2006-22-P-02622-U</t>
  </si>
  <si>
    <t>康玉荣</t>
  </si>
  <si>
    <t>11010519711012582X</t>
  </si>
  <si>
    <t>13141070243、13520312194</t>
  </si>
  <si>
    <t>康静里</t>
  </si>
  <si>
    <r>
      <t>1号楼</t>
    </r>
    <r>
      <rPr>
        <sz val="10"/>
        <rFont val="Times New Roman"/>
        <family val="1"/>
      </rPr>
      <t/>
    </r>
  </si>
  <si>
    <t>419号</t>
  </si>
  <si>
    <t>王德全</t>
  </si>
  <si>
    <t>2006-22-P-02701-U</t>
  </si>
  <si>
    <t>杨静</t>
  </si>
  <si>
    <t>120105790808512</t>
  </si>
  <si>
    <t>13501286075</t>
  </si>
  <si>
    <t xml:space="preserve">104号楼 </t>
  </si>
  <si>
    <t>陈润民</t>
  </si>
  <si>
    <t>2006-22-P-02861-U</t>
  </si>
  <si>
    <t>杨现青</t>
  </si>
  <si>
    <t>410522197807251358</t>
  </si>
  <si>
    <t>1007号</t>
  </si>
  <si>
    <t>陈红波</t>
  </si>
  <si>
    <t>2006-22-P-02917-U</t>
  </si>
  <si>
    <t>梁继东</t>
  </si>
  <si>
    <t>352624197606010033</t>
  </si>
  <si>
    <t>13501109179</t>
  </si>
  <si>
    <t>306楼</t>
  </si>
  <si>
    <t>翟骞</t>
  </si>
  <si>
    <t>2006-22-P-02918-U</t>
  </si>
  <si>
    <t>张伟、王芸</t>
  </si>
  <si>
    <t>110104196603221616、632221196507140029</t>
  </si>
  <si>
    <t>13366876950</t>
  </si>
  <si>
    <t>北苑家园清友园</t>
  </si>
  <si>
    <t>侯连江</t>
  </si>
  <si>
    <t>2006-22-P-02919-U</t>
  </si>
  <si>
    <t>李德生</t>
  </si>
  <si>
    <t>110109197304070316</t>
  </si>
  <si>
    <t>13331137802</t>
  </si>
  <si>
    <t>水碓子东里</t>
  </si>
  <si>
    <t>806</t>
  </si>
  <si>
    <t>2006-22-P-02940-U</t>
  </si>
  <si>
    <t>韩一新</t>
  </si>
  <si>
    <t>110104197203282510</t>
  </si>
  <si>
    <t>青年路</t>
  </si>
  <si>
    <t>4-301号</t>
  </si>
  <si>
    <t>董学才</t>
  </si>
  <si>
    <t>2006-22-P-02946-U</t>
  </si>
  <si>
    <t>王争</t>
  </si>
  <si>
    <t>110103198011110018</t>
  </si>
  <si>
    <t>13811368166</t>
  </si>
  <si>
    <t>红军营东路8号</t>
  </si>
  <si>
    <t>111号</t>
  </si>
  <si>
    <t>朱丽</t>
  </si>
  <si>
    <t>2006-22-P-02966-U</t>
  </si>
  <si>
    <t>赵海霞</t>
  </si>
  <si>
    <t>110228197409251222</t>
  </si>
  <si>
    <t>13522887125</t>
  </si>
  <si>
    <t>南湖东园</t>
  </si>
  <si>
    <t>买卖双方认识</t>
  </si>
  <si>
    <t>赵军</t>
  </si>
  <si>
    <t>2006-22-P-02994-U</t>
  </si>
  <si>
    <t>李国英</t>
  </si>
  <si>
    <t>130636197807043838</t>
  </si>
  <si>
    <t>13126602873、65103105</t>
  </si>
  <si>
    <t>308号</t>
  </si>
  <si>
    <t>崔书强</t>
  </si>
  <si>
    <t>2006-22-P-03062-U</t>
  </si>
  <si>
    <t>高志龙</t>
  </si>
  <si>
    <t>120222731112291</t>
  </si>
  <si>
    <t>1102号</t>
  </si>
  <si>
    <t>李白东</t>
  </si>
  <si>
    <t>2006-22-P-03093-U</t>
  </si>
  <si>
    <t>王凤全</t>
  </si>
  <si>
    <t>110226196510290595</t>
  </si>
  <si>
    <t>劲松2区</t>
  </si>
  <si>
    <t>209楼</t>
  </si>
  <si>
    <t>1201号</t>
  </si>
  <si>
    <t>陈颖</t>
  </si>
  <si>
    <t>王伟</t>
  </si>
  <si>
    <t>2006-22-P-03108-U</t>
  </si>
  <si>
    <t>刘敏</t>
  </si>
  <si>
    <t>640202197606090544</t>
  </si>
  <si>
    <t>13611099450</t>
  </si>
  <si>
    <t>北辰东路8号</t>
  </si>
  <si>
    <t>Q幢</t>
  </si>
  <si>
    <t>刘京</t>
  </si>
  <si>
    <t>2006-22-P-03147-U</t>
  </si>
  <si>
    <t>孙连喜</t>
  </si>
  <si>
    <t>110109196504052513</t>
  </si>
  <si>
    <t>关东店北街</t>
  </si>
  <si>
    <t>半地下01、02、03号</t>
  </si>
  <si>
    <t>半地下</t>
  </si>
  <si>
    <t>徐占明</t>
  </si>
  <si>
    <t>2006-22-P-03240-U</t>
  </si>
  <si>
    <t>胡伟峰</t>
  </si>
  <si>
    <t>110228197607220013</t>
  </si>
  <si>
    <t>13911836319</t>
  </si>
  <si>
    <t>驼房营南里</t>
  </si>
  <si>
    <t>16层1号</t>
  </si>
  <si>
    <t>刘淑云</t>
  </si>
  <si>
    <t>2006-22-P-03241-U</t>
  </si>
  <si>
    <t>陈碧玲</t>
  </si>
  <si>
    <t>320811196107061546</t>
  </si>
  <si>
    <t>13910601048</t>
  </si>
  <si>
    <t>豆各庄5号院</t>
  </si>
  <si>
    <t>136号楼</t>
  </si>
  <si>
    <t>201</t>
  </si>
  <si>
    <t>2006-22-P-03406-U</t>
  </si>
  <si>
    <t>廖志</t>
  </si>
  <si>
    <t>510202197910280933</t>
  </si>
  <si>
    <t>13581672935、64798335</t>
  </si>
  <si>
    <t xml:space="preserve">805号 </t>
  </si>
  <si>
    <t>刘明秀</t>
  </si>
  <si>
    <t>2006-22-P-03413-U</t>
  </si>
  <si>
    <t>张建</t>
  </si>
  <si>
    <t>110226198001011913</t>
  </si>
  <si>
    <t>13426375880</t>
  </si>
  <si>
    <r>
      <t>劲松西口广和南里二条</t>
    </r>
    <r>
      <rPr>
        <sz val="10"/>
        <rFont val="Times New Roman"/>
        <family val="1"/>
      </rPr>
      <t/>
    </r>
  </si>
  <si>
    <r>
      <t>14号楼</t>
    </r>
    <r>
      <rPr>
        <sz val="10"/>
        <rFont val="Times New Roman"/>
        <family val="1"/>
      </rPr>
      <t/>
    </r>
  </si>
  <si>
    <t>1405号</t>
  </si>
  <si>
    <t>张曙东</t>
  </si>
  <si>
    <t>张颖</t>
  </si>
  <si>
    <t>2006-22-P-03415-U</t>
  </si>
  <si>
    <t>梅莉</t>
  </si>
  <si>
    <t>610111197209122827</t>
  </si>
  <si>
    <t>13911585995</t>
  </si>
  <si>
    <t>203号楼</t>
  </si>
  <si>
    <t>张作民</t>
  </si>
  <si>
    <t>2006-22-P-03525-U</t>
  </si>
  <si>
    <t>韩澎</t>
  </si>
  <si>
    <t>130705197808243023</t>
  </si>
  <si>
    <t>13362250927</t>
  </si>
  <si>
    <t>祁家豁子甲8号</t>
  </si>
  <si>
    <t>1601号</t>
  </si>
  <si>
    <t>李明德</t>
  </si>
  <si>
    <t>2006-22-P-03528-U</t>
  </si>
  <si>
    <t>张洋</t>
  </si>
  <si>
    <t>211021197903135824</t>
  </si>
  <si>
    <t>704号</t>
  </si>
  <si>
    <t>姜春林</t>
  </si>
  <si>
    <t>2006-22-P-03564-U</t>
  </si>
  <si>
    <t>易志韬</t>
  </si>
  <si>
    <t>439004760326977</t>
  </si>
  <si>
    <t>甲24号楼</t>
  </si>
  <si>
    <t>2-201号</t>
  </si>
  <si>
    <t>王凤喜</t>
  </si>
  <si>
    <t>2006-22-P-03565-U</t>
  </si>
  <si>
    <t>姜溪</t>
  </si>
  <si>
    <t>110106197909233625</t>
  </si>
  <si>
    <t>13651172871</t>
  </si>
  <si>
    <t>急卖</t>
  </si>
  <si>
    <t>2006-22-P-03734-U</t>
  </si>
  <si>
    <t>刘坤</t>
  </si>
  <si>
    <t>110101198003093024</t>
  </si>
  <si>
    <t>13911363449、13701028617</t>
  </si>
  <si>
    <t>南湖中园</t>
  </si>
  <si>
    <t>307号楼</t>
  </si>
  <si>
    <t>201号</t>
  </si>
  <si>
    <t>孙文艺</t>
  </si>
  <si>
    <t>2006-22-P-03735-U</t>
  </si>
  <si>
    <t>张洪雷</t>
  </si>
  <si>
    <t>150202197106091245</t>
  </si>
  <si>
    <t>农光南路</t>
  </si>
  <si>
    <t>吴应兴</t>
  </si>
  <si>
    <t>2006-22-P-04006-U</t>
  </si>
  <si>
    <t>李端</t>
  </si>
  <si>
    <t>110103197611080663</t>
  </si>
  <si>
    <t>201楼</t>
  </si>
  <si>
    <t>4-06号</t>
  </si>
  <si>
    <t>李领</t>
  </si>
  <si>
    <t>2006-22-P-04014-U</t>
  </si>
  <si>
    <t>李芳</t>
  </si>
  <si>
    <t>12010619770919052X</t>
  </si>
  <si>
    <t>13141202759</t>
  </si>
  <si>
    <t>垡头西里</t>
  </si>
  <si>
    <t>魏华</t>
  </si>
  <si>
    <t>二手</t>
  </si>
  <si>
    <t>2006-22-P-04086-U</t>
  </si>
  <si>
    <t>尹宝超</t>
  </si>
  <si>
    <t>370211198010311014</t>
  </si>
  <si>
    <t>望京路3号院</t>
  </si>
  <si>
    <t>西11-4号</t>
  </si>
  <si>
    <t>刘新民</t>
  </si>
  <si>
    <t>2006-22-P-04113-U</t>
  </si>
  <si>
    <t>沈朋</t>
  </si>
  <si>
    <t>110222198110230853</t>
  </si>
  <si>
    <t>13520110531</t>
  </si>
  <si>
    <t>农光东里</t>
  </si>
  <si>
    <t>陈守贞</t>
  </si>
  <si>
    <t>2006-22-P-04114-U</t>
  </si>
  <si>
    <t>师亚辉</t>
  </si>
  <si>
    <t>14272419770925271X</t>
  </si>
  <si>
    <t>13522687782</t>
  </si>
  <si>
    <t>218号楼</t>
  </si>
  <si>
    <t>西单元</t>
  </si>
  <si>
    <t>范宝真</t>
  </si>
  <si>
    <t>2006-22-P-04127-U</t>
  </si>
  <si>
    <t>侯志高</t>
  </si>
  <si>
    <t>142724701116411</t>
  </si>
  <si>
    <t>郭丽微</t>
  </si>
  <si>
    <t>2006-22-P-04128-U</t>
  </si>
  <si>
    <t>李艳兰</t>
  </si>
  <si>
    <t>110227197409300964</t>
  </si>
  <si>
    <t>13801095175</t>
  </si>
  <si>
    <t>芳草地西街</t>
  </si>
  <si>
    <t>11-404号</t>
  </si>
  <si>
    <t>马永红</t>
  </si>
  <si>
    <t>2006-22-P-04137-U</t>
  </si>
  <si>
    <t>王赞芳</t>
  </si>
  <si>
    <t>110103197307150321</t>
  </si>
  <si>
    <t>13011096988、64371011</t>
  </si>
  <si>
    <t>406号楼</t>
  </si>
  <si>
    <t>507号</t>
  </si>
  <si>
    <t>孙淑文</t>
  </si>
  <si>
    <t>2006-22-P-04235-U</t>
  </si>
  <si>
    <t>王洪熙</t>
  </si>
  <si>
    <t>430204197801311019</t>
  </si>
  <si>
    <t>13810099494、58605841</t>
  </si>
  <si>
    <t>小营路12号</t>
  </si>
  <si>
    <t>8E号</t>
  </si>
  <si>
    <t>钱英</t>
  </si>
  <si>
    <t>2006-22-P-04329-U</t>
  </si>
  <si>
    <t>沙迪</t>
  </si>
  <si>
    <t>210113198005232226</t>
  </si>
  <si>
    <t>赵林克</t>
  </si>
  <si>
    <t>13671364666</t>
  </si>
  <si>
    <t>2006-22-P-04495-U</t>
  </si>
  <si>
    <t>高博</t>
  </si>
  <si>
    <t>110103198003060954</t>
  </si>
  <si>
    <t>13683667891</t>
  </si>
  <si>
    <t>2006-22-P-04562-U</t>
  </si>
  <si>
    <t>刘蕊</t>
  </si>
  <si>
    <t>110101198010164521</t>
  </si>
  <si>
    <t>13910127560、13901018247</t>
  </si>
  <si>
    <t>3层3号</t>
  </si>
  <si>
    <t>路颖</t>
  </si>
  <si>
    <t>2006-22-P-04563-U</t>
  </si>
  <si>
    <t>马振华</t>
  </si>
  <si>
    <t>130638770314701</t>
  </si>
  <si>
    <t>酒仙桥十一街坊</t>
  </si>
  <si>
    <t>39号</t>
  </si>
  <si>
    <t>金其生</t>
  </si>
  <si>
    <t>64363375、51168409</t>
  </si>
  <si>
    <t>2006-22-P-04584-U</t>
  </si>
  <si>
    <t>蒋书雷</t>
  </si>
  <si>
    <t>340421198211202437</t>
  </si>
  <si>
    <t>13911289906、65708650</t>
  </si>
  <si>
    <t>2407号</t>
  </si>
  <si>
    <t>蒋耕</t>
  </si>
  <si>
    <t>2006-22-P-04620-U</t>
  </si>
  <si>
    <t>李小伟</t>
  </si>
  <si>
    <t>110105197811021513</t>
  </si>
  <si>
    <t>5层92号</t>
  </si>
  <si>
    <t>张福清</t>
  </si>
  <si>
    <t>2006-22-P-04637-U</t>
  </si>
  <si>
    <t>周新平</t>
  </si>
  <si>
    <t>11010119681008351X</t>
  </si>
  <si>
    <t>13910390419</t>
  </si>
  <si>
    <t>劲松8区</t>
  </si>
  <si>
    <t>816楼</t>
  </si>
  <si>
    <t>4层12号</t>
  </si>
  <si>
    <t>张宝明</t>
  </si>
  <si>
    <t>2006-22-P-04638-U</t>
  </si>
  <si>
    <t>刘卫宏</t>
  </si>
  <si>
    <t>110107197108052118</t>
  </si>
  <si>
    <t>13611101978</t>
  </si>
  <si>
    <t>韩守田</t>
  </si>
  <si>
    <t>2006-22-P-04662-U</t>
  </si>
  <si>
    <t>黄河</t>
  </si>
  <si>
    <t>11022719780323001X</t>
  </si>
  <si>
    <t>13501203123</t>
  </si>
  <si>
    <t>504号</t>
  </si>
  <si>
    <t>夏丹峰</t>
  </si>
  <si>
    <t>2006-22-P-04927-U</t>
  </si>
  <si>
    <t>郑军</t>
  </si>
  <si>
    <t>110102197811121136</t>
  </si>
  <si>
    <t>13366806006</t>
  </si>
  <si>
    <t>金台西路2号</t>
  </si>
  <si>
    <t>民27号楼</t>
  </si>
  <si>
    <t>108号</t>
  </si>
  <si>
    <t>2006-22-P-04928-U</t>
  </si>
  <si>
    <t>陈校云</t>
  </si>
  <si>
    <t>420104197008181610</t>
  </si>
  <si>
    <t>13910557279、64413747</t>
  </si>
  <si>
    <r>
      <t>5单元</t>
    </r>
    <r>
      <rPr>
        <sz val="10"/>
        <rFont val="Times New Roman"/>
        <family val="1"/>
      </rPr>
      <t/>
    </r>
  </si>
  <si>
    <t>魏贵芳</t>
  </si>
  <si>
    <t>2006-22-P-05027-U</t>
  </si>
  <si>
    <t>吴蕾</t>
  </si>
  <si>
    <t>130402760128244</t>
  </si>
  <si>
    <t>13911792802</t>
  </si>
  <si>
    <t>西坝河南路</t>
  </si>
  <si>
    <r>
      <t>东座</t>
    </r>
    <r>
      <rPr>
        <sz val="10"/>
        <rFont val="Times New Roman"/>
        <family val="1"/>
      </rPr>
      <t/>
    </r>
  </si>
  <si>
    <t>208号</t>
  </si>
  <si>
    <t>田同岗</t>
  </si>
  <si>
    <t>2006-22-P-05040-U</t>
  </si>
  <si>
    <t>吕斌</t>
  </si>
  <si>
    <t>110105196911085819</t>
  </si>
  <si>
    <t>13331101219、67686934</t>
  </si>
  <si>
    <t>于泽膏</t>
  </si>
  <si>
    <t>2006-22-P-05041-U</t>
  </si>
  <si>
    <t>张全有</t>
  </si>
  <si>
    <t>110222195708014510</t>
  </si>
  <si>
    <t>13552833595</t>
  </si>
  <si>
    <t>1门3层</t>
  </si>
  <si>
    <t>韩绪</t>
  </si>
  <si>
    <t>2006-22-P-05047-U</t>
  </si>
  <si>
    <t>向佳峻</t>
  </si>
  <si>
    <t>510227198012023558</t>
  </si>
  <si>
    <t>窦璐</t>
  </si>
  <si>
    <t>2006-22-P-05113-U</t>
  </si>
  <si>
    <t>王洪亮</t>
  </si>
  <si>
    <t>110223198204067897</t>
  </si>
  <si>
    <t>曙光里</t>
  </si>
  <si>
    <t>7-302号</t>
  </si>
  <si>
    <t>王洪霞</t>
  </si>
  <si>
    <t>2006-22-P-05246-U</t>
  </si>
  <si>
    <t>徐翔</t>
  </si>
  <si>
    <t>360103197802044151</t>
  </si>
  <si>
    <t>13466553929</t>
  </si>
  <si>
    <t>杜文艳</t>
  </si>
  <si>
    <t>13552972281、84963106</t>
  </si>
  <si>
    <t>2006-22-P-05290-U</t>
  </si>
  <si>
    <t>徐心宇</t>
  </si>
  <si>
    <t>330106197601172118</t>
  </si>
  <si>
    <t>1306号</t>
  </si>
  <si>
    <t>张学刚</t>
  </si>
  <si>
    <t>2006-22-P-05340-U</t>
  </si>
  <si>
    <t>李畅怡</t>
  </si>
  <si>
    <t>610113197501022148</t>
  </si>
  <si>
    <t>13501184050</t>
  </si>
  <si>
    <t>朝新嘉园东里二区</t>
  </si>
  <si>
    <t>张卫东</t>
  </si>
  <si>
    <t>含全部税费及补交土地出让金部分</t>
  </si>
  <si>
    <t>2006-22-P-05344-U</t>
  </si>
  <si>
    <t>张健国</t>
  </si>
  <si>
    <t>110105198001250810</t>
  </si>
  <si>
    <t>13021257880</t>
  </si>
  <si>
    <t>定福庄西村甲1号院</t>
  </si>
  <si>
    <t>601</t>
  </si>
  <si>
    <t>王声</t>
  </si>
  <si>
    <t>2006-22-P-05374-U</t>
  </si>
  <si>
    <t>孙海滨</t>
  </si>
  <si>
    <t>140103771004003</t>
  </si>
  <si>
    <t>赵利芹</t>
  </si>
  <si>
    <t>不含税费含土地出让金</t>
  </si>
  <si>
    <t>2006-22-P-05416-U</t>
  </si>
  <si>
    <t>陈建新</t>
  </si>
  <si>
    <t>110226196701153614</t>
  </si>
  <si>
    <t>朝外2条东巷</t>
  </si>
  <si>
    <t>601(现地址：朝外雅宝里5号楼1门601号)</t>
  </si>
  <si>
    <t>张晓梅</t>
  </si>
  <si>
    <t>2006-22-P-05473-U</t>
  </si>
  <si>
    <t>杨涛</t>
  </si>
  <si>
    <t>653130197902192611</t>
  </si>
  <si>
    <t>亮马桥路9号院</t>
  </si>
  <si>
    <t>2-601</t>
  </si>
  <si>
    <t>高静</t>
  </si>
  <si>
    <t>2006-22-P-05485-U</t>
  </si>
  <si>
    <t>陈曦</t>
  </si>
  <si>
    <t>110228198307245440</t>
  </si>
  <si>
    <t>60103853</t>
  </si>
  <si>
    <t>马君培</t>
  </si>
  <si>
    <t>2006-22-P-05486-U</t>
  </si>
  <si>
    <t>高琪</t>
  </si>
  <si>
    <t>510102197208230279</t>
  </si>
  <si>
    <t>吴新宇</t>
  </si>
  <si>
    <t>2006-22-P-05492-U</t>
  </si>
  <si>
    <t>张静、岳斌</t>
  </si>
  <si>
    <t>610111801230234、422103198005020432</t>
  </si>
  <si>
    <t>13810095660、13811887945</t>
  </si>
  <si>
    <t>西坝河东里2号院</t>
  </si>
  <si>
    <t>2-2102号</t>
  </si>
  <si>
    <t>陶钧</t>
  </si>
  <si>
    <t>实际成交价约60万</t>
  </si>
  <si>
    <t>2006-22-P-05682-U</t>
  </si>
  <si>
    <t>赵玉红</t>
  </si>
  <si>
    <t>110101196805024523</t>
  </si>
  <si>
    <t>13651023804</t>
  </si>
  <si>
    <t>3层</t>
  </si>
  <si>
    <t>王璐、尚景盛</t>
  </si>
  <si>
    <t>2006-22-P-05742-U</t>
  </si>
  <si>
    <t>刘奕民</t>
  </si>
  <si>
    <t>11010519710323813X</t>
  </si>
  <si>
    <t>1603号</t>
  </si>
  <si>
    <t>司伟</t>
  </si>
  <si>
    <t>2006-22-P-05843-U</t>
  </si>
  <si>
    <t>徐景</t>
  </si>
  <si>
    <t>130303198205261214</t>
  </si>
  <si>
    <t>十里堡北区炫特嘉园</t>
  </si>
  <si>
    <t>11号楼B座</t>
  </si>
  <si>
    <t>2006-22-P-06029-U</t>
  </si>
  <si>
    <t>李赛</t>
  </si>
  <si>
    <t>210302197610250331</t>
  </si>
  <si>
    <t>13671133784</t>
  </si>
  <si>
    <t>121号楼</t>
  </si>
  <si>
    <t>张芳</t>
  </si>
  <si>
    <t>2006-22-P-06079-U</t>
  </si>
  <si>
    <t>王醒</t>
  </si>
  <si>
    <t>110101197811261159</t>
  </si>
  <si>
    <t>13911463953</t>
  </si>
  <si>
    <t>9层5号</t>
  </si>
  <si>
    <t>任伟</t>
  </si>
  <si>
    <t>刘跃辰</t>
  </si>
  <si>
    <t>2006-22-P-06080-U</t>
  </si>
  <si>
    <t>徐晓梅</t>
  </si>
  <si>
    <t>110102197010110429</t>
  </si>
  <si>
    <t>13521865211</t>
  </si>
  <si>
    <t>1层103号</t>
  </si>
  <si>
    <t>张爱军</t>
  </si>
  <si>
    <t>2006-22-P-06180-U</t>
  </si>
  <si>
    <t>吴静</t>
  </si>
  <si>
    <t>11010519730821772X</t>
  </si>
  <si>
    <t>13001289425、65369057</t>
  </si>
  <si>
    <t>芍药居甲2号院</t>
  </si>
  <si>
    <t>1401号</t>
  </si>
  <si>
    <t>祁恩奎</t>
  </si>
  <si>
    <t>双方为亲戚，交易价格低</t>
  </si>
  <si>
    <t>2006-22-P-06182-U</t>
  </si>
  <si>
    <t>李淑君</t>
  </si>
  <si>
    <t>110104196201022606</t>
  </si>
  <si>
    <t>13621088899</t>
  </si>
  <si>
    <t xml:space="preserve"> 芳园里 </t>
  </si>
  <si>
    <t>42号楼</t>
  </si>
  <si>
    <t>2236号</t>
  </si>
  <si>
    <t>叁拾伍万捌仟捌佰</t>
  </si>
  <si>
    <t>贰拾捌万柒仟</t>
  </si>
  <si>
    <t>刘宇</t>
  </si>
  <si>
    <t>2006-22-P-06189-U</t>
  </si>
  <si>
    <t>李玉娥、张玉良</t>
  </si>
  <si>
    <t>110105710427216、130102196911280635</t>
  </si>
  <si>
    <t>13911269267、13521421764</t>
  </si>
  <si>
    <t>707号</t>
  </si>
  <si>
    <t>杨德业</t>
  </si>
  <si>
    <t>2006-22-P-06195-U</t>
  </si>
  <si>
    <t>韩照菊</t>
  </si>
  <si>
    <t>42272219730912182X</t>
  </si>
  <si>
    <t>13522296333</t>
  </si>
  <si>
    <t xml:space="preserve"> 甜水园北里 </t>
  </si>
  <si>
    <t xml:space="preserve">2门 </t>
  </si>
  <si>
    <t>506号</t>
  </si>
  <si>
    <t>王书杰</t>
  </si>
  <si>
    <t>叁拾叁万贰仟捌佰</t>
  </si>
  <si>
    <t>贰拾陆万陆仟贰佰</t>
  </si>
  <si>
    <t>11</t>
  </si>
  <si>
    <t>2006-22-P-06368-U</t>
  </si>
  <si>
    <t>李卿卿</t>
  </si>
  <si>
    <t>342123198006260441</t>
  </si>
  <si>
    <r>
      <t>麦子店街</t>
    </r>
    <r>
      <rPr>
        <sz val="10"/>
        <rFont val="Times New Roman"/>
        <family val="1"/>
      </rPr>
      <t/>
    </r>
  </si>
  <si>
    <t>苏芳荣</t>
  </si>
  <si>
    <t>不含</t>
  </si>
  <si>
    <t>2006-22-P-06454-U</t>
  </si>
  <si>
    <t>潘学英、荆文芳</t>
  </si>
  <si>
    <t>519004196701124016、110105196801221541</t>
  </si>
  <si>
    <t>13661313608</t>
  </si>
  <si>
    <t>5门2号</t>
  </si>
  <si>
    <t>付宝峰</t>
  </si>
  <si>
    <t>2006-22-P-06456-U</t>
  </si>
  <si>
    <t>宋刚</t>
  </si>
  <si>
    <t>110105198101305436</t>
  </si>
  <si>
    <t>13366137568</t>
  </si>
  <si>
    <t>廖西平</t>
  </si>
  <si>
    <t>2</t>
  </si>
  <si>
    <t>2006-22-P-07280-U</t>
  </si>
  <si>
    <t>董宇</t>
  </si>
  <si>
    <t>210213197901222027</t>
  </si>
  <si>
    <t>13911061260</t>
  </si>
  <si>
    <t>郁新</t>
  </si>
  <si>
    <t>2006-22-P-07435-U</t>
  </si>
  <si>
    <t>武晓川</t>
  </si>
  <si>
    <t>410504197812150516</t>
  </si>
  <si>
    <t>紫芳路5号院</t>
  </si>
  <si>
    <t>2210号</t>
  </si>
  <si>
    <t>罗向东</t>
  </si>
  <si>
    <t>2006-22-P-07454-U</t>
  </si>
  <si>
    <t>庄晨璐</t>
  </si>
  <si>
    <t>120105196310254527</t>
  </si>
  <si>
    <t>2门510号</t>
  </si>
  <si>
    <t>吴泓</t>
  </si>
  <si>
    <t>9--10</t>
  </si>
  <si>
    <t>2006-22-P-07835-U</t>
  </si>
  <si>
    <t>许婧</t>
  </si>
  <si>
    <t>120104800829432</t>
  </si>
  <si>
    <t>13621217435</t>
  </si>
  <si>
    <t>21号</t>
  </si>
  <si>
    <t>京房权证朝私06字第187740号</t>
  </si>
  <si>
    <t>张仪</t>
  </si>
  <si>
    <t>2006-22-P-07910-U</t>
  </si>
  <si>
    <t>夏宏</t>
  </si>
  <si>
    <t>610103196808263715</t>
  </si>
  <si>
    <t>13701000230</t>
  </si>
  <si>
    <t>91302006070063</t>
  </si>
  <si>
    <t>2006-3-1D1-00497CJD</t>
  </si>
  <si>
    <t>沈蔚</t>
  </si>
  <si>
    <t>2006-22-P-07922-U</t>
  </si>
  <si>
    <t>张文伟</t>
  </si>
  <si>
    <t>410181197902176913</t>
  </si>
  <si>
    <t>13520521856</t>
  </si>
  <si>
    <t>高建军</t>
  </si>
  <si>
    <t>91302006070388</t>
  </si>
  <si>
    <t>2006-3-1D1-00503CJD</t>
  </si>
  <si>
    <t>2006-22-P-07924-U</t>
  </si>
  <si>
    <t>杨德禄</t>
  </si>
  <si>
    <t>140103194710030639</t>
  </si>
  <si>
    <t>13520729947</t>
  </si>
  <si>
    <t>安外小关东街</t>
  </si>
  <si>
    <t>甫秀荣</t>
  </si>
  <si>
    <t>91302006070469</t>
  </si>
  <si>
    <t>2006-3-1D1-00504CJD</t>
  </si>
  <si>
    <t>2006-22-P-07925-U</t>
  </si>
  <si>
    <t>王君平</t>
  </si>
  <si>
    <t>142133197209134032</t>
  </si>
  <si>
    <t>13520028616</t>
  </si>
  <si>
    <t>弘燕路</t>
  </si>
  <si>
    <t>8单元601</t>
  </si>
  <si>
    <t>许桂香</t>
  </si>
  <si>
    <t>京房权证朝私06字第189403号</t>
  </si>
  <si>
    <t>2006-22-P-07926-U</t>
  </si>
  <si>
    <t>610102197611112321</t>
  </si>
  <si>
    <t>65363604、13810126607</t>
  </si>
  <si>
    <t>六里屯东里</t>
  </si>
  <si>
    <t>二室一厅一卫一厨（原三室一厅一卫一厨）</t>
  </si>
  <si>
    <t>京房权证朝私06字第190021号</t>
  </si>
  <si>
    <t>王娟</t>
  </si>
  <si>
    <t>2006-22-P-07932-U</t>
  </si>
  <si>
    <t>陈黎黎</t>
  </si>
  <si>
    <t>150203197812190327</t>
  </si>
  <si>
    <t>13811660707</t>
  </si>
  <si>
    <t>水碓子</t>
  </si>
  <si>
    <t>505-506号</t>
  </si>
  <si>
    <t>王成惠</t>
  </si>
  <si>
    <t>20</t>
  </si>
  <si>
    <t>2006-3-1D1-505CJD</t>
  </si>
  <si>
    <t>2006-22-P-07934-U</t>
  </si>
  <si>
    <t>董天松</t>
  </si>
  <si>
    <t>120221198107090058</t>
  </si>
  <si>
    <t>1110号</t>
  </si>
  <si>
    <t>王兴英</t>
  </si>
  <si>
    <t>91302006070399</t>
  </si>
  <si>
    <t>2006-3-1D1-506CJD</t>
  </si>
  <si>
    <t>2006-22-P-07935-U</t>
  </si>
  <si>
    <t>苏小青</t>
  </si>
  <si>
    <t>110102197505272315</t>
  </si>
  <si>
    <t>13520106621</t>
  </si>
  <si>
    <t>101号楼</t>
  </si>
  <si>
    <t>1803号</t>
  </si>
  <si>
    <t>李春艳</t>
  </si>
  <si>
    <t>北京住房公积金管理中心住房公积金方庄分中心</t>
  </si>
  <si>
    <t>91302006070457</t>
  </si>
  <si>
    <t>2006-3-1D1-00507CJD</t>
  </si>
  <si>
    <t>2006-22-P-07938-U</t>
  </si>
  <si>
    <t>杨洁</t>
  </si>
  <si>
    <t>110104197209221225</t>
  </si>
  <si>
    <t>13401065390、64419336-8012</t>
  </si>
  <si>
    <t>六单元四层401</t>
  </si>
  <si>
    <t>凌立刚</t>
  </si>
  <si>
    <t>91302006070460</t>
  </si>
  <si>
    <t>2006-3-1D1-508CJD</t>
  </si>
  <si>
    <t>2006-22-P-07967-U</t>
  </si>
  <si>
    <t>周强</t>
  </si>
  <si>
    <t>110105197107295430</t>
  </si>
  <si>
    <t>13146604066</t>
  </si>
  <si>
    <t>甲6号楼</t>
  </si>
  <si>
    <t>李益民</t>
  </si>
  <si>
    <t>91302006070341</t>
  </si>
  <si>
    <t>2006-3-1D1-00511CJD</t>
  </si>
  <si>
    <t>2006-22-P-07975-U</t>
  </si>
  <si>
    <t>张伟</t>
  </si>
  <si>
    <t>420802197606120354</t>
  </si>
  <si>
    <t>13910290957</t>
  </si>
  <si>
    <t>阎伯政</t>
  </si>
  <si>
    <t>三室三厅一卫一厨</t>
  </si>
  <si>
    <t>91302006070456</t>
  </si>
  <si>
    <t>2006-3-1D1-00513CJD</t>
  </si>
  <si>
    <t>2006-22-P-07978-U</t>
  </si>
  <si>
    <t>王承鹏</t>
  </si>
  <si>
    <t>232126197711250176</t>
  </si>
  <si>
    <t>13910550788</t>
  </si>
  <si>
    <t>安慧北里逸园</t>
  </si>
  <si>
    <t>苏平、段琼</t>
  </si>
  <si>
    <t>19302006070563</t>
  </si>
  <si>
    <t>2006-3-1D1-00516CJD</t>
  </si>
  <si>
    <t>2006-22-P-08023-U</t>
  </si>
  <si>
    <t>苏飞</t>
  </si>
  <si>
    <t>610321197705130424</t>
  </si>
  <si>
    <t>13911052821</t>
  </si>
  <si>
    <t>117号楼</t>
  </si>
  <si>
    <t>倪玲玲</t>
  </si>
  <si>
    <t>91302006070828</t>
  </si>
  <si>
    <t>2006-3-1D1-00520CJD</t>
  </si>
  <si>
    <t>13391690670</t>
  </si>
  <si>
    <t>2006-22-P-08129-U</t>
  </si>
  <si>
    <t>张兆璐</t>
  </si>
  <si>
    <t>21010519750916404X</t>
  </si>
  <si>
    <t>劲松1区</t>
  </si>
  <si>
    <t>135楼</t>
  </si>
  <si>
    <t>4门15号</t>
  </si>
  <si>
    <t>薛愷生</t>
  </si>
  <si>
    <t>91302006080510</t>
  </si>
  <si>
    <t>21年</t>
  </si>
  <si>
    <t>2006-3-1D1-00565CJD</t>
  </si>
  <si>
    <t>2006-22-P-08132-U</t>
  </si>
  <si>
    <t>董影娜</t>
  </si>
  <si>
    <t>11010519790306414X</t>
  </si>
  <si>
    <t>胡娟</t>
  </si>
  <si>
    <t>91302006080550</t>
  </si>
  <si>
    <t>2006-3-1D1-540CJD</t>
  </si>
  <si>
    <t>2006-22-P-08150-U</t>
  </si>
  <si>
    <t>周文娟、常羽飞</t>
  </si>
  <si>
    <t>642101198011230020、320582198101280316</t>
  </si>
  <si>
    <t>82733651</t>
  </si>
  <si>
    <t>北苑家园茉藜园</t>
  </si>
  <si>
    <t>2108号</t>
  </si>
  <si>
    <t>李敬业</t>
  </si>
  <si>
    <t>91302006071643</t>
  </si>
  <si>
    <t>2006-3-1D1-00544CJD</t>
  </si>
  <si>
    <t>2006-22-P-08154-U</t>
  </si>
  <si>
    <t>吕宁</t>
  </si>
  <si>
    <t>230108197709251028</t>
  </si>
  <si>
    <t>劲松一区</t>
  </si>
  <si>
    <t>28号</t>
  </si>
  <si>
    <t>关乃琳</t>
  </si>
  <si>
    <t>91302006080373</t>
  </si>
  <si>
    <t>22年</t>
  </si>
  <si>
    <t>2006-3-1D1-545CJD</t>
  </si>
  <si>
    <t>2006-22-P-08207-U</t>
  </si>
  <si>
    <t>贾宝玺</t>
  </si>
  <si>
    <t>110108197908189733</t>
  </si>
  <si>
    <t>13910971302</t>
  </si>
  <si>
    <t>505</t>
  </si>
  <si>
    <t>李亦天</t>
  </si>
  <si>
    <t>包含家具电器</t>
  </si>
  <si>
    <t>2006-22-P-08272-U</t>
  </si>
  <si>
    <t>620202810604044</t>
  </si>
  <si>
    <t>13651145299</t>
  </si>
  <si>
    <t>新源街</t>
  </si>
  <si>
    <t>刘辰</t>
  </si>
  <si>
    <t>2006-3-1D1-558CJD</t>
  </si>
  <si>
    <t>2006-22-P-08274-U</t>
  </si>
  <si>
    <t>刘云国</t>
  </si>
  <si>
    <t>230502198005021513</t>
  </si>
  <si>
    <t>13520130015</t>
  </si>
  <si>
    <t>马秀娟</t>
  </si>
  <si>
    <t>2006-3-1D1-560C5D</t>
  </si>
  <si>
    <t xml:space="preserve"> 马秀娟</t>
  </si>
  <si>
    <t>2006-22-P-08314-U</t>
  </si>
  <si>
    <t>陈敬明</t>
  </si>
  <si>
    <t>110111197509104219</t>
  </si>
  <si>
    <t>13146655316</t>
  </si>
  <si>
    <t>范京敏</t>
  </si>
  <si>
    <t>91302006080365</t>
  </si>
  <si>
    <t>2006-3-1D1-00562CJD</t>
  </si>
  <si>
    <t>2006-22-P-08324-U</t>
  </si>
  <si>
    <t>刘江波</t>
  </si>
  <si>
    <t>370685198012115013</t>
  </si>
  <si>
    <t>13683085750</t>
  </si>
  <si>
    <t>北沙滩</t>
  </si>
  <si>
    <t>陈军平</t>
  </si>
  <si>
    <t>91302006080160</t>
  </si>
  <si>
    <t>2006-3-1D1-00564CJD</t>
  </si>
  <si>
    <t>成交价偏低</t>
  </si>
  <si>
    <t>2006-22-P-08341-U</t>
  </si>
  <si>
    <t>姜洋</t>
  </si>
  <si>
    <t>110102197909031534</t>
  </si>
  <si>
    <t>13621110345</t>
  </si>
  <si>
    <t>1908</t>
  </si>
  <si>
    <t>马民权</t>
  </si>
  <si>
    <t>京房权证朝私04字第68234号</t>
  </si>
  <si>
    <t>2006-22-P-08377-U</t>
  </si>
  <si>
    <t>翟牮</t>
  </si>
  <si>
    <t>510104197911100479</t>
  </si>
  <si>
    <t>13910315797</t>
  </si>
  <si>
    <r>
      <t>三源里街</t>
    </r>
    <r>
      <rPr>
        <sz val="10"/>
        <rFont val="Times New Roman"/>
        <family val="1"/>
      </rPr>
      <t/>
    </r>
  </si>
  <si>
    <t>4门302号</t>
  </si>
  <si>
    <t>肖肃华</t>
  </si>
  <si>
    <t>91302006080517</t>
  </si>
  <si>
    <t>23年</t>
  </si>
  <si>
    <t>2006-3-1D1-573CJD</t>
  </si>
  <si>
    <t>2006-22-P-08387-U</t>
  </si>
  <si>
    <t>乔静春</t>
  </si>
  <si>
    <t>133022197202131765</t>
  </si>
  <si>
    <t>管庄周井大院</t>
  </si>
  <si>
    <t>3层301号</t>
  </si>
  <si>
    <t>蒋京娜</t>
  </si>
  <si>
    <t>91302006081025</t>
  </si>
  <si>
    <t>2006-3-1D1-00578CJD</t>
  </si>
  <si>
    <t>2006-22-P-08441-U</t>
  </si>
  <si>
    <t>吉福星</t>
  </si>
  <si>
    <t>110105197009068613</t>
  </si>
  <si>
    <t>13661065393</t>
  </si>
  <si>
    <t>北窑地</t>
  </si>
  <si>
    <t>王秀英</t>
  </si>
  <si>
    <t>91302006080831</t>
  </si>
  <si>
    <t>2006-3-1D1-00583CJD</t>
  </si>
  <si>
    <t>2006-22-P-08488-U</t>
  </si>
  <si>
    <t>王宪刚</t>
  </si>
  <si>
    <t>231026197807233331</t>
  </si>
  <si>
    <t>13439019010</t>
  </si>
  <si>
    <r>
      <t>花家地南里</t>
    </r>
    <r>
      <rPr>
        <sz val="10"/>
        <rFont val="Times New Roman"/>
        <family val="1"/>
      </rPr>
      <t/>
    </r>
  </si>
  <si>
    <t>541号</t>
  </si>
  <si>
    <t>黄翔</t>
  </si>
  <si>
    <t>91302006080791</t>
  </si>
  <si>
    <t>2006-3-1D1-00586CJD</t>
  </si>
  <si>
    <t>2006-22-P-08523-U</t>
  </si>
  <si>
    <t>白耀鹏</t>
  </si>
  <si>
    <t>120222198109033619</t>
  </si>
  <si>
    <t>13241719928</t>
  </si>
  <si>
    <t>惠新东街</t>
  </si>
  <si>
    <t>甲3号楼</t>
  </si>
  <si>
    <t>孙建国</t>
  </si>
  <si>
    <t>2006-3-1D1-00589CJD</t>
  </si>
  <si>
    <t>2006-22-P-08524-U</t>
  </si>
  <si>
    <t>杨俊杰</t>
  </si>
  <si>
    <t>110102196409291140</t>
  </si>
  <si>
    <r>
      <t>211号楼</t>
    </r>
    <r>
      <rPr>
        <sz val="10"/>
        <rFont val="Times New Roman"/>
        <family val="1"/>
      </rPr>
      <t/>
    </r>
  </si>
  <si>
    <t>2-202</t>
  </si>
  <si>
    <t>2006-22-P-08545-U</t>
  </si>
  <si>
    <t>马超、曹玉兰</t>
  </si>
  <si>
    <t>110102198101041531、11010219520916154X</t>
  </si>
  <si>
    <t>13381158751</t>
  </si>
  <si>
    <r>
      <t>慧忠北里</t>
    </r>
    <r>
      <rPr>
        <sz val="10"/>
        <rFont val="Times New Roman"/>
        <family val="1"/>
      </rPr>
      <t/>
    </r>
  </si>
  <si>
    <t>110号楼</t>
  </si>
  <si>
    <t>1302号</t>
  </si>
  <si>
    <t>吕瑞增</t>
  </si>
  <si>
    <t>91302006080882</t>
  </si>
  <si>
    <t>实际成交价70.5万</t>
  </si>
  <si>
    <t>2006-3-1D1-00591CJD</t>
  </si>
  <si>
    <t>2006-22-P-08607-U</t>
  </si>
  <si>
    <t>李建香</t>
  </si>
  <si>
    <t>110228197502275421</t>
  </si>
  <si>
    <t>13691252343</t>
  </si>
  <si>
    <t>7层6号</t>
  </si>
  <si>
    <t>91302006081346</t>
  </si>
  <si>
    <t>京房权证朝私字第75865号</t>
  </si>
  <si>
    <t>2006-3-1D1-00599CJD</t>
  </si>
  <si>
    <t>宋继芬</t>
  </si>
  <si>
    <t>2006-22-P-08641-U</t>
  </si>
  <si>
    <t>王薇</t>
  </si>
  <si>
    <t>11010119810513152X</t>
  </si>
  <si>
    <t>13810124037</t>
  </si>
  <si>
    <t>望京阜通西大街18号院</t>
  </si>
  <si>
    <t>505号</t>
  </si>
  <si>
    <t>石纯英</t>
  </si>
  <si>
    <t>4-5</t>
  </si>
  <si>
    <t>2006-22-P-08656-U</t>
  </si>
  <si>
    <t>唐铮</t>
  </si>
  <si>
    <t>110104198003130824</t>
  </si>
  <si>
    <t>708号</t>
  </si>
  <si>
    <t>91302006081336</t>
  </si>
  <si>
    <t>2006-3-1D1-00603CJD</t>
  </si>
  <si>
    <t>2006-22-P-08736-U</t>
  </si>
  <si>
    <t>刘淼</t>
  </si>
  <si>
    <t>21012119750310832</t>
  </si>
  <si>
    <t>13552159160</t>
  </si>
  <si>
    <t>付红</t>
  </si>
  <si>
    <t>2006-3-1D1-609CJD</t>
  </si>
  <si>
    <t>不含税费,含部份家具</t>
  </si>
  <si>
    <t>2006-22-P-08760-U</t>
  </si>
  <si>
    <t>王艳芬</t>
  </si>
  <si>
    <t>411328198007200045</t>
  </si>
  <si>
    <t>13641376668</t>
  </si>
  <si>
    <t>望京东园二区</t>
  </si>
  <si>
    <t>206号楼</t>
  </si>
  <si>
    <t>刘峥</t>
  </si>
  <si>
    <t>二室一厅一卫一厨一阳台</t>
  </si>
  <si>
    <t>朋友交易</t>
  </si>
  <si>
    <t>2006-22-P-08767-U</t>
  </si>
  <si>
    <t>张景坤、张茂彩</t>
  </si>
  <si>
    <t>110105196105135455、110105193407215449</t>
  </si>
  <si>
    <t>7-501号</t>
  </si>
  <si>
    <t>钱凤英</t>
  </si>
  <si>
    <t>91302006090419</t>
  </si>
  <si>
    <t>2006-3-1D1-00614CJD</t>
  </si>
  <si>
    <t>2006-22-P-08811-U</t>
  </si>
  <si>
    <t>李明</t>
  </si>
  <si>
    <t>110105196310095472</t>
  </si>
  <si>
    <t>13901107482、63272852</t>
  </si>
  <si>
    <t>2204号</t>
  </si>
  <si>
    <t>李竹</t>
  </si>
  <si>
    <t>91302006090436</t>
  </si>
  <si>
    <t>54年</t>
  </si>
  <si>
    <t>2006-1D1-623</t>
  </si>
  <si>
    <t>2006-22-P-08945-U</t>
  </si>
  <si>
    <t>乔莉</t>
  </si>
  <si>
    <t>110105196308291140</t>
  </si>
  <si>
    <t>13501020310</t>
  </si>
  <si>
    <t>胜古家园</t>
  </si>
  <si>
    <t>E门</t>
  </si>
  <si>
    <t>曹秀梅</t>
  </si>
  <si>
    <t>四室一厅一卫一厨（原为三室一厅一卫一厨）</t>
  </si>
  <si>
    <t>91302006091128</t>
  </si>
  <si>
    <t>2006-3-1D1-00646CJD</t>
  </si>
  <si>
    <t>2006-22-P-08994-U</t>
  </si>
  <si>
    <t>周喆</t>
  </si>
  <si>
    <t>110105197804155820</t>
  </si>
  <si>
    <t>13801101266</t>
  </si>
  <si>
    <t>2门403</t>
  </si>
  <si>
    <t>钟晨</t>
  </si>
  <si>
    <t>91302006091589</t>
  </si>
  <si>
    <t>2006-22-P-08996-U</t>
  </si>
  <si>
    <t>李光</t>
  </si>
  <si>
    <t>320311196811201250</t>
  </si>
  <si>
    <t>13552339208</t>
  </si>
  <si>
    <t>胡迎庆</t>
  </si>
  <si>
    <t>913020060100295</t>
  </si>
  <si>
    <t>2006-3-1D1-00658CJD</t>
  </si>
  <si>
    <t>2006-22-P-09036-U</t>
  </si>
  <si>
    <t>刘献诚</t>
  </si>
  <si>
    <t>110101196805061519</t>
  </si>
  <si>
    <t>13651275683</t>
  </si>
  <si>
    <t>劲松</t>
  </si>
  <si>
    <t>901号楼</t>
  </si>
  <si>
    <t>204</t>
  </si>
  <si>
    <t>2006-22-P-09037-U</t>
  </si>
  <si>
    <t>翟景祥</t>
  </si>
  <si>
    <t>110226195212075315</t>
  </si>
  <si>
    <t>百子湾16号百子园</t>
  </si>
  <si>
    <t>A门</t>
  </si>
  <si>
    <t>1208号</t>
  </si>
  <si>
    <t>黄海燕</t>
  </si>
  <si>
    <t>2006-3-1D1-664CJD</t>
  </si>
  <si>
    <t>2006-22-P-09068-U</t>
  </si>
  <si>
    <t>任敬辉</t>
  </si>
  <si>
    <t>410426198010221017</t>
  </si>
  <si>
    <t>13683665209</t>
  </si>
  <si>
    <t>金振惠</t>
  </si>
  <si>
    <t>91302006100571</t>
  </si>
  <si>
    <t>81713253、13011074535</t>
  </si>
  <si>
    <t>2006-22-P-09093-U</t>
  </si>
  <si>
    <t>崔海涛</t>
  </si>
  <si>
    <t>131082198103310417</t>
  </si>
  <si>
    <t>13910797580、88438885</t>
  </si>
  <si>
    <t>育慧北路8号一区</t>
  </si>
  <si>
    <t>甘自聪</t>
  </si>
  <si>
    <t>91302006091841</t>
  </si>
  <si>
    <t>2006-3-1D1-00671CJD</t>
  </si>
  <si>
    <t>2006-22-P-09098-U</t>
  </si>
  <si>
    <t>贾津津</t>
  </si>
  <si>
    <t>110101197701190513</t>
  </si>
  <si>
    <t>13601097955</t>
  </si>
  <si>
    <t>211号</t>
  </si>
  <si>
    <t>滕桂兰</t>
  </si>
  <si>
    <t>91302006091916</t>
  </si>
  <si>
    <t>可抵押经济适用住宅</t>
  </si>
  <si>
    <t>2006-3-1D1-00674CJD</t>
  </si>
  <si>
    <t>2006-22-P-09118-U</t>
  </si>
  <si>
    <t>王辉</t>
  </si>
  <si>
    <t>630105197712191324</t>
  </si>
  <si>
    <t>柴宏滨</t>
  </si>
  <si>
    <t>91302006091722</t>
  </si>
  <si>
    <t>2006-3-1D1-00675CJD</t>
  </si>
  <si>
    <t>2006-22-P-09185-U</t>
  </si>
  <si>
    <t>独英</t>
  </si>
  <si>
    <t>110108197301235449</t>
  </si>
  <si>
    <t>13601356831</t>
  </si>
  <si>
    <t>拂林园</t>
  </si>
  <si>
    <t>实际成交价为85万元</t>
  </si>
  <si>
    <t>2006-3-1D1-00690CD</t>
  </si>
  <si>
    <t>13801184341、64447656</t>
  </si>
  <si>
    <t>2006-22-P-09264-U</t>
  </si>
  <si>
    <t>古永怡</t>
  </si>
  <si>
    <t>340403197003250066</t>
  </si>
  <si>
    <t>13521658795</t>
  </si>
  <si>
    <t>和平街11区</t>
  </si>
  <si>
    <t>赵峥</t>
  </si>
  <si>
    <t>913020060100250</t>
  </si>
  <si>
    <t>2006-3-1D1-00694CJD</t>
  </si>
  <si>
    <t>2006-22-P-09268-U</t>
  </si>
  <si>
    <t>闫雪梅</t>
  </si>
  <si>
    <t>110105196807155821</t>
  </si>
  <si>
    <t>13701234877</t>
  </si>
  <si>
    <t>913020060100608</t>
  </si>
  <si>
    <t>2006-3-1D1-00695CJD</t>
  </si>
  <si>
    <t>2006-22-P-09286-U</t>
  </si>
  <si>
    <t>张元成</t>
  </si>
  <si>
    <t>110111197910281051</t>
  </si>
  <si>
    <t>13241482737</t>
  </si>
  <si>
    <t>高家园小区</t>
  </si>
  <si>
    <t>408楼（现为四区8号楼）</t>
  </si>
  <si>
    <t>三层</t>
  </si>
  <si>
    <t>许可为</t>
  </si>
  <si>
    <t>2006-3-1D1-00700CD</t>
  </si>
  <si>
    <t>13683200590、64360228</t>
  </si>
  <si>
    <t>2006-22-P-09296-U</t>
  </si>
  <si>
    <t>王婧、潘俊锋</t>
  </si>
  <si>
    <t>110222198212280325、610429197901255511</t>
  </si>
  <si>
    <t>13520579332</t>
  </si>
  <si>
    <t>210号楼</t>
  </si>
  <si>
    <t>809号</t>
  </si>
  <si>
    <t>王锦媛</t>
  </si>
  <si>
    <t>913020060100617</t>
  </si>
  <si>
    <t>2006-3-1D1-00702CJD</t>
  </si>
  <si>
    <t>2006-22-P-09297-U</t>
  </si>
  <si>
    <t>任鸿翔</t>
  </si>
  <si>
    <t>110108197911160413</t>
  </si>
  <si>
    <t>13146787458</t>
  </si>
  <si>
    <t>427号楼</t>
  </si>
  <si>
    <t>詹宇国</t>
  </si>
  <si>
    <t>91302006100766</t>
  </si>
  <si>
    <t>实际成交价为68.5万元</t>
  </si>
  <si>
    <t>2006-3-1D1-00703CJD</t>
  </si>
  <si>
    <t>2006-22-P-09352-U</t>
  </si>
  <si>
    <t>王冰</t>
  </si>
  <si>
    <t>220702197710201469</t>
  </si>
  <si>
    <t>13581873643</t>
  </si>
  <si>
    <t>804号</t>
  </si>
  <si>
    <t>赵兰女</t>
  </si>
  <si>
    <t>2006-3-1D1-00707CJD</t>
  </si>
  <si>
    <t>2006-22-P-09377-U</t>
  </si>
  <si>
    <t>齐红玲</t>
  </si>
  <si>
    <t>120222197512101023</t>
  </si>
  <si>
    <t>13693643037</t>
  </si>
  <si>
    <t>梁小军</t>
  </si>
  <si>
    <t>2006-3-1D1-00713CJD</t>
  </si>
  <si>
    <t>2006-22-P-09445-U</t>
  </si>
  <si>
    <t>陈军</t>
  </si>
  <si>
    <t>420122197012194417</t>
  </si>
  <si>
    <t>13910013814</t>
  </si>
  <si>
    <t>望京北路39号</t>
  </si>
  <si>
    <t>19A号</t>
  </si>
  <si>
    <t>于翔</t>
  </si>
  <si>
    <t>91302006110766</t>
  </si>
  <si>
    <t>避税价，偏低</t>
  </si>
  <si>
    <t>2006-3-1D1-00720CJD</t>
  </si>
  <si>
    <t>不正常</t>
  </si>
  <si>
    <t>2006-22-P-09451-U</t>
  </si>
  <si>
    <t>客强</t>
  </si>
  <si>
    <t>110103198307170618</t>
  </si>
  <si>
    <t>13391617937</t>
  </si>
  <si>
    <t>3单元27号</t>
  </si>
  <si>
    <t>段来生</t>
  </si>
  <si>
    <t>2006-22-P-09454-U</t>
  </si>
  <si>
    <t>王朝科、郭婷</t>
  </si>
  <si>
    <t>460002198009030033、110102198110222342</t>
  </si>
  <si>
    <t>王新</t>
  </si>
  <si>
    <t>91302006110530</t>
  </si>
  <si>
    <t>成交价偏低，双方为亲戚</t>
  </si>
  <si>
    <t>2006-3-1D1-00726CJD</t>
  </si>
  <si>
    <t>2006-22-P-09483-U</t>
  </si>
  <si>
    <t>薛军、黄莹</t>
  </si>
  <si>
    <t>211402197905270010、320827198010151625</t>
  </si>
  <si>
    <t>和平西街3号楼</t>
  </si>
  <si>
    <t>9门401号</t>
  </si>
  <si>
    <t>91302006101405</t>
  </si>
  <si>
    <t>37年</t>
  </si>
  <si>
    <t>京房权证朝私06字第215598号、京房权朝私06共字第17410号</t>
  </si>
  <si>
    <t>2006-3-1D1-00730CD</t>
  </si>
  <si>
    <t>马保华</t>
  </si>
  <si>
    <t>2006-22-P-09484-U</t>
  </si>
  <si>
    <t>王立斌</t>
  </si>
  <si>
    <t>22010219780226283X</t>
  </si>
  <si>
    <t>13811103160</t>
  </si>
  <si>
    <t>刘靖</t>
  </si>
  <si>
    <t>实际成交价为63万元</t>
  </si>
  <si>
    <t>2006-3-1D1-00731CD</t>
  </si>
  <si>
    <t>2006-22-P-09485-U</t>
  </si>
  <si>
    <t>蒋兴国</t>
  </si>
  <si>
    <t>110104195010010835</t>
  </si>
  <si>
    <t>13521425422</t>
  </si>
  <si>
    <t>安华里五区</t>
  </si>
  <si>
    <t>531号</t>
  </si>
  <si>
    <t>孔繁明</t>
  </si>
  <si>
    <t>2006-3-1D1-00732CD</t>
  </si>
  <si>
    <t>2006-22-P-09488-U</t>
  </si>
  <si>
    <t>王旭</t>
  </si>
  <si>
    <t>340621800916841</t>
  </si>
  <si>
    <t>13683317681</t>
  </si>
  <si>
    <t>长营南里1号楼（管庄路三号楼）</t>
  </si>
  <si>
    <t>4-402号</t>
  </si>
  <si>
    <t>京房权证朝私字第283335号</t>
  </si>
  <si>
    <t>2006-22-P-09514-U</t>
  </si>
  <si>
    <t>李玉贵</t>
  </si>
  <si>
    <t>110101196711283540</t>
  </si>
  <si>
    <t>13651106922</t>
  </si>
  <si>
    <t>3层9号</t>
  </si>
  <si>
    <t>王淑芳</t>
  </si>
  <si>
    <t>91302006110069</t>
  </si>
  <si>
    <t>2006-3-1D1-00738CJD</t>
  </si>
  <si>
    <t>汪鸿</t>
  </si>
  <si>
    <t>2006-22-P-09520-U</t>
  </si>
  <si>
    <t>润艳红</t>
  </si>
  <si>
    <t>110102197110080028</t>
  </si>
  <si>
    <t>13801351955</t>
  </si>
  <si>
    <t>南湖南路15号院</t>
  </si>
  <si>
    <t>唐治安</t>
  </si>
  <si>
    <t>91302006101273</t>
  </si>
  <si>
    <t>2006-3-1D1-00740CJD</t>
  </si>
  <si>
    <t>2006-22-P-09543-U</t>
  </si>
  <si>
    <t>谷金慧</t>
  </si>
  <si>
    <t>110228730827002</t>
  </si>
  <si>
    <t>13611225371</t>
  </si>
  <si>
    <t>马泉营南里</t>
  </si>
  <si>
    <t>512</t>
  </si>
  <si>
    <t xml:space="preserve"> 赵殿栋</t>
  </si>
  <si>
    <t>91302006101289</t>
  </si>
  <si>
    <t>赵殿栋</t>
  </si>
  <si>
    <t>不 含税费及出让金</t>
  </si>
  <si>
    <t>2006-22-P-09549-U</t>
  </si>
  <si>
    <t>王秀连</t>
  </si>
  <si>
    <t>110228198002195921</t>
  </si>
  <si>
    <t>13141342861</t>
  </si>
  <si>
    <t>4层66号</t>
  </si>
  <si>
    <t>葛淑琴</t>
  </si>
  <si>
    <t>91302006110378</t>
  </si>
  <si>
    <t>2006-3-1D1-00744CJD</t>
  </si>
  <si>
    <t>2006-22-P-09585-U</t>
  </si>
  <si>
    <t>张缨</t>
  </si>
  <si>
    <t>110105196901117338</t>
  </si>
  <si>
    <t>13520708989</t>
  </si>
  <si>
    <t>331号楼</t>
  </si>
  <si>
    <t>李庆录</t>
  </si>
  <si>
    <t>91302006120728</t>
  </si>
  <si>
    <t>2006-3-1D1-00749CJD</t>
  </si>
  <si>
    <t>2006-22-P-09586-U</t>
  </si>
  <si>
    <t>王慧民</t>
  </si>
  <si>
    <t>11010119541030004X</t>
  </si>
  <si>
    <t>13521610313</t>
  </si>
  <si>
    <t>陈桂芳</t>
  </si>
  <si>
    <t>91302006110300</t>
  </si>
  <si>
    <t>实际成交价61万（含装修）</t>
  </si>
  <si>
    <t>2006-3-1D1-00750CJD</t>
  </si>
  <si>
    <t>2006-22-P-09588-U</t>
  </si>
  <si>
    <t>付园媛、姜崇凯</t>
  </si>
  <si>
    <t>110105197911050848、142722197504210310</t>
  </si>
  <si>
    <t>13391789292</t>
  </si>
  <si>
    <t>2205号</t>
  </si>
  <si>
    <t>丁光松</t>
  </si>
  <si>
    <t>2006-3-1D1-752CJD</t>
  </si>
  <si>
    <t>2006-22-P-09592-U</t>
  </si>
  <si>
    <t>贾霁</t>
  </si>
  <si>
    <t>110102197809010429</t>
  </si>
  <si>
    <t>13910419136</t>
  </si>
  <si>
    <t>团结湖南里</t>
  </si>
  <si>
    <t>14-1号</t>
  </si>
  <si>
    <t>京房权证朝私字第139317号</t>
  </si>
  <si>
    <t>2006-22-P-09593-U</t>
  </si>
  <si>
    <t>110105197410175423</t>
  </si>
  <si>
    <t>13910104080</t>
  </si>
  <si>
    <t>水碓子东路</t>
  </si>
  <si>
    <t>二单元</t>
  </si>
  <si>
    <t>付克勇</t>
  </si>
  <si>
    <t xml:space="preserve">五 </t>
  </si>
  <si>
    <t>2006-22-P-09675-U</t>
  </si>
  <si>
    <t>杨木易</t>
  </si>
  <si>
    <t>110108198111092234</t>
  </si>
  <si>
    <t>13910315093</t>
  </si>
  <si>
    <t>南十里居28号院东润枫景</t>
  </si>
  <si>
    <t>韩建国</t>
  </si>
  <si>
    <t>91302006111103</t>
  </si>
  <si>
    <t>实际成交价格1060000</t>
  </si>
  <si>
    <t>2006-3-1D1-00767CD</t>
  </si>
  <si>
    <t>含装修</t>
  </si>
  <si>
    <t>2006-22-P-09676-U</t>
  </si>
  <si>
    <t>李毅强</t>
  </si>
  <si>
    <t>110101195907262093</t>
  </si>
  <si>
    <t>十里堡北区炫特嘉园11号楼B座</t>
  </si>
  <si>
    <t>1207号</t>
  </si>
  <si>
    <t>孙洁</t>
  </si>
  <si>
    <t>58年</t>
  </si>
  <si>
    <t>2006-3-1D1-0076</t>
  </si>
  <si>
    <t>2006-22-P-09680-U</t>
  </si>
  <si>
    <t>孙晨</t>
  </si>
  <si>
    <t>610302197611262021</t>
  </si>
  <si>
    <t>13671063236</t>
  </si>
  <si>
    <t>酒仙桥路甲4号</t>
  </si>
  <si>
    <t>0407号</t>
  </si>
  <si>
    <t>李玉良</t>
  </si>
  <si>
    <t>91302006110305</t>
  </si>
  <si>
    <t>2006-3-1D1-00772CJD</t>
  </si>
  <si>
    <t>2006-22-P-09705-U</t>
  </si>
  <si>
    <t>李蕊、黄大勇</t>
  </si>
  <si>
    <t>110104197307290427、110108196911144937</t>
  </si>
  <si>
    <t>潘家园36号楼</t>
  </si>
  <si>
    <t>荣占梅</t>
  </si>
  <si>
    <t>91302006110272</t>
  </si>
  <si>
    <t>56年</t>
  </si>
  <si>
    <t>2006-3-1D1-00778CJD</t>
  </si>
  <si>
    <t>2006-22-P-09709-U</t>
  </si>
  <si>
    <t>张晓茜</t>
  </si>
  <si>
    <t>610113198010288624</t>
  </si>
  <si>
    <t>13520050544</t>
  </si>
  <si>
    <t>酒仙桥十街坊</t>
  </si>
  <si>
    <t>20楼</t>
  </si>
  <si>
    <t>53号</t>
  </si>
  <si>
    <t>91302006110462</t>
  </si>
  <si>
    <t>2006-3-1D1-00782CJD</t>
  </si>
  <si>
    <t>13691396299、64734509</t>
  </si>
  <si>
    <t>2006-22-P-09712-U</t>
  </si>
  <si>
    <t>姚嘉</t>
  </si>
  <si>
    <t>510824197910140018</t>
  </si>
  <si>
    <t>13681078993、65108738</t>
  </si>
  <si>
    <t>育慧北路8号三区</t>
  </si>
  <si>
    <t>陈理</t>
  </si>
  <si>
    <t>91302006110426</t>
  </si>
  <si>
    <t>2006-3-1D1-00785CJD</t>
  </si>
  <si>
    <t>2006-22-P-09717-U</t>
  </si>
  <si>
    <t>刘慧</t>
  </si>
  <si>
    <t>150104197903311527</t>
  </si>
  <si>
    <t>13810462662</t>
  </si>
  <si>
    <t>武圣西里</t>
  </si>
  <si>
    <t>一单元</t>
  </si>
  <si>
    <t>6层602号</t>
  </si>
  <si>
    <t>2006-22-P-09733-U</t>
  </si>
  <si>
    <t>王莹、钱国庆</t>
  </si>
  <si>
    <t>110105198110202164、370911198210201635</t>
  </si>
  <si>
    <t>农光东里33号楼</t>
  </si>
  <si>
    <t>309号</t>
  </si>
  <si>
    <t>郑晓春</t>
  </si>
  <si>
    <t>91302006110769</t>
  </si>
  <si>
    <t>48年</t>
  </si>
  <si>
    <t>2006-3-1D1-787CJD</t>
  </si>
  <si>
    <t>2006-22-P-09769-U</t>
  </si>
  <si>
    <t>申勇</t>
  </si>
  <si>
    <t>410802197912122014</t>
  </si>
  <si>
    <t>13910967410</t>
  </si>
  <si>
    <t>208号楼</t>
  </si>
  <si>
    <t>吕秀开</t>
  </si>
  <si>
    <t>91302006110299</t>
  </si>
  <si>
    <t>实际成交价88万</t>
  </si>
  <si>
    <t>2006-3-1D1-00789CJD</t>
  </si>
  <si>
    <t>2006-22-P-09779-U</t>
  </si>
  <si>
    <t>朱宁</t>
  </si>
  <si>
    <t>211224198001070114</t>
  </si>
  <si>
    <t>道家村</t>
  </si>
  <si>
    <t>1门604号</t>
  </si>
  <si>
    <t>李洪求</t>
  </si>
  <si>
    <t>2006-22-P-09785-U</t>
  </si>
  <si>
    <t>刘冬</t>
  </si>
  <si>
    <t>132301198112211217</t>
  </si>
  <si>
    <t>2-402号</t>
  </si>
  <si>
    <t>姜维明</t>
  </si>
  <si>
    <t>2006-22-P-09794-U</t>
  </si>
  <si>
    <t>荣芳</t>
  </si>
  <si>
    <t>11010419820219082X</t>
  </si>
  <si>
    <t>13121937890</t>
  </si>
  <si>
    <t>231号</t>
  </si>
  <si>
    <t>聂长齐</t>
  </si>
  <si>
    <t>2006-3-1D1-00799CD</t>
  </si>
  <si>
    <t>2006-22-P-09797-U</t>
  </si>
  <si>
    <t>郝志军</t>
  </si>
  <si>
    <t>220104197705101519</t>
  </si>
  <si>
    <t>西坝河东里49号楼</t>
  </si>
  <si>
    <t>4门303号</t>
  </si>
  <si>
    <t>回婉华</t>
  </si>
  <si>
    <t>91302006110696</t>
  </si>
  <si>
    <t>39年</t>
  </si>
  <si>
    <t>2006-3-1D1-797CJD</t>
  </si>
  <si>
    <t>2006-22-P-09828-U</t>
  </si>
  <si>
    <t>余晓东</t>
  </si>
  <si>
    <t>342426198302190033</t>
  </si>
  <si>
    <t>13683318788</t>
  </si>
  <si>
    <r>
      <t>甘露园南里三区</t>
    </r>
    <r>
      <rPr>
        <sz val="10"/>
        <rFont val="Times New Roman"/>
        <family val="1"/>
      </rPr>
      <t/>
    </r>
  </si>
  <si>
    <t>2206</t>
  </si>
  <si>
    <t>吴悠</t>
  </si>
  <si>
    <t>91302006111740</t>
  </si>
  <si>
    <t>2006-3-1D1-00802CJD</t>
  </si>
  <si>
    <t>2006-22-P-09833-U</t>
  </si>
  <si>
    <t>高尚</t>
  </si>
  <si>
    <t>110102197906092710</t>
  </si>
  <si>
    <t>百子湾路16号百子园2号楼A单元2006跃层</t>
  </si>
  <si>
    <t>王珊</t>
  </si>
  <si>
    <t>91302006110662</t>
  </si>
  <si>
    <t>57年</t>
  </si>
  <si>
    <t>2006-3-1D1-804CJD</t>
  </si>
  <si>
    <t>2006-22-P-09854-U</t>
  </si>
  <si>
    <t>胡海涛</t>
  </si>
  <si>
    <t>610112197901223030</t>
  </si>
  <si>
    <t>13366115296</t>
  </si>
  <si>
    <t>和平街十五区</t>
  </si>
  <si>
    <t>91302006110615</t>
  </si>
  <si>
    <t>京房权证朝私06字第216598号</t>
  </si>
  <si>
    <t>2006-3-1D1-00809CD</t>
  </si>
  <si>
    <t>申鹏</t>
  </si>
  <si>
    <t>13910173896、81906400</t>
  </si>
  <si>
    <t>2006-22-P-09857-U</t>
  </si>
  <si>
    <t>苟玉明</t>
  </si>
  <si>
    <t>620103197710201053</t>
  </si>
  <si>
    <t>管庄西里62号楼</t>
  </si>
  <si>
    <t>李文才</t>
  </si>
  <si>
    <t>91302006110823</t>
  </si>
  <si>
    <t>2006-3-1D1-810CJD</t>
  </si>
  <si>
    <t>2006-22-P-09858-U</t>
  </si>
  <si>
    <t>罗松涛</t>
  </si>
  <si>
    <t>429003197301150035</t>
  </si>
  <si>
    <t>13269283526</t>
  </si>
  <si>
    <t>农丰里</t>
  </si>
  <si>
    <t>2门306号</t>
  </si>
  <si>
    <t>郭书田</t>
  </si>
  <si>
    <t>四室一厅一卫一厨</t>
  </si>
  <si>
    <t>2006-22-P-09859-U</t>
  </si>
  <si>
    <t>沈安全</t>
  </si>
  <si>
    <t>110105197807142531</t>
  </si>
  <si>
    <t>13910562128</t>
  </si>
  <si>
    <t>903</t>
  </si>
  <si>
    <t>91302006111606</t>
  </si>
  <si>
    <t>2006-3-1D1-00812CJD</t>
  </si>
  <si>
    <t>王舟浡</t>
  </si>
  <si>
    <t>2006-22-P-09860-U</t>
  </si>
  <si>
    <t>刘阳、付晓晨</t>
  </si>
  <si>
    <t>110105197501171516、110103198109281843</t>
  </si>
  <si>
    <t>晨光家园218号楼西605号</t>
  </si>
  <si>
    <t>张晓牧</t>
  </si>
  <si>
    <t>91302006110825</t>
  </si>
  <si>
    <t>2006-3-1D1-813CJD</t>
  </si>
  <si>
    <t>2006-22-P-09862-U</t>
  </si>
  <si>
    <t>祝希华</t>
  </si>
  <si>
    <t>110228195803050032</t>
  </si>
  <si>
    <t>晨光家园213号楼</t>
  </si>
  <si>
    <t>李林</t>
  </si>
  <si>
    <t>91302006110995</t>
  </si>
  <si>
    <t>2006-3-1D1-00815CJD</t>
  </si>
  <si>
    <t>2006-22-P-09964-U</t>
  </si>
  <si>
    <t>胡雷</t>
  </si>
  <si>
    <t>210302198106120911</t>
  </si>
  <si>
    <t>13601388786</t>
  </si>
  <si>
    <t>三源里北小街</t>
  </si>
  <si>
    <t>6楼</t>
  </si>
  <si>
    <t>皇甫凤亭</t>
  </si>
  <si>
    <t>91302006120032</t>
  </si>
  <si>
    <t>2006-3-1D1-00824CJD</t>
  </si>
  <si>
    <t>2006-22-P-09966-U</t>
  </si>
  <si>
    <t>张蕾</t>
  </si>
  <si>
    <t>210105198010224925</t>
  </si>
  <si>
    <t>西坝河东里69号楼</t>
  </si>
  <si>
    <t>刘晓燕</t>
  </si>
  <si>
    <t>91302006111104</t>
  </si>
  <si>
    <t>41年</t>
  </si>
  <si>
    <t>2006-3-1D1-826CJD</t>
  </si>
  <si>
    <t>2006-22-P-09967-U</t>
  </si>
  <si>
    <t>曲和政</t>
  </si>
  <si>
    <t>370602197909031310</t>
  </si>
  <si>
    <t>13671077792</t>
  </si>
  <si>
    <t>327号楼</t>
  </si>
  <si>
    <t>407号</t>
  </si>
  <si>
    <t>薄勇浩</t>
  </si>
  <si>
    <t>2006-3-1D1-00827CD</t>
  </si>
  <si>
    <t>2006-22-P-10006-U</t>
  </si>
  <si>
    <t>董苗苗</t>
  </si>
  <si>
    <t>130103821110182</t>
  </si>
  <si>
    <t>13901053499</t>
  </si>
  <si>
    <t>903号</t>
  </si>
  <si>
    <t>王兰英</t>
  </si>
  <si>
    <t>91302006111574</t>
  </si>
  <si>
    <t>2006-3-1D1-00835CJD</t>
  </si>
  <si>
    <t>2006-22-P-10034-U</t>
  </si>
  <si>
    <t>刘彦宾</t>
  </si>
  <si>
    <t>372826197202200030</t>
  </si>
  <si>
    <t>13701175185</t>
  </si>
  <si>
    <t>10单元</t>
  </si>
  <si>
    <t>李月娥</t>
  </si>
  <si>
    <t>三室二厅二卫一厨（原为三室二厅一卫一厨）</t>
  </si>
  <si>
    <t>实际成交价80万</t>
  </si>
  <si>
    <t>2006-3-1D1-00838CD</t>
  </si>
  <si>
    <t>13907099950、64754080</t>
  </si>
  <si>
    <t>2006-22-P-10036-U</t>
  </si>
  <si>
    <t>李方波</t>
  </si>
  <si>
    <t>230722197507010410</t>
  </si>
  <si>
    <t>13699165018</t>
  </si>
  <si>
    <t>光熙门北里</t>
  </si>
  <si>
    <t>寇英芳</t>
  </si>
  <si>
    <t>2006-3-1D1-00840CD</t>
  </si>
  <si>
    <t>64204595、13641395188</t>
  </si>
  <si>
    <t>2006-22-P-10052-U</t>
  </si>
  <si>
    <t>李利谦</t>
  </si>
  <si>
    <t>132321197403261311</t>
  </si>
  <si>
    <t>定福庄西村甲1号院8号楼</t>
  </si>
  <si>
    <t>4门201号</t>
  </si>
  <si>
    <t>付雷</t>
  </si>
  <si>
    <t>46年</t>
  </si>
  <si>
    <t>2006-22-P-10105-U</t>
  </si>
  <si>
    <t>万军</t>
  </si>
  <si>
    <t>110102197411201911</t>
  </si>
  <si>
    <t>13811253878</t>
  </si>
  <si>
    <t>鲁少娜</t>
  </si>
  <si>
    <t>91302006111242</t>
  </si>
  <si>
    <t>2006-3-1D1-00851CJD</t>
  </si>
  <si>
    <t>2006-22-P-10117-U</t>
  </si>
  <si>
    <t>夏振刚</t>
  </si>
  <si>
    <t>610102197403280611</t>
  </si>
  <si>
    <t>顺源里02号楼</t>
  </si>
  <si>
    <t>3门503号</t>
  </si>
  <si>
    <t>王琦</t>
  </si>
  <si>
    <t>91302006120152</t>
  </si>
  <si>
    <t>38年</t>
  </si>
  <si>
    <t>2006-22-P-10118-U</t>
  </si>
  <si>
    <t>谢国山</t>
  </si>
  <si>
    <t>230221197606140938</t>
  </si>
  <si>
    <t>南新园小区22号楼2门503号</t>
  </si>
  <si>
    <t>黄丽媚</t>
  </si>
  <si>
    <t>2006-22-P-10169-U</t>
  </si>
  <si>
    <t>王维</t>
  </si>
  <si>
    <t>110105197601010816</t>
  </si>
  <si>
    <t>15901339392</t>
  </si>
  <si>
    <t>李慧敏</t>
  </si>
  <si>
    <t>2006-22-P-10171-U</t>
  </si>
  <si>
    <t>潘丽娟</t>
  </si>
  <si>
    <t>211203197006072067</t>
  </si>
  <si>
    <t>13161816019</t>
  </si>
  <si>
    <t>7-503号</t>
  </si>
  <si>
    <t>苏爱芬、苏占谭</t>
  </si>
  <si>
    <t>91302006111737</t>
  </si>
  <si>
    <t>2006-3-1D1-00864CJD</t>
  </si>
  <si>
    <t>2006-22-P-10173-U</t>
  </si>
  <si>
    <t>杜国栋</t>
  </si>
  <si>
    <t>110226198101090057</t>
  </si>
  <si>
    <t>13901138510</t>
  </si>
  <si>
    <t>14幢</t>
  </si>
  <si>
    <t>921号</t>
  </si>
  <si>
    <t>段长娥</t>
  </si>
  <si>
    <t>91302006111806</t>
  </si>
  <si>
    <t>2006-3-1D1-00866CJD</t>
  </si>
  <si>
    <t>2006-22-P-10179-U</t>
  </si>
  <si>
    <t>杨玉山</t>
  </si>
  <si>
    <t>110111196710240031</t>
  </si>
  <si>
    <t>13683100743</t>
  </si>
  <si>
    <t>李卫平</t>
  </si>
  <si>
    <t>91302006120165</t>
  </si>
  <si>
    <t>2006-3-1D1-00872CJD</t>
  </si>
  <si>
    <t>2006-22-P-10246-U</t>
  </si>
  <si>
    <t>230602197303122145</t>
  </si>
  <si>
    <t>13501360409</t>
  </si>
  <si>
    <t>和平街八区</t>
  </si>
  <si>
    <t>一号楼</t>
  </si>
  <si>
    <t>李望一</t>
  </si>
  <si>
    <t>2006-3-1D1-00878CD</t>
  </si>
  <si>
    <t>2006-22-P-10259-U</t>
  </si>
  <si>
    <t>刘景山</t>
  </si>
  <si>
    <t>110105194608261139</t>
  </si>
  <si>
    <t>10层1006号</t>
  </si>
  <si>
    <t>邢绍辉</t>
  </si>
  <si>
    <t>91402006110019</t>
  </si>
  <si>
    <t>2006-22-P-10321-U</t>
  </si>
  <si>
    <t>姜帆</t>
  </si>
  <si>
    <t>11010819760324712X</t>
  </si>
  <si>
    <t>13911018060</t>
  </si>
  <si>
    <t>西坝河中里</t>
  </si>
  <si>
    <t>1906号</t>
  </si>
  <si>
    <t>刘志远</t>
  </si>
  <si>
    <t>2006-3-1D1-00892CJD</t>
  </si>
  <si>
    <t>2006-22-P-10440-U</t>
  </si>
  <si>
    <t>冯彪</t>
  </si>
  <si>
    <t>152601195102042014</t>
  </si>
  <si>
    <t>13693346810</t>
  </si>
  <si>
    <t>七号楼</t>
  </si>
  <si>
    <t>吕岩</t>
  </si>
  <si>
    <t>80.47</t>
  </si>
  <si>
    <t>844000</t>
  </si>
  <si>
    <t>10488</t>
  </si>
  <si>
    <t>66.85</t>
  </si>
  <si>
    <t>668500</t>
  </si>
  <si>
    <t>8308</t>
  </si>
  <si>
    <t>20%</t>
  </si>
  <si>
    <t>53.48</t>
  </si>
  <si>
    <t>534800</t>
  </si>
  <si>
    <t>22</t>
  </si>
  <si>
    <t>1500</t>
  </si>
  <si>
    <t>91302006120342</t>
  </si>
  <si>
    <t>41</t>
  </si>
  <si>
    <t>2006-3-1D1-00910CJD</t>
  </si>
  <si>
    <t>2006-12-8</t>
  </si>
  <si>
    <t>2006年12月8日</t>
  </si>
  <si>
    <t>2006-22-P-10442-U</t>
  </si>
  <si>
    <t>杜欣</t>
  </si>
  <si>
    <t>120107198008264515</t>
  </si>
  <si>
    <r>
      <t>十里堡北里晨光家园</t>
    </r>
    <r>
      <rPr>
        <sz val="10"/>
        <rFont val="Times New Roman"/>
        <family val="1"/>
      </rPr>
      <t/>
    </r>
  </si>
  <si>
    <t>西门</t>
  </si>
  <si>
    <t>703号</t>
  </si>
  <si>
    <t>邓艺波</t>
  </si>
  <si>
    <t>91302006120518</t>
  </si>
  <si>
    <t>53年</t>
  </si>
  <si>
    <t>2006-3-1D1-911CJD</t>
  </si>
  <si>
    <t>2006-22-P-10443-U</t>
  </si>
  <si>
    <t>马亮</t>
  </si>
  <si>
    <t>11010519791114211X</t>
  </si>
  <si>
    <t>13910318169</t>
  </si>
  <si>
    <t>2408号</t>
  </si>
  <si>
    <t>刘鹏</t>
  </si>
  <si>
    <t>86.07</t>
  </si>
  <si>
    <t>24</t>
  </si>
  <si>
    <t>670000</t>
  </si>
  <si>
    <t>7784</t>
  </si>
  <si>
    <t>57.06</t>
  </si>
  <si>
    <t>570600</t>
  </si>
  <si>
    <t>6630</t>
  </si>
  <si>
    <t>45.64</t>
  </si>
  <si>
    <t>456400</t>
  </si>
  <si>
    <t>91302006120612</t>
  </si>
  <si>
    <t>50</t>
  </si>
  <si>
    <t>2006-3-1D1-00912CJD</t>
  </si>
  <si>
    <t>13801117067</t>
  </si>
  <si>
    <t>2006-12-6</t>
  </si>
  <si>
    <t>2006年12月13日</t>
  </si>
  <si>
    <t>2006-22-P-10451-U</t>
  </si>
  <si>
    <t>陈慧君</t>
  </si>
  <si>
    <t>142222197502150337</t>
  </si>
  <si>
    <t>13621003806</t>
  </si>
  <si>
    <t>北苑路86号嘉铭园一区</t>
  </si>
  <si>
    <t>1101号</t>
  </si>
  <si>
    <t>张源荣</t>
  </si>
  <si>
    <t>陈源荣</t>
  </si>
  <si>
    <t>2006-22-P-10467-U</t>
  </si>
  <si>
    <t>王建川、徐莉丽</t>
  </si>
  <si>
    <t>110105195508311818、222401195902180324</t>
  </si>
  <si>
    <t>13126996271</t>
  </si>
  <si>
    <t>9层905号</t>
  </si>
  <si>
    <t>刘振起</t>
  </si>
  <si>
    <t>87.49</t>
  </si>
  <si>
    <t>9</t>
  </si>
  <si>
    <t>91302006120705</t>
  </si>
  <si>
    <t>42</t>
  </si>
  <si>
    <t>2006-3-1D1-00917CJD</t>
  </si>
  <si>
    <t>2006-22-P-10483-U</t>
  </si>
  <si>
    <t>陈泽礼</t>
  </si>
  <si>
    <t>372421198001054613</t>
  </si>
  <si>
    <t>1门151号</t>
  </si>
  <si>
    <t>常梅</t>
  </si>
  <si>
    <t>91302006121538</t>
  </si>
  <si>
    <t>28年</t>
  </si>
  <si>
    <t>2006-22-P-10485-U</t>
  </si>
  <si>
    <t>韩晓杰</t>
  </si>
  <si>
    <t>411024197911224022</t>
  </si>
  <si>
    <t>13621306882</t>
  </si>
  <si>
    <t>405号楼</t>
  </si>
  <si>
    <t>2401号</t>
  </si>
  <si>
    <t>牛飘</t>
  </si>
  <si>
    <t>91302006120793</t>
  </si>
  <si>
    <t>2006-3-1D1-00922CD</t>
  </si>
  <si>
    <t>2006-22-P-10487-U</t>
  </si>
  <si>
    <t>刘苏敏</t>
  </si>
  <si>
    <t>230104198111124517</t>
  </si>
  <si>
    <t>13810892672</t>
  </si>
  <si>
    <t>金慧敏</t>
  </si>
  <si>
    <t>91302006121032</t>
  </si>
  <si>
    <t>2006-3-1D1-00924CJD</t>
  </si>
  <si>
    <t>2006-22-P-10557-U</t>
  </si>
  <si>
    <t>刘爱存</t>
  </si>
  <si>
    <t>110101196011111529</t>
  </si>
  <si>
    <t>甜水园东街</t>
  </si>
  <si>
    <t>3门303号</t>
  </si>
  <si>
    <t>滑东阳</t>
  </si>
  <si>
    <t>91402006120013</t>
  </si>
  <si>
    <t>不含税费、含出让金</t>
  </si>
  <si>
    <t>2006-22-P-10569-U</t>
  </si>
  <si>
    <t>安军、纪娜</t>
  </si>
  <si>
    <t>110101198112074017、11010919820331032X</t>
  </si>
  <si>
    <t>13511002111</t>
  </si>
  <si>
    <t>工体南路</t>
  </si>
  <si>
    <t>占卫</t>
  </si>
  <si>
    <t>2006-3-1D1-933CJD</t>
  </si>
  <si>
    <t>2006-22-P-10570-U</t>
  </si>
  <si>
    <t>杜雄飞</t>
  </si>
  <si>
    <t>110223197811066031</t>
  </si>
  <si>
    <t>13701125373</t>
  </si>
  <si>
    <t>驼房营西里</t>
  </si>
  <si>
    <t>2104号</t>
  </si>
  <si>
    <t>张明海</t>
  </si>
  <si>
    <t>91302006121053</t>
  </si>
  <si>
    <t>2006-3-1D1-00934CJD</t>
  </si>
  <si>
    <t>2006-22-P-10690-U</t>
  </si>
  <si>
    <t>潘国林</t>
  </si>
  <si>
    <t>210225197611230518</t>
  </si>
  <si>
    <t>10门601号</t>
  </si>
  <si>
    <t>牛春生</t>
  </si>
  <si>
    <t>2006-2-CP-00053-U</t>
  </si>
  <si>
    <t>刘颖</t>
  </si>
  <si>
    <t>110105640220774</t>
  </si>
  <si>
    <t>裕民东里</t>
  </si>
  <si>
    <t>迟泽润</t>
  </si>
  <si>
    <t>2006-2-CP-00084-U</t>
  </si>
  <si>
    <t>林涛</t>
  </si>
  <si>
    <t>130102197507070315</t>
  </si>
  <si>
    <t>团结湖北头条</t>
  </si>
  <si>
    <t>蒋旭</t>
  </si>
  <si>
    <t>2006-2-CP-00088-U</t>
  </si>
  <si>
    <t>李俭</t>
  </si>
  <si>
    <t>42212719740222761X</t>
  </si>
  <si>
    <t>13910035040</t>
  </si>
  <si>
    <t>及小梅</t>
  </si>
  <si>
    <t>2006-2-CP-00094-U</t>
  </si>
  <si>
    <t>王晨坤</t>
  </si>
  <si>
    <t>110104197906041211</t>
  </si>
  <si>
    <t>67331601</t>
  </si>
  <si>
    <t>垡头西里二区</t>
  </si>
  <si>
    <t>13层99</t>
  </si>
  <si>
    <t>2006-2-CP-00095-U</t>
  </si>
  <si>
    <t>徐辉</t>
  </si>
  <si>
    <t>110223196909100571</t>
  </si>
  <si>
    <t>13501369589</t>
  </si>
  <si>
    <t>松榆北路7号院</t>
  </si>
  <si>
    <t>7-602号</t>
  </si>
  <si>
    <t>复式√、平层、跃层、错层</t>
  </si>
  <si>
    <t>2006-3-1D1-239CJD</t>
  </si>
  <si>
    <t>2006-2-CP-00096-U</t>
  </si>
  <si>
    <t>110102196501081920</t>
  </si>
  <si>
    <t>张玉桐</t>
  </si>
  <si>
    <t>13371608284</t>
  </si>
  <si>
    <t>2006-2-CP-00099-U</t>
  </si>
  <si>
    <t>齐宝刚</t>
  </si>
  <si>
    <t>110224196404020839</t>
  </si>
  <si>
    <r>
      <t>潘家园南里</t>
    </r>
    <r>
      <rPr>
        <sz val="10"/>
        <rFont val="Times New Roman"/>
        <family val="1"/>
      </rPr>
      <t/>
    </r>
  </si>
  <si>
    <t>甲门</t>
  </si>
  <si>
    <t>杨晓忠</t>
  </si>
  <si>
    <t>2006-2-CP-00100-U</t>
  </si>
  <si>
    <t>朱军、石磊</t>
  </si>
  <si>
    <t>110105196812020104、110105197306048619</t>
  </si>
  <si>
    <t>319号楼</t>
  </si>
  <si>
    <t>1904号</t>
  </si>
  <si>
    <t>付丽萍</t>
  </si>
  <si>
    <t>2006-2-CP-00105-U</t>
  </si>
  <si>
    <t>陈莉</t>
  </si>
  <si>
    <t>420603197801220049</t>
  </si>
  <si>
    <t>3门302号</t>
  </si>
  <si>
    <t>郭宇</t>
  </si>
  <si>
    <t>2006-3-1D1-00244CJD</t>
  </si>
  <si>
    <t>2006-2-CP-00133-U</t>
  </si>
  <si>
    <t>范文</t>
  </si>
  <si>
    <t>110108670926182</t>
  </si>
  <si>
    <t>13701161965</t>
  </si>
  <si>
    <t>1272号</t>
  </si>
  <si>
    <t>赵蔚</t>
  </si>
  <si>
    <t>2006-2-CP-00137-U</t>
  </si>
  <si>
    <t>陈书军</t>
  </si>
  <si>
    <t>110103196606120638</t>
  </si>
  <si>
    <t>13683380683</t>
  </si>
  <si>
    <t>2809号</t>
  </si>
  <si>
    <t>张旭梅</t>
  </si>
  <si>
    <t>2006-2-CP-00138-U</t>
  </si>
  <si>
    <t>魏晓梅</t>
  </si>
  <si>
    <t>429001801103162</t>
  </si>
  <si>
    <t>华威西里</t>
  </si>
  <si>
    <t>27号楼</t>
  </si>
  <si>
    <t>1505号</t>
  </si>
  <si>
    <t>梁锦袚、梁锦晖</t>
  </si>
  <si>
    <t>不含出让金、不含税费</t>
  </si>
  <si>
    <t>2006-2-CP-00140-U</t>
  </si>
  <si>
    <t>赵建民</t>
  </si>
  <si>
    <t>110101196812192023</t>
  </si>
  <si>
    <t>306号</t>
  </si>
  <si>
    <t>王贵琳</t>
  </si>
  <si>
    <t>2006-2-CP-00146-U</t>
  </si>
  <si>
    <t>冯士林</t>
  </si>
  <si>
    <t>110105195606220039</t>
  </si>
  <si>
    <t>89193884</t>
  </si>
  <si>
    <t>吴国珍</t>
  </si>
  <si>
    <t>2006-2-CP-00148-U</t>
  </si>
  <si>
    <t>朱美红</t>
  </si>
  <si>
    <t>220104197802240705</t>
  </si>
  <si>
    <t>13810518149</t>
  </si>
  <si>
    <t>周美群</t>
  </si>
  <si>
    <t>2006-2-CP-00149-U</t>
  </si>
  <si>
    <t>张丽秀</t>
  </si>
  <si>
    <t>142322198204134582</t>
  </si>
  <si>
    <t>康家园</t>
  </si>
  <si>
    <t>刘春安</t>
  </si>
  <si>
    <t>2006-2-CP-00150-U</t>
  </si>
  <si>
    <t>师颖</t>
  </si>
  <si>
    <t>11010819770818222X</t>
  </si>
  <si>
    <t>何振业</t>
  </si>
  <si>
    <t>2006-2-CP-00156-U</t>
  </si>
  <si>
    <t>张俊林</t>
  </si>
  <si>
    <t>110226197801063119</t>
  </si>
  <si>
    <t>13911839069</t>
  </si>
  <si>
    <t>育慧北路8号1区</t>
  </si>
  <si>
    <t>李铃</t>
  </si>
  <si>
    <t>2006-3-1D1-00254CJD</t>
  </si>
  <si>
    <t>2006-2-CP-00159-U</t>
  </si>
  <si>
    <t>周宁宁</t>
  </si>
  <si>
    <t>210103801103002</t>
  </si>
  <si>
    <t>13691326079</t>
  </si>
  <si>
    <t>1041号</t>
  </si>
  <si>
    <t>殷成浩</t>
  </si>
  <si>
    <t>2006-2-CP-00167-U</t>
  </si>
  <si>
    <t>王毅</t>
  </si>
  <si>
    <t>652325198109130013</t>
  </si>
  <si>
    <t>13810008940</t>
  </si>
  <si>
    <t>华严北里2号院</t>
  </si>
  <si>
    <t>刘卉</t>
  </si>
  <si>
    <t>8</t>
  </si>
  <si>
    <t>2006-2-CP-00170-U</t>
  </si>
  <si>
    <t>刘杨</t>
  </si>
  <si>
    <t>110108197812160047</t>
  </si>
  <si>
    <t>13910328599</t>
  </si>
  <si>
    <t>双花园南里二区</t>
  </si>
  <si>
    <t>2006-2-CP-00176-U</t>
  </si>
  <si>
    <t>夏卫光</t>
  </si>
  <si>
    <t>230103680302513</t>
  </si>
  <si>
    <t>二室一厅一卫一厨（现为一室一厅一卫一厨）</t>
  </si>
  <si>
    <t>2006-3-1D1-00258CD</t>
  </si>
  <si>
    <t>马万江</t>
  </si>
  <si>
    <t>2006-2-CP-00180-U</t>
  </si>
  <si>
    <t>王彬</t>
  </si>
  <si>
    <t>110223198107126373</t>
  </si>
  <si>
    <t>13810070484</t>
  </si>
  <si>
    <t>殷慧</t>
  </si>
  <si>
    <t>13901151808、13801009364</t>
  </si>
  <si>
    <t>2006-2-CP-00188-U</t>
  </si>
  <si>
    <t>耿大鹏</t>
  </si>
  <si>
    <t>110226195605250014</t>
  </si>
  <si>
    <t>13901121248</t>
  </si>
  <si>
    <t>汤志强</t>
  </si>
  <si>
    <t>2006-2-CP-00199-U</t>
  </si>
  <si>
    <t>孙雪</t>
  </si>
  <si>
    <t>110104197301221244</t>
  </si>
  <si>
    <t>垡头西里一区</t>
  </si>
  <si>
    <t>2006-2-CP-00200-U</t>
  </si>
  <si>
    <t>张秀霞</t>
  </si>
  <si>
    <t>110105196009147368</t>
  </si>
  <si>
    <t>13801105980</t>
  </si>
  <si>
    <t>1206号</t>
  </si>
  <si>
    <t>林哲</t>
  </si>
  <si>
    <t>2006-2-CP-00236-U</t>
  </si>
  <si>
    <t>张斌</t>
  </si>
  <si>
    <t>610404196811292018</t>
  </si>
  <si>
    <t>107号楼</t>
  </si>
  <si>
    <t>金三燮</t>
  </si>
  <si>
    <t>2006-2-CP-00248-U</t>
  </si>
  <si>
    <t>葛粉利</t>
  </si>
  <si>
    <t>410105196412152723</t>
  </si>
  <si>
    <t>13141231504</t>
  </si>
  <si>
    <t>李向龙</t>
  </si>
  <si>
    <t>2006-2-CP-00249-U</t>
  </si>
  <si>
    <t>梁颖</t>
  </si>
  <si>
    <t>150102197803152028</t>
  </si>
  <si>
    <t>64415769</t>
  </si>
  <si>
    <t>安贞里二区</t>
  </si>
  <si>
    <t>赵伟</t>
  </si>
  <si>
    <t>2006-2-CP-00310-U</t>
  </si>
  <si>
    <t>王清印</t>
  </si>
  <si>
    <t>320106197206252415</t>
  </si>
  <si>
    <t>高文燕</t>
  </si>
  <si>
    <t>2006-3-1D1-272CJD</t>
  </si>
  <si>
    <t>13051276838、65693174</t>
  </si>
  <si>
    <t>2006-2-CP-00313-U</t>
  </si>
  <si>
    <t>韩明</t>
  </si>
  <si>
    <t>110105680804082</t>
  </si>
  <si>
    <t>小关北里</t>
  </si>
  <si>
    <t>213号楼</t>
  </si>
  <si>
    <t>王娟娟</t>
  </si>
  <si>
    <t>2006-2-CP-00320-U</t>
  </si>
  <si>
    <t>朱林涛</t>
  </si>
  <si>
    <t>110105710221251</t>
  </si>
  <si>
    <t>13651302831</t>
  </si>
  <si>
    <t>1209号</t>
  </si>
  <si>
    <t>魏丽</t>
  </si>
  <si>
    <t>2006-2-CP-00321-U</t>
  </si>
  <si>
    <t>李宓</t>
  </si>
  <si>
    <t>210303740708202</t>
  </si>
  <si>
    <t>D单元</t>
  </si>
  <si>
    <t>刘艳华</t>
  </si>
  <si>
    <t>2006-2-CP-00359-U</t>
  </si>
  <si>
    <t>黄怀宝</t>
  </si>
  <si>
    <t>110101195911092058</t>
  </si>
  <si>
    <t>双柳巷</t>
  </si>
  <si>
    <t>2006-2-CP-00371-U</t>
  </si>
  <si>
    <t>张乐</t>
  </si>
  <si>
    <t>410303198010153712</t>
  </si>
  <si>
    <t>13683213212</t>
  </si>
  <si>
    <t>604号</t>
  </si>
  <si>
    <t>薛兰平</t>
  </si>
  <si>
    <t>2006-2-CP-00376-U</t>
  </si>
  <si>
    <t>徐爽</t>
  </si>
  <si>
    <t>110223198106042311</t>
  </si>
  <si>
    <t>邓晓谰</t>
  </si>
  <si>
    <t>林晓凤</t>
  </si>
  <si>
    <t>2006-2-CP-00413-U</t>
  </si>
  <si>
    <t>韩涛</t>
  </si>
  <si>
    <t>132902197905316531</t>
  </si>
  <si>
    <t>13910986014</t>
  </si>
  <si>
    <t>华威北里</t>
  </si>
  <si>
    <t>刘旭东</t>
  </si>
  <si>
    <t>2006-2-CP-00425-U</t>
  </si>
  <si>
    <t>王军</t>
  </si>
  <si>
    <t>110105197005186516</t>
  </si>
  <si>
    <t>13331087173</t>
  </si>
  <si>
    <t>方小凤</t>
  </si>
  <si>
    <t>伍拾捌万捌仟</t>
  </si>
  <si>
    <t>2006-2-CP-00449-U</t>
  </si>
  <si>
    <t>徐连娟</t>
  </si>
  <si>
    <t>220523740316002</t>
  </si>
  <si>
    <t>望京中环南路9号院（现为11号院）</t>
  </si>
  <si>
    <t>6层112号</t>
  </si>
  <si>
    <t>郭武兴</t>
  </si>
  <si>
    <t>13901147558、82899829</t>
  </si>
  <si>
    <t>2006-2-CP-00464-U</t>
  </si>
  <si>
    <t>田雪峰</t>
  </si>
  <si>
    <t>220202760226271</t>
  </si>
  <si>
    <t>广顺北大街31号院</t>
  </si>
  <si>
    <t>宋志斌</t>
  </si>
  <si>
    <t>13381180666、88683829</t>
  </si>
  <si>
    <t>2006-2-CP-00472-U</t>
  </si>
  <si>
    <t>乔鹏</t>
  </si>
  <si>
    <t>22010419790519131X</t>
  </si>
  <si>
    <t>411号</t>
  </si>
  <si>
    <t>张燕</t>
  </si>
  <si>
    <t>2006-2-CP-00476-U</t>
  </si>
  <si>
    <t>吕炜</t>
  </si>
  <si>
    <t>413001197712093012</t>
  </si>
  <si>
    <t>13520964892</t>
  </si>
  <si>
    <t>15门</t>
  </si>
  <si>
    <t>张立东</t>
  </si>
  <si>
    <t>2006-2-CP-00478-U</t>
  </si>
  <si>
    <t>陆立军</t>
  </si>
  <si>
    <t>230822197112116814</t>
  </si>
  <si>
    <t>2112号</t>
  </si>
  <si>
    <t>罗大军</t>
  </si>
  <si>
    <t>2006-2-CP-00481-U</t>
  </si>
  <si>
    <t>钱国平</t>
  </si>
  <si>
    <t>110104197404103718</t>
  </si>
  <si>
    <t>13801159693</t>
  </si>
  <si>
    <t>2309</t>
  </si>
  <si>
    <t>曹凤琴</t>
  </si>
  <si>
    <t>2006-3-1D1-00285CJD</t>
  </si>
  <si>
    <t>2006-2-CP-00486-U</t>
  </si>
  <si>
    <t>王猛团</t>
  </si>
  <si>
    <t>110101196204092539</t>
  </si>
  <si>
    <t>13911006996</t>
  </si>
  <si>
    <t>惠忠北里</t>
  </si>
  <si>
    <t>吴亚平</t>
  </si>
  <si>
    <t>2006-2-CP-00487-U</t>
  </si>
  <si>
    <t>段金斗</t>
  </si>
  <si>
    <t>412902197410240878</t>
  </si>
  <si>
    <t>13910802632、82652688-310</t>
  </si>
  <si>
    <t>215号楼</t>
  </si>
  <si>
    <t>田保新</t>
  </si>
  <si>
    <t>2006-2-1D1-0288CJD</t>
  </si>
  <si>
    <t>2006-2-CP-00503-U</t>
  </si>
  <si>
    <t>刘宁</t>
  </si>
  <si>
    <t>11010519751117522X</t>
  </si>
  <si>
    <t>13683648721</t>
  </si>
  <si>
    <t>谢秀娥</t>
  </si>
  <si>
    <t>2006-2-CP-00510-U</t>
  </si>
  <si>
    <t>王福强</t>
  </si>
  <si>
    <t>110109197902100335</t>
  </si>
  <si>
    <t>2206号</t>
  </si>
  <si>
    <t>刘志华</t>
  </si>
  <si>
    <t>2006-2-CP-00512-U</t>
  </si>
  <si>
    <t>岳凤平</t>
  </si>
  <si>
    <t>110226197110253124</t>
  </si>
  <si>
    <t>13621305666</t>
  </si>
  <si>
    <t>高杨树南里富东嘉园</t>
  </si>
  <si>
    <t>祁娟</t>
  </si>
  <si>
    <t>2006-2-CP-00530-U</t>
  </si>
  <si>
    <t>刘石生</t>
  </si>
  <si>
    <t>22010219780216333X</t>
  </si>
  <si>
    <t>垡头一区</t>
  </si>
  <si>
    <t>8门3层9号</t>
  </si>
  <si>
    <t>王良辉</t>
  </si>
  <si>
    <t>北京住房公积金管理中心住房公积金管理中心</t>
  </si>
  <si>
    <t>2006-2-CP-00537-U</t>
  </si>
  <si>
    <t>任志宏</t>
  </si>
  <si>
    <t>430124197409146557</t>
  </si>
  <si>
    <t>1808号</t>
  </si>
  <si>
    <t>崔贞子</t>
  </si>
  <si>
    <t>2006-2-CP-00546-U</t>
  </si>
  <si>
    <t>王宏光</t>
  </si>
  <si>
    <t>210719710811082</t>
  </si>
  <si>
    <t>13671006223</t>
  </si>
  <si>
    <t>8层</t>
  </si>
  <si>
    <t>姜高毅</t>
  </si>
  <si>
    <t>2006-2-CP-00551-U</t>
  </si>
  <si>
    <t>吴升厚</t>
  </si>
  <si>
    <t>210219197506050016</t>
  </si>
  <si>
    <t>13051009905</t>
  </si>
  <si>
    <t>3H号</t>
  </si>
  <si>
    <t>邢春海</t>
  </si>
  <si>
    <t>2006-2-CP-00556-U</t>
  </si>
  <si>
    <t>马广信</t>
  </si>
  <si>
    <t>110104195204102076</t>
  </si>
  <si>
    <t>13611286932</t>
  </si>
  <si>
    <r>
      <t>延静东里</t>
    </r>
    <r>
      <rPr>
        <sz val="10"/>
        <rFont val="Times New Roman"/>
        <family val="1"/>
      </rPr>
      <t/>
    </r>
  </si>
  <si>
    <t>1612号</t>
  </si>
  <si>
    <t>耿希军</t>
  </si>
  <si>
    <t>2006-2-CP-00564-U</t>
  </si>
  <si>
    <t>罗虹</t>
  </si>
  <si>
    <t>110102197207251540</t>
  </si>
  <si>
    <t>13611245356</t>
  </si>
  <si>
    <t>刘思彤</t>
  </si>
  <si>
    <t>2006-2-CP-00574-U</t>
  </si>
  <si>
    <t>周大为</t>
  </si>
  <si>
    <t>110101197512224032</t>
  </si>
  <si>
    <t>13911819015</t>
  </si>
  <si>
    <r>
      <t>南新园中路</t>
    </r>
    <r>
      <rPr>
        <sz val="10"/>
        <rFont val="Times New Roman"/>
        <family val="1"/>
      </rPr>
      <t/>
    </r>
  </si>
  <si>
    <t>705号</t>
  </si>
  <si>
    <t>李记红</t>
  </si>
  <si>
    <t>李纪红</t>
  </si>
  <si>
    <t>2006-2-CP-00580-U</t>
  </si>
  <si>
    <t>洪其瑛</t>
  </si>
  <si>
    <t>330726198203011514</t>
  </si>
  <si>
    <t>13810129458</t>
  </si>
  <si>
    <t>世纪龙祥嘉园</t>
  </si>
  <si>
    <t>饶挺</t>
  </si>
  <si>
    <t>2006-2-CP-00593-U</t>
  </si>
  <si>
    <t>李璞</t>
  </si>
  <si>
    <t>430304198201220797</t>
  </si>
  <si>
    <t>1312号</t>
  </si>
  <si>
    <t>祁俊岭</t>
  </si>
  <si>
    <t>含装修、家具成交价52.5万</t>
  </si>
  <si>
    <t>2006-2-CP-00597-U</t>
  </si>
  <si>
    <t>祝兵</t>
  </si>
  <si>
    <t>110101196807042039</t>
  </si>
  <si>
    <t>13611199997、64363355-2508</t>
  </si>
  <si>
    <t>D座</t>
  </si>
  <si>
    <t>张星</t>
  </si>
  <si>
    <t>2006-2-CP-00606-U</t>
  </si>
  <si>
    <t>陈芝英</t>
  </si>
  <si>
    <t>110221195303260928</t>
  </si>
  <si>
    <t>64号</t>
  </si>
  <si>
    <t>刘秀敏</t>
  </si>
  <si>
    <t>2006-3-1D1-00304CJD</t>
  </si>
  <si>
    <t>2006-2-CP-00610-U</t>
  </si>
  <si>
    <t>朱虹</t>
  </si>
  <si>
    <t>110108197707301848</t>
  </si>
  <si>
    <t>京通新城西区</t>
  </si>
  <si>
    <t>D2号楼</t>
  </si>
  <si>
    <t>2门401号</t>
  </si>
  <si>
    <t>赵丽娟</t>
  </si>
  <si>
    <t xml:space="preserve">  </t>
  </si>
  <si>
    <t>2006-2-CP-00614-U</t>
  </si>
  <si>
    <t>唐海岩</t>
  </si>
  <si>
    <t>610113198007072136</t>
  </si>
  <si>
    <t>13810840056</t>
  </si>
  <si>
    <t>何卫东</t>
  </si>
  <si>
    <t>2006-2-CP-00615-U</t>
  </si>
  <si>
    <t>吴琳</t>
  </si>
  <si>
    <t>110105196210027720</t>
  </si>
  <si>
    <t>13011046130</t>
  </si>
  <si>
    <r>
      <t>惠新西街</t>
    </r>
    <r>
      <rPr>
        <sz val="10"/>
        <rFont val="Times New Roman"/>
        <family val="1"/>
      </rPr>
      <t/>
    </r>
  </si>
  <si>
    <t>14层1403号</t>
  </si>
  <si>
    <t>张小君</t>
  </si>
  <si>
    <t>评估费860</t>
  </si>
  <si>
    <t>2006-2-CP-00622-U</t>
  </si>
  <si>
    <t>张瑶</t>
  </si>
  <si>
    <t>130602197612090948</t>
  </si>
  <si>
    <t>13126894067</t>
  </si>
  <si>
    <r>
      <t>双井北里</t>
    </r>
    <r>
      <rPr>
        <sz val="10"/>
        <rFont val="Times New Roman"/>
        <family val="1"/>
      </rPr>
      <t/>
    </r>
  </si>
  <si>
    <r>
      <t>16号楼</t>
    </r>
    <r>
      <rPr>
        <sz val="10"/>
        <rFont val="Times New Roman"/>
        <family val="1"/>
      </rPr>
      <t/>
    </r>
  </si>
  <si>
    <t>2006-2-CP-00640-U</t>
  </si>
  <si>
    <t>闫振颉</t>
  </si>
  <si>
    <t>110105197008202112</t>
  </si>
  <si>
    <t>劲松七区</t>
  </si>
  <si>
    <t>717楼</t>
  </si>
  <si>
    <t>2006-2-CP-00652-U</t>
  </si>
  <si>
    <t>吴春娥</t>
  </si>
  <si>
    <t>362502197812205825</t>
  </si>
  <si>
    <t>孔苗</t>
  </si>
  <si>
    <t>2006-3-1D1-00307CJD</t>
  </si>
  <si>
    <t>2006-2-CP-00653-U</t>
  </si>
  <si>
    <t>王士全</t>
  </si>
  <si>
    <t>120222760713341</t>
  </si>
  <si>
    <t>静安里甲</t>
  </si>
  <si>
    <t>5层</t>
  </si>
  <si>
    <t>宋钖九</t>
  </si>
  <si>
    <t>2006-2-CP-00661-U</t>
  </si>
  <si>
    <t>谢文英</t>
  </si>
  <si>
    <t>110104195706250829</t>
  </si>
  <si>
    <t>13801080837</t>
  </si>
  <si>
    <t>5G号</t>
  </si>
  <si>
    <t>京房权证朝私06字第178853号</t>
  </si>
  <si>
    <t>2006-2-CP-00667-U</t>
  </si>
  <si>
    <t>王桂英</t>
  </si>
  <si>
    <t>11022219660221034X</t>
  </si>
  <si>
    <t>13381093626</t>
  </si>
  <si>
    <t>新东路</t>
  </si>
  <si>
    <r>
      <t>5号楼</t>
    </r>
    <r>
      <rPr>
        <sz val="10"/>
        <rFont val="Times New Roman"/>
        <family val="1"/>
      </rPr>
      <t/>
    </r>
  </si>
  <si>
    <t>2006-2-CP-00671-U</t>
  </si>
  <si>
    <t>李江宏</t>
  </si>
  <si>
    <t>210111197510065345</t>
  </si>
  <si>
    <t>13311016740、65631223</t>
  </si>
  <si>
    <t>102号楼</t>
  </si>
  <si>
    <t>郎菁炜</t>
  </si>
  <si>
    <t>2006-2-CP-00680-U</t>
  </si>
  <si>
    <t>金瑞峰</t>
  </si>
  <si>
    <t>11022919670509004X</t>
  </si>
  <si>
    <t>13681538228</t>
  </si>
  <si>
    <t>麦子店街</t>
  </si>
  <si>
    <t>胡群芳</t>
  </si>
  <si>
    <t>2006-2-1D1-0309CJD</t>
  </si>
  <si>
    <t>2006-2-CP-00698-U</t>
  </si>
  <si>
    <t>白郁翔</t>
  </si>
  <si>
    <t>110105197102145812</t>
  </si>
  <si>
    <t>新源南路</t>
  </si>
  <si>
    <t>11层</t>
  </si>
  <si>
    <t>白金城</t>
  </si>
  <si>
    <t>2006-3-1D1-316CJD</t>
  </si>
  <si>
    <t>2006-2-CP-00705-U</t>
  </si>
  <si>
    <t>吴毅宏</t>
  </si>
  <si>
    <t>110105197001238147</t>
  </si>
  <si>
    <t>13910871488</t>
  </si>
  <si>
    <t>104号</t>
  </si>
  <si>
    <t>陈曲丽</t>
  </si>
  <si>
    <t>1</t>
  </si>
  <si>
    <t>2006-3-1D1-317CJD</t>
  </si>
  <si>
    <t>2006-2-CP-00708-U</t>
  </si>
  <si>
    <t>王保全</t>
  </si>
  <si>
    <t>110104195507070059</t>
  </si>
  <si>
    <t>13126602023</t>
  </si>
  <si>
    <t>三丰里</t>
  </si>
  <si>
    <t>22 号楼</t>
  </si>
  <si>
    <t>李广义</t>
  </si>
  <si>
    <t>2006-2-CP-00731-U</t>
  </si>
  <si>
    <t>王廷</t>
  </si>
  <si>
    <t>652801198012266113</t>
  </si>
  <si>
    <t>13701290501</t>
  </si>
  <si>
    <t>三区</t>
  </si>
  <si>
    <t>杨泽华</t>
  </si>
  <si>
    <t>2006-2-CP-00742-U</t>
  </si>
  <si>
    <t>严志军</t>
  </si>
  <si>
    <t>11010719770921061X</t>
  </si>
  <si>
    <t>望京西园一区</t>
  </si>
  <si>
    <t>汪兆沄</t>
  </si>
  <si>
    <t>13520426792、64751933</t>
  </si>
  <si>
    <t>2006-2-CP-00745-U</t>
  </si>
  <si>
    <t>李菲</t>
  </si>
  <si>
    <t>330602197609051531</t>
  </si>
  <si>
    <t>13611073311</t>
  </si>
  <si>
    <t>骆洪刚</t>
  </si>
  <si>
    <t>2006-3-1D1-00320CJD</t>
  </si>
  <si>
    <t>13611260009、68310556</t>
  </si>
  <si>
    <t>2006-2-CP-00769-U</t>
  </si>
  <si>
    <t>周文明</t>
  </si>
  <si>
    <t>120225197810280049</t>
  </si>
  <si>
    <t>汤克俭</t>
  </si>
  <si>
    <t>2006-2-CP-00773-U</t>
  </si>
  <si>
    <t>张红生</t>
  </si>
  <si>
    <t>110111197211163611</t>
  </si>
  <si>
    <t>13621236791</t>
  </si>
  <si>
    <t>安华西里1区</t>
  </si>
  <si>
    <t>徐梦岚</t>
  </si>
  <si>
    <t>66244975、84241615</t>
  </si>
  <si>
    <t>2006-2-CP-00775-U</t>
  </si>
  <si>
    <t>宛玉荣</t>
  </si>
  <si>
    <t>630105197204040626</t>
  </si>
  <si>
    <t>13671054451</t>
  </si>
  <si>
    <t>6-201号</t>
  </si>
  <si>
    <t>王文萍</t>
  </si>
  <si>
    <t>2006-2-CP-00788-U</t>
  </si>
  <si>
    <t>夏戎</t>
  </si>
  <si>
    <t>110224196908025828</t>
  </si>
  <si>
    <t>14-06号</t>
  </si>
  <si>
    <t>李小林</t>
  </si>
  <si>
    <t>李晓林</t>
  </si>
  <si>
    <t>13371783522、64481734</t>
  </si>
  <si>
    <t>2006-2-CP-00794-U</t>
  </si>
  <si>
    <t>楼卫民</t>
  </si>
  <si>
    <t>110102197203090831</t>
  </si>
  <si>
    <t>宋建民</t>
  </si>
  <si>
    <t>13240480377、64316049</t>
  </si>
  <si>
    <t>2006-2-CP-00795-U</t>
  </si>
  <si>
    <t>王钰鹏</t>
  </si>
  <si>
    <t>11010119721115451X</t>
  </si>
  <si>
    <t>陈德华</t>
  </si>
  <si>
    <t>2006-2-CP-00800-U</t>
  </si>
  <si>
    <t>刘秀红</t>
  </si>
  <si>
    <t>110105197008037727</t>
  </si>
  <si>
    <t>吴颖哲</t>
  </si>
  <si>
    <t>2006-2-CP-00809-U</t>
  </si>
  <si>
    <t>李慧娟</t>
  </si>
  <si>
    <t>342123197804070023</t>
  </si>
  <si>
    <t>13910740105</t>
  </si>
  <si>
    <t>雷霆</t>
  </si>
  <si>
    <t>2006-2-CP-00813-U</t>
  </si>
  <si>
    <t>刘扬</t>
  </si>
  <si>
    <t>321081197905260057</t>
  </si>
  <si>
    <t>石佛营东里105号院</t>
  </si>
  <si>
    <t>2006-2-CP-00815-U</t>
  </si>
  <si>
    <t>查连顺、查亮</t>
  </si>
  <si>
    <t>110105195402256136、110105820819611</t>
  </si>
  <si>
    <t>2305号</t>
  </si>
  <si>
    <t>石晓珺</t>
  </si>
  <si>
    <t>2006-2-CP-00828-U</t>
  </si>
  <si>
    <t>刘晨</t>
  </si>
  <si>
    <t>110109197911210616</t>
  </si>
  <si>
    <t>成寿寺路宏大住宅小区</t>
  </si>
  <si>
    <t>王嫚</t>
  </si>
  <si>
    <t>2006-2-CP-00834-U</t>
  </si>
  <si>
    <t>胡涌</t>
  </si>
  <si>
    <t>413026196909280316</t>
  </si>
  <si>
    <t>13701336682</t>
  </si>
  <si>
    <t>18A号</t>
  </si>
  <si>
    <t>乔文晖</t>
  </si>
  <si>
    <t>2006-2-CP-00863-U</t>
  </si>
  <si>
    <t>丁立翔</t>
  </si>
  <si>
    <t>110108196508293430</t>
  </si>
  <si>
    <t>13911085159</t>
  </si>
  <si>
    <t>石佛营东里126号院</t>
  </si>
  <si>
    <t>1301号</t>
  </si>
  <si>
    <t>张忠梅</t>
  </si>
  <si>
    <t>2006-2-CP-00868-U</t>
  </si>
  <si>
    <t>梁立英</t>
  </si>
  <si>
    <t>222401197002112165</t>
  </si>
  <si>
    <t>13691012669</t>
  </si>
  <si>
    <t>东三环中路18号院</t>
  </si>
  <si>
    <t>韩学哲</t>
  </si>
  <si>
    <t>2006-2-CP-00884-U</t>
  </si>
  <si>
    <t>邓柳明</t>
  </si>
  <si>
    <t>420106761028328</t>
  </si>
  <si>
    <t>14A号</t>
  </si>
  <si>
    <t>安红军</t>
  </si>
  <si>
    <t>2006-2-CP-00886-U</t>
  </si>
  <si>
    <t>陈金荣</t>
  </si>
  <si>
    <t>110101196101271526</t>
  </si>
  <si>
    <t>小关安苑里</t>
  </si>
  <si>
    <t>4层402号</t>
  </si>
  <si>
    <t>刘竹</t>
  </si>
  <si>
    <t>2006-2-CP-00892-U</t>
  </si>
  <si>
    <t>赵昭</t>
  </si>
  <si>
    <t>11010119771126351X</t>
  </si>
  <si>
    <t>杨晶</t>
  </si>
  <si>
    <t>2006-2-CP-00915-U</t>
  </si>
  <si>
    <t>张金华</t>
  </si>
  <si>
    <t>110105196403015478</t>
  </si>
  <si>
    <t>13121493265</t>
  </si>
  <si>
    <t>蔡芳甫</t>
  </si>
  <si>
    <t>2006-3-1D1-333CJD</t>
  </si>
  <si>
    <t>13691127543、65795702</t>
  </si>
  <si>
    <t>2006-2-CP-00927-U</t>
  </si>
  <si>
    <t>焦健</t>
  </si>
  <si>
    <t>370283197907130039</t>
  </si>
  <si>
    <t>13811165813</t>
  </si>
  <si>
    <t>7层1号</t>
  </si>
  <si>
    <t>祖瑞芳</t>
  </si>
  <si>
    <t>13910700376、64378142</t>
  </si>
  <si>
    <t>2006-2-CP-00971-U</t>
  </si>
  <si>
    <t>王建伟</t>
  </si>
  <si>
    <t>132929197110010010</t>
  </si>
  <si>
    <t>含土地出让金成交价35.5万</t>
  </si>
  <si>
    <t>张秋成</t>
  </si>
  <si>
    <t>2006-2-CP-00972-U</t>
  </si>
  <si>
    <t>郭楠</t>
  </si>
  <si>
    <t>120105197612225128</t>
  </si>
  <si>
    <t>13717959722</t>
  </si>
  <si>
    <t>1604号</t>
  </si>
  <si>
    <t>席克</t>
  </si>
  <si>
    <t>2006-2-CP-00977-U</t>
  </si>
  <si>
    <t>110103198103280663</t>
  </si>
  <si>
    <t>13661022070</t>
  </si>
  <si>
    <t>1单元504、505</t>
  </si>
  <si>
    <t>程大棚</t>
  </si>
  <si>
    <t>程大鹏</t>
  </si>
  <si>
    <t>2006-2-CP-01031-U</t>
  </si>
  <si>
    <t>李德芳</t>
  </si>
  <si>
    <t>110227197707180016</t>
  </si>
  <si>
    <t>13911697145、63034672</t>
  </si>
  <si>
    <t>罗军</t>
  </si>
  <si>
    <t>2006-2-CP-01032-U</t>
  </si>
  <si>
    <t>息蕊</t>
  </si>
  <si>
    <t>130202820731272</t>
  </si>
  <si>
    <t>2203</t>
  </si>
  <si>
    <t>刘文泉</t>
  </si>
  <si>
    <t>2006-2-CP-01033-U</t>
  </si>
  <si>
    <t>郑玲</t>
  </si>
  <si>
    <t>522122198106221826</t>
  </si>
  <si>
    <t>58165957</t>
  </si>
  <si>
    <t>双桥东路10号院</t>
  </si>
  <si>
    <t>赵宏泉</t>
  </si>
  <si>
    <t>2006-2-CP-01037-U</t>
  </si>
  <si>
    <t>方曦</t>
  </si>
  <si>
    <t>110224197301240091</t>
  </si>
  <si>
    <t>1105号</t>
  </si>
  <si>
    <t>张中揆</t>
  </si>
  <si>
    <t>2006-2-CP-01040-U</t>
  </si>
  <si>
    <t>杨玥</t>
  </si>
  <si>
    <t>321002197904031812</t>
  </si>
  <si>
    <t>甲7号楼</t>
  </si>
  <si>
    <t>阮力</t>
  </si>
  <si>
    <t>2006-2-CP-01053-U</t>
  </si>
  <si>
    <t>陶曼</t>
  </si>
  <si>
    <t>110108197901284949</t>
  </si>
  <si>
    <t>1402号</t>
  </si>
  <si>
    <t>贾世俊</t>
  </si>
  <si>
    <t>2006-2-CP-01055-U</t>
  </si>
  <si>
    <t>赵韬</t>
  </si>
  <si>
    <t>142321198208270016</t>
  </si>
  <si>
    <t>廖萍</t>
  </si>
  <si>
    <t>2006-2-CP-01063-U</t>
  </si>
  <si>
    <t>李传清</t>
  </si>
  <si>
    <t>110105196604215417</t>
  </si>
  <si>
    <t>和平街十三区</t>
  </si>
  <si>
    <t>袁振中</t>
  </si>
  <si>
    <t>13681538668、84261676</t>
  </si>
  <si>
    <t>2006-2-CP-01102-U</t>
  </si>
  <si>
    <t>史立中、杨立莉</t>
  </si>
  <si>
    <t>110226198104184411、110222198204306425</t>
  </si>
  <si>
    <t>13681127839</t>
  </si>
  <si>
    <t>甲11号楼</t>
  </si>
  <si>
    <t>华育伦</t>
  </si>
  <si>
    <t>2006-3-1D1-00353CJD</t>
  </si>
  <si>
    <t>2006-2-CP-01156-U</t>
  </si>
  <si>
    <t>132128198104013113</t>
  </si>
  <si>
    <t>13811653528</t>
  </si>
  <si>
    <t>1802号</t>
  </si>
  <si>
    <t>双方亲戚</t>
  </si>
  <si>
    <t>靳丽辉</t>
  </si>
  <si>
    <t>2006-2-CP-01212-U</t>
  </si>
  <si>
    <t>赵楠</t>
  </si>
  <si>
    <t>110103198105031230</t>
  </si>
  <si>
    <t>13810257603</t>
  </si>
  <si>
    <t>4门703</t>
  </si>
  <si>
    <t>2006-2-CP-01218-U</t>
  </si>
  <si>
    <t>王林</t>
  </si>
  <si>
    <t>110105197601233817</t>
  </si>
  <si>
    <t>赵诗容</t>
  </si>
  <si>
    <t>2006-2-CP-01226-U</t>
  </si>
  <si>
    <t>郑莉</t>
  </si>
  <si>
    <t>11022819700327212X</t>
  </si>
  <si>
    <t>2313号</t>
  </si>
  <si>
    <t>王文阁</t>
  </si>
  <si>
    <t>2006-2-CP-01273-U</t>
  </si>
  <si>
    <t>任华</t>
  </si>
  <si>
    <t>130406197612250619</t>
  </si>
  <si>
    <t>13611184008</t>
  </si>
  <si>
    <t>11层1</t>
  </si>
  <si>
    <t>2006-2-CP-01332-U</t>
  </si>
  <si>
    <t>唐宁</t>
  </si>
  <si>
    <t>11010819790120542X</t>
  </si>
  <si>
    <t>李敬俊</t>
  </si>
  <si>
    <t>2006-2-CP-01343-U</t>
  </si>
  <si>
    <t>张忠俊</t>
  </si>
  <si>
    <t>110224197803110078</t>
  </si>
  <si>
    <t>13681427104</t>
  </si>
  <si>
    <t>1门401号</t>
  </si>
  <si>
    <t>赵玉英</t>
  </si>
  <si>
    <t>2006-2-CP-01344-U</t>
  </si>
  <si>
    <t>王海波、陈丽霞</t>
  </si>
  <si>
    <t>360502741024041、452324197310180022</t>
  </si>
  <si>
    <t>邱福祥</t>
  </si>
  <si>
    <t>产权房</t>
  </si>
  <si>
    <t>2006-2-CP-01347-U</t>
  </si>
  <si>
    <t>刘家昌</t>
  </si>
  <si>
    <t>370602741029265</t>
  </si>
  <si>
    <t>13910283845</t>
  </si>
  <si>
    <t>李晓萌</t>
  </si>
  <si>
    <t>2006-2-CP-01349-U</t>
  </si>
  <si>
    <t>丁国强</t>
  </si>
  <si>
    <t>120105197309221810</t>
  </si>
  <si>
    <t>广和里</t>
  </si>
  <si>
    <t>4门502</t>
  </si>
  <si>
    <t>李琳</t>
  </si>
  <si>
    <t>2006-2-CP-01367-U</t>
  </si>
  <si>
    <t>姚德珍</t>
  </si>
  <si>
    <t>110222195403304867</t>
  </si>
  <si>
    <t>13910191215</t>
  </si>
  <si>
    <t>2-703号</t>
  </si>
  <si>
    <t>2006-2-CP-01380-U</t>
  </si>
  <si>
    <t>蒋志祥、龚晓芳</t>
  </si>
  <si>
    <t>620103197403192636、350429197609060027</t>
  </si>
  <si>
    <t>13146467501、13552659976</t>
  </si>
  <si>
    <t>210号</t>
  </si>
  <si>
    <t>杨鸣</t>
  </si>
  <si>
    <t>2006-3-1D1-372CJD</t>
  </si>
  <si>
    <t>成交价稍低</t>
  </si>
  <si>
    <t>2006-2-CP-01386-U</t>
  </si>
  <si>
    <t>高玉增</t>
  </si>
  <si>
    <t>110105195710073315</t>
  </si>
  <si>
    <t>刘冬焱</t>
  </si>
  <si>
    <t>2006-2-CP-01392-U</t>
  </si>
  <si>
    <t>吴海名</t>
  </si>
  <si>
    <t>110101197002241537</t>
  </si>
  <si>
    <t>13801207520</t>
  </si>
  <si>
    <t>劲松3区</t>
  </si>
  <si>
    <t>314号楼</t>
  </si>
  <si>
    <t>吴德义</t>
  </si>
  <si>
    <t>2006-2-CP-01411-U</t>
  </si>
  <si>
    <t>唐宇</t>
  </si>
  <si>
    <t>110105197808205434</t>
  </si>
  <si>
    <t>于江</t>
  </si>
  <si>
    <t>2006-2-CP-01423-U</t>
  </si>
  <si>
    <t>毕明荣</t>
  </si>
  <si>
    <t>371082197907178351</t>
  </si>
  <si>
    <t>13910994686</t>
  </si>
  <si>
    <t>2006-2-CP-01450-U</t>
  </si>
  <si>
    <t>付华</t>
  </si>
  <si>
    <t>110108197210230036</t>
  </si>
  <si>
    <t>1-302号</t>
  </si>
  <si>
    <t>巴国起</t>
  </si>
  <si>
    <t>2006-2-CP-01454-U</t>
  </si>
  <si>
    <t>周春建</t>
  </si>
  <si>
    <t>51010619730124593X</t>
  </si>
  <si>
    <t>杨荣民</t>
  </si>
  <si>
    <t>2006-3-1D1-00378CJD</t>
  </si>
  <si>
    <t>2006-2-CP-01525-U</t>
  </si>
  <si>
    <t>张华伟</t>
  </si>
  <si>
    <t>411102197811131037</t>
  </si>
  <si>
    <t>天月园</t>
  </si>
  <si>
    <t>2-801号</t>
  </si>
  <si>
    <t>粟旭东、张红梅</t>
  </si>
  <si>
    <t>2006-2-CP-01539-U</t>
  </si>
  <si>
    <t>余海燕</t>
  </si>
  <si>
    <t>210703197701182029</t>
  </si>
  <si>
    <t>12层</t>
  </si>
  <si>
    <t>01号</t>
  </si>
  <si>
    <t>白贵宁</t>
  </si>
  <si>
    <t>2006-3-1D1-386CJD</t>
  </si>
  <si>
    <t>2006-2-CP-01578-U</t>
  </si>
  <si>
    <t>马诚娜</t>
  </si>
  <si>
    <t>110108197211242223</t>
  </si>
  <si>
    <t>13718790810</t>
  </si>
  <si>
    <t>望京花园东区</t>
  </si>
  <si>
    <t>刘广三</t>
  </si>
  <si>
    <t>ZHDL</t>
  </si>
  <si>
    <t>0001221</t>
  </si>
  <si>
    <t>2006-2-CP-01591-U</t>
  </si>
  <si>
    <t>王铁军</t>
  </si>
  <si>
    <t>110224197409030037</t>
  </si>
  <si>
    <t>松榆南路</t>
  </si>
  <si>
    <t>52号楼</t>
  </si>
  <si>
    <t>H号</t>
  </si>
  <si>
    <t>蒋素琴</t>
  </si>
  <si>
    <t>2006-2-CP-01623-U</t>
  </si>
  <si>
    <t>刘艳会、王鑫</t>
  </si>
  <si>
    <t>132335197909191179、422103197807017927</t>
  </si>
  <si>
    <t>4门503</t>
  </si>
  <si>
    <t>崔志军</t>
  </si>
  <si>
    <t>2006-2-CP-01651-U</t>
  </si>
  <si>
    <t>严伟锋</t>
  </si>
  <si>
    <t>330424197711231034</t>
  </si>
  <si>
    <t>大羊坊甲6号院</t>
  </si>
  <si>
    <t>霍燕桥</t>
  </si>
  <si>
    <t>1365705303、13910275520</t>
  </si>
  <si>
    <t>2006-2-CP-01659-U</t>
  </si>
  <si>
    <t>郭旭东</t>
  </si>
  <si>
    <t>110101198106152015</t>
  </si>
  <si>
    <t>13522331988</t>
  </si>
  <si>
    <t>731号</t>
  </si>
  <si>
    <t>赵伟馨</t>
  </si>
  <si>
    <t>2006-2-CP-01678-U</t>
  </si>
  <si>
    <t>朱建华</t>
  </si>
  <si>
    <t>150102771104451</t>
  </si>
  <si>
    <t>13621230277</t>
  </si>
  <si>
    <t>2808号</t>
  </si>
  <si>
    <t>张荫耀</t>
  </si>
  <si>
    <t>2006-2-CP-01689-U</t>
  </si>
  <si>
    <t>武朝辉</t>
  </si>
  <si>
    <t>110105196805134138</t>
  </si>
  <si>
    <t>13671169106</t>
  </si>
  <si>
    <t>定福庄西里2号</t>
  </si>
  <si>
    <t>15号</t>
  </si>
  <si>
    <t>京房权证朝私06字第184248号</t>
  </si>
  <si>
    <t>潘秀珍</t>
  </si>
  <si>
    <t>2006-2-CP-01702-U</t>
  </si>
  <si>
    <t>王在永</t>
  </si>
  <si>
    <t>110108197001209732</t>
  </si>
  <si>
    <t>13601181243</t>
  </si>
  <si>
    <t>1504</t>
  </si>
  <si>
    <t>吴英</t>
  </si>
  <si>
    <t>2006-3-1D1-392CJD</t>
  </si>
  <si>
    <t>2006-2-CP-01716-U</t>
  </si>
  <si>
    <t>宋莉莉</t>
  </si>
  <si>
    <t>110105197709075224</t>
  </si>
  <si>
    <t>13651384405</t>
  </si>
  <si>
    <t>花园闸北里</t>
  </si>
  <si>
    <t>顾来敏</t>
  </si>
  <si>
    <t>2006-2-CP-01721-U</t>
  </si>
  <si>
    <t>樊兴岗</t>
  </si>
  <si>
    <t>21010619740613491X</t>
  </si>
  <si>
    <t>13671106768</t>
  </si>
  <si>
    <t>卫东</t>
  </si>
  <si>
    <t>2006-2-CP-01730-U</t>
  </si>
  <si>
    <t>李响</t>
  </si>
  <si>
    <t>41290119751203151X</t>
  </si>
  <si>
    <t>1503号</t>
  </si>
  <si>
    <t>杜莉玫</t>
  </si>
  <si>
    <t>2006-2-CP-01735-U</t>
  </si>
  <si>
    <t>车颖</t>
  </si>
  <si>
    <t>110105198001149464</t>
  </si>
  <si>
    <t>13910055990</t>
  </si>
  <si>
    <t>14层1406号</t>
  </si>
  <si>
    <t>郭秀华</t>
  </si>
  <si>
    <t>2006-2-CP-01775-U</t>
  </si>
  <si>
    <t>王望</t>
  </si>
  <si>
    <t>130402197607101218</t>
  </si>
  <si>
    <t>13910815852</t>
  </si>
  <si>
    <t>605</t>
  </si>
  <si>
    <t>2006-2-CP-01807-U</t>
  </si>
  <si>
    <t>邓向军</t>
  </si>
  <si>
    <t>430121731029051</t>
  </si>
  <si>
    <t>13910419796</t>
  </si>
  <si>
    <t>308室</t>
  </si>
  <si>
    <t>张文娟</t>
  </si>
  <si>
    <t>2006-2-CP-01810-U</t>
  </si>
  <si>
    <t>解兴吉</t>
  </si>
  <si>
    <t>110101195304191011</t>
  </si>
  <si>
    <t>吕春勇</t>
  </si>
  <si>
    <t>双方认识，成交价偏低</t>
  </si>
  <si>
    <t>2006-3-1D1-00396CJD</t>
  </si>
  <si>
    <t>2006-2-CP-01812-U</t>
  </si>
  <si>
    <t>雄巍</t>
  </si>
  <si>
    <t>230224197604270340</t>
  </si>
  <si>
    <t>13911682874</t>
  </si>
  <si>
    <t>孙刚</t>
  </si>
  <si>
    <t>2006-2-CP-01815-U</t>
  </si>
  <si>
    <t>苑楠</t>
  </si>
  <si>
    <t>120113197407231617</t>
  </si>
  <si>
    <t>13501367068</t>
  </si>
  <si>
    <t>八里庄西里</t>
  </si>
  <si>
    <t>72号楼</t>
  </si>
  <si>
    <t>华志坚</t>
  </si>
  <si>
    <t>2006-2-CP-01825-U</t>
  </si>
  <si>
    <t>黄伟</t>
  </si>
  <si>
    <t>110227198011090017</t>
  </si>
  <si>
    <t>5单元6层</t>
  </si>
  <si>
    <t>京房权证朝私06字第183922号</t>
  </si>
  <si>
    <t>张芙雅</t>
  </si>
  <si>
    <t>2006-2-CP-01853-U</t>
  </si>
  <si>
    <t>张妍</t>
  </si>
  <si>
    <t>110101197502071546</t>
  </si>
  <si>
    <t>13146860545、87407997</t>
  </si>
  <si>
    <t>育慧北里</t>
  </si>
  <si>
    <t>邱淑梅</t>
  </si>
  <si>
    <t>2006-2-CP-01854-U</t>
  </si>
  <si>
    <t>110101198010240010</t>
  </si>
  <si>
    <t>酒仙桥北路北窑地</t>
  </si>
  <si>
    <t>3-43</t>
  </si>
  <si>
    <t>田怡</t>
  </si>
  <si>
    <t>2006-2-CP-01856-U</t>
  </si>
  <si>
    <t>任静</t>
  </si>
  <si>
    <t>512301197911070023</t>
  </si>
  <si>
    <t>华威西里小区</t>
  </si>
  <si>
    <t>50号楼</t>
  </si>
  <si>
    <t>梁锦袚</t>
  </si>
  <si>
    <t>京房权证朝私06字第183970号</t>
  </si>
  <si>
    <t>杨朝杰</t>
  </si>
  <si>
    <t>2006-2-CP-01866-U</t>
  </si>
  <si>
    <t>吴荣</t>
  </si>
  <si>
    <t>522401810419001</t>
  </si>
  <si>
    <t>1005</t>
  </si>
  <si>
    <t>周霞</t>
  </si>
  <si>
    <t>2006-2-CP-01867-U</t>
  </si>
  <si>
    <t>苏丹</t>
  </si>
  <si>
    <t>210281198007285323</t>
  </si>
  <si>
    <t>13488709405</t>
  </si>
  <si>
    <t>109号楼</t>
  </si>
  <si>
    <t>3A03号</t>
  </si>
  <si>
    <t>京房权证朝私06字第183931号</t>
  </si>
  <si>
    <t>谷庆</t>
  </si>
  <si>
    <t>2006-2-CP-01873-U</t>
  </si>
  <si>
    <t>410702197603151019</t>
  </si>
  <si>
    <t>58832482</t>
  </si>
  <si>
    <t>113号楼</t>
  </si>
  <si>
    <t>1608号</t>
  </si>
  <si>
    <t>付雪松</t>
  </si>
  <si>
    <t>2006-2-CP-01951-U</t>
  </si>
  <si>
    <t>刘海涛</t>
  </si>
  <si>
    <t>110222197803216013</t>
  </si>
  <si>
    <t>13153186299</t>
  </si>
  <si>
    <t>3-503</t>
  </si>
  <si>
    <t>胡卫宁</t>
  </si>
  <si>
    <t>含装修费</t>
  </si>
  <si>
    <t>2006-2-CP-01984-U</t>
  </si>
  <si>
    <t>胡琦</t>
  </si>
  <si>
    <t>420704198210280054</t>
  </si>
  <si>
    <t>1809号</t>
  </si>
  <si>
    <t>黄金明</t>
  </si>
  <si>
    <t>2006-2-CP-01996-U</t>
  </si>
  <si>
    <t>陈军波</t>
  </si>
  <si>
    <t>11022619791008367X</t>
  </si>
  <si>
    <t>13146635801</t>
  </si>
  <si>
    <t>6门303</t>
  </si>
  <si>
    <t>2006-2-CP-02001-U</t>
  </si>
  <si>
    <t>张传祥</t>
  </si>
  <si>
    <t>110105196909300014</t>
  </si>
  <si>
    <t>八里庄南里</t>
  </si>
  <si>
    <t>季威</t>
  </si>
  <si>
    <t>2006-2-CP-02011-U</t>
  </si>
  <si>
    <t>李志杰</t>
  </si>
  <si>
    <t>41050219800722051X</t>
  </si>
  <si>
    <t>黄首征</t>
  </si>
  <si>
    <t>2006-2-CP-02014-U</t>
  </si>
  <si>
    <t>李洵</t>
  </si>
  <si>
    <t>11011119810314010X</t>
  </si>
  <si>
    <t>13911695750</t>
  </si>
  <si>
    <t>十里堡北里</t>
  </si>
  <si>
    <t>4单元603</t>
  </si>
  <si>
    <t>2006-2-CP-02015-U</t>
  </si>
  <si>
    <t>和朝军</t>
  </si>
  <si>
    <t>110223197403110013</t>
  </si>
  <si>
    <t>13021243012、82082054</t>
  </si>
  <si>
    <t>广渠门外大街</t>
  </si>
  <si>
    <t>1307号</t>
  </si>
  <si>
    <t>吕克钧</t>
  </si>
  <si>
    <t>2006-2-CP-02021-U</t>
  </si>
  <si>
    <t>穆小彬</t>
  </si>
  <si>
    <t>120102197812050220</t>
  </si>
  <si>
    <t>广顺北大街33号望京大西洋新城B区</t>
  </si>
  <si>
    <t>5C号</t>
  </si>
  <si>
    <t>金星英</t>
  </si>
  <si>
    <t>2006-2-CP-02022-U</t>
  </si>
  <si>
    <t>严国军、沈陆方</t>
  </si>
  <si>
    <t>330501197902045112、33050119800802942X</t>
  </si>
  <si>
    <t>13911029702</t>
  </si>
  <si>
    <t>A号楼</t>
  </si>
  <si>
    <t>1902号</t>
  </si>
  <si>
    <t>邓宏斌</t>
  </si>
  <si>
    <t>2006-2-CP-02037-U</t>
  </si>
  <si>
    <t>曾征、刘磊</t>
  </si>
  <si>
    <t>420802197810090623、110101197901171018</t>
  </si>
  <si>
    <t>13810315261、64970941</t>
  </si>
  <si>
    <t>育慧里二区</t>
  </si>
  <si>
    <t>韩育茹</t>
  </si>
  <si>
    <t>ZHDL0001255ZY</t>
  </si>
  <si>
    <t>13718708947、84648062</t>
  </si>
  <si>
    <t>2006-2-CP-02038-U</t>
  </si>
  <si>
    <t>汪爱文</t>
  </si>
  <si>
    <t>110228197404223812</t>
  </si>
  <si>
    <t>74号楼</t>
  </si>
  <si>
    <t>邢山</t>
  </si>
  <si>
    <t>2006-2-CP-02125-U</t>
  </si>
  <si>
    <t>夏丹</t>
  </si>
  <si>
    <t>110222197808050323</t>
  </si>
  <si>
    <t>82122196</t>
  </si>
  <si>
    <t>1门162号</t>
  </si>
  <si>
    <t>李明华</t>
  </si>
  <si>
    <t>2006-2-CP-02156-U</t>
  </si>
  <si>
    <t>张志慧</t>
  </si>
  <si>
    <t>110227197209100044</t>
  </si>
  <si>
    <t>314号楼B座</t>
  </si>
  <si>
    <r>
      <t>1单元</t>
    </r>
    <r>
      <rPr>
        <sz val="10"/>
        <rFont val="Times New Roman"/>
        <family val="1"/>
      </rPr>
      <t/>
    </r>
  </si>
  <si>
    <t>叶薇</t>
  </si>
  <si>
    <t>2006-2-CP-02213-U</t>
  </si>
  <si>
    <t>刘悦</t>
  </si>
  <si>
    <t>110105198005035886</t>
  </si>
  <si>
    <t>301楼</t>
  </si>
  <si>
    <t>凌振云</t>
  </si>
  <si>
    <t>含中介费</t>
  </si>
  <si>
    <t>2006-2-CP-02225-U</t>
  </si>
  <si>
    <t>赵震</t>
  </si>
  <si>
    <t>110223197606138761</t>
  </si>
  <si>
    <t>京房权证朝私06字第184344号</t>
  </si>
  <si>
    <t>2006-2-CP-02237-U</t>
  </si>
  <si>
    <t>王兆丰</t>
  </si>
  <si>
    <t>110108196004216052</t>
  </si>
  <si>
    <t>华威里</t>
  </si>
  <si>
    <t>2003号</t>
  </si>
  <si>
    <t>京房权证朝私06字第31324号</t>
  </si>
  <si>
    <t>刘莉</t>
  </si>
  <si>
    <t>2006-2-CP-02274-U</t>
  </si>
  <si>
    <t>1门601</t>
  </si>
  <si>
    <t>鞠海峰</t>
  </si>
  <si>
    <t>2006-2-CP-02276-U</t>
  </si>
  <si>
    <t>王昱</t>
  </si>
  <si>
    <t>110105821028333</t>
  </si>
  <si>
    <t>王润华</t>
  </si>
  <si>
    <t>2006-2-CP-02289-U</t>
  </si>
  <si>
    <t>宋莹</t>
  </si>
  <si>
    <t>321002197807170925</t>
  </si>
  <si>
    <t>315号楼</t>
  </si>
  <si>
    <t>1542号</t>
  </si>
  <si>
    <t>张小雪</t>
  </si>
  <si>
    <t>2006-3-1D1-00425CJD</t>
  </si>
  <si>
    <t>2006-2-CP-02342-U</t>
  </si>
  <si>
    <t>刘小杰</t>
  </si>
  <si>
    <t>110105198009105415</t>
  </si>
  <si>
    <t>京房权证朝私06字第190138号</t>
  </si>
  <si>
    <t>李奋军</t>
  </si>
  <si>
    <t>2006-2-CP-02343-U</t>
  </si>
  <si>
    <t>刘庆华</t>
  </si>
  <si>
    <t>110105197109245322</t>
  </si>
  <si>
    <t>56号楼</t>
  </si>
  <si>
    <t>307号</t>
  </si>
  <si>
    <t>京房权证朝私06字第183435号</t>
  </si>
  <si>
    <t>苗亚荣</t>
  </si>
  <si>
    <t>2006-2-CP-02374-U</t>
  </si>
  <si>
    <t>裴培</t>
  </si>
  <si>
    <t>110101198105161016</t>
  </si>
  <si>
    <t>13051355965</t>
  </si>
  <si>
    <t>333号楼</t>
  </si>
  <si>
    <t>1021号</t>
  </si>
  <si>
    <t>朱清</t>
  </si>
  <si>
    <t>2006-2-CP-02396-U</t>
  </si>
  <si>
    <t>刘羽</t>
  </si>
  <si>
    <t>110228197908130011</t>
  </si>
  <si>
    <t>青年路29号院</t>
  </si>
  <si>
    <t>5门1202</t>
  </si>
  <si>
    <t>崔金英</t>
  </si>
  <si>
    <t>2006-2-CP-02397-U</t>
  </si>
  <si>
    <t>魏彦君</t>
  </si>
  <si>
    <t>110105197007282544</t>
  </si>
  <si>
    <t>甜水园西里</t>
  </si>
  <si>
    <t>4门603</t>
  </si>
  <si>
    <t>唐丽珍</t>
  </si>
  <si>
    <t>2006-2-CP-02403-U</t>
  </si>
  <si>
    <t>董云峰</t>
  </si>
  <si>
    <t>210103197904300336</t>
  </si>
  <si>
    <t>13910920226</t>
  </si>
  <si>
    <t>12A01号</t>
  </si>
  <si>
    <t>谭学新</t>
  </si>
  <si>
    <t>2006-2-CP-02416-U</t>
  </si>
  <si>
    <t>尚路</t>
  </si>
  <si>
    <t>110108198001286839</t>
  </si>
  <si>
    <t>13601332106</t>
  </si>
  <si>
    <t>323号楼</t>
  </si>
  <si>
    <t>1106号</t>
  </si>
  <si>
    <t>周旭</t>
  </si>
  <si>
    <t>2006-2-CP-02418-U</t>
  </si>
  <si>
    <t>白燕</t>
  </si>
  <si>
    <t>110222196907155740</t>
  </si>
  <si>
    <t>六层602</t>
  </si>
  <si>
    <t>王学玲</t>
  </si>
  <si>
    <t>ZHDL0001231ZY</t>
  </si>
  <si>
    <t>13681558010、64942683</t>
  </si>
  <si>
    <t>2006-2-CP-02423-U</t>
  </si>
  <si>
    <t>陈欣</t>
  </si>
  <si>
    <t>650102197512104518</t>
  </si>
  <si>
    <t>908号</t>
  </si>
  <si>
    <t>谢龙</t>
  </si>
  <si>
    <t>2006-2-CP-02471-U</t>
  </si>
  <si>
    <t>崔杨</t>
  </si>
  <si>
    <t>370902197807210920</t>
  </si>
  <si>
    <t>2404号</t>
  </si>
  <si>
    <t>那贵华</t>
  </si>
  <si>
    <t>实际成交价58万</t>
  </si>
  <si>
    <t>2006-2-CP-02479-U</t>
  </si>
  <si>
    <t>210204820520431</t>
  </si>
  <si>
    <t>13811812727</t>
  </si>
  <si>
    <t>杨淑琴</t>
  </si>
  <si>
    <t>2006-2-CP-02498-U</t>
  </si>
  <si>
    <t>孙丽</t>
  </si>
  <si>
    <t>140202197807093049</t>
  </si>
  <si>
    <t>13051939286</t>
  </si>
  <si>
    <t>16层1609号</t>
  </si>
  <si>
    <t>李继乡</t>
  </si>
  <si>
    <t>2006-3-D1-435C5D</t>
  </si>
  <si>
    <t>2006-2-CP-02507-U</t>
  </si>
  <si>
    <t>王潇潇</t>
  </si>
  <si>
    <t>110103198207010027</t>
  </si>
  <si>
    <t>13501398941</t>
  </si>
  <si>
    <t>谢云</t>
  </si>
  <si>
    <t>2006-3-1D1-0434CJD</t>
  </si>
  <si>
    <t>2006-2-CP-02544-U</t>
  </si>
  <si>
    <t>陈红梅</t>
  </si>
  <si>
    <t>110105197507029123</t>
  </si>
  <si>
    <t>垡头二区</t>
  </si>
  <si>
    <t>4门3层9号</t>
  </si>
  <si>
    <t>祁永</t>
  </si>
  <si>
    <t>2006-2-CP-02569-U</t>
  </si>
  <si>
    <t>郭红权</t>
  </si>
  <si>
    <t>110226195105300011</t>
  </si>
  <si>
    <t>2门2层203号</t>
  </si>
  <si>
    <t>沈志君</t>
  </si>
  <si>
    <t>2006-2-CP-02570-U</t>
  </si>
  <si>
    <t>王磊</t>
  </si>
  <si>
    <t>232330198012290611</t>
  </si>
  <si>
    <t>13911510846</t>
  </si>
  <si>
    <t>303号楼</t>
  </si>
  <si>
    <t>瞿会宁</t>
  </si>
  <si>
    <t>2006-2-CP-02580-U</t>
  </si>
  <si>
    <t>刘鹏、苏彦萍</t>
  </si>
  <si>
    <t>110105197309260818、652827197502023420</t>
  </si>
  <si>
    <t>南新园中路</t>
  </si>
  <si>
    <t>刘克功</t>
  </si>
  <si>
    <t>京房权证朝私06字第183697号</t>
  </si>
  <si>
    <t>2006-2-CP-02606-U</t>
  </si>
  <si>
    <t>康春华</t>
  </si>
  <si>
    <t>11010519560304114X</t>
  </si>
  <si>
    <t>13651025397</t>
  </si>
  <si>
    <r>
      <t>大羊坊路79号</t>
    </r>
    <r>
      <rPr>
        <sz val="10"/>
        <rFont val="Times New Roman"/>
        <family val="1"/>
      </rPr>
      <t/>
    </r>
  </si>
  <si>
    <t>1门603号</t>
  </si>
  <si>
    <t>张敬</t>
  </si>
  <si>
    <t>2006-2-CP-02639-U</t>
  </si>
  <si>
    <t>李吉昶</t>
  </si>
  <si>
    <t>110105196512242119</t>
  </si>
  <si>
    <t>磨房南里</t>
  </si>
  <si>
    <t xml:space="preserve"> 吴亚平</t>
  </si>
  <si>
    <t>2006-2-CP-02644-U</t>
  </si>
  <si>
    <t>李继鉴</t>
  </si>
  <si>
    <t>320211197306023413</t>
  </si>
  <si>
    <t>13901169174</t>
  </si>
  <si>
    <t>十里堡东里</t>
  </si>
  <si>
    <t>1门8</t>
  </si>
  <si>
    <t>宋朦朦</t>
  </si>
  <si>
    <t>2006-2-CP-02648-U</t>
  </si>
  <si>
    <t>林琪</t>
  </si>
  <si>
    <t>352121197804120042</t>
  </si>
  <si>
    <t>南新园小区</t>
  </si>
  <si>
    <t>二门</t>
  </si>
  <si>
    <t>王迎春</t>
  </si>
  <si>
    <t>2006-3-1D1-00440CJD</t>
  </si>
  <si>
    <t>2006-2-CP-02661-U</t>
  </si>
  <si>
    <t>王征</t>
  </si>
  <si>
    <t>120104197511136314</t>
  </si>
  <si>
    <t>陈俊良</t>
  </si>
  <si>
    <t>2006-2-CP-02679-U</t>
  </si>
  <si>
    <t>李霞</t>
  </si>
  <si>
    <t>11022219780420222X</t>
  </si>
  <si>
    <t>东平里</t>
  </si>
  <si>
    <t>9楼</t>
  </si>
  <si>
    <t>2006-3-1D1-442D</t>
  </si>
  <si>
    <t>京房权证朝私06字第184011号</t>
  </si>
  <si>
    <t>2006-2-CP-02690-U</t>
  </si>
  <si>
    <t>张帆</t>
  </si>
  <si>
    <t>230204197303111922</t>
  </si>
  <si>
    <t>741号</t>
  </si>
  <si>
    <t>刘昉蔚</t>
  </si>
  <si>
    <t>2006-2-CP-02737-U</t>
  </si>
  <si>
    <t>刘英</t>
  </si>
  <si>
    <t>110226198007024715</t>
  </si>
  <si>
    <t>太平庄南里</t>
  </si>
  <si>
    <t>黄锡彬</t>
  </si>
  <si>
    <t>13718694004、86240282</t>
  </si>
  <si>
    <t>2006-2-CP-02762-U</t>
  </si>
  <si>
    <t>刘连娣</t>
  </si>
  <si>
    <t>430521197803147788</t>
  </si>
  <si>
    <t>64683065</t>
  </si>
  <si>
    <t>262号</t>
  </si>
  <si>
    <t>京房权证朝私06字第186130号</t>
  </si>
  <si>
    <t>姜雪鹰</t>
  </si>
  <si>
    <t>2006-2-CP-02796-U</t>
  </si>
  <si>
    <t>徐欣</t>
  </si>
  <si>
    <t>110102197912272312</t>
  </si>
  <si>
    <t>13671267484</t>
  </si>
  <si>
    <t>1709号</t>
  </si>
  <si>
    <t>郭宁</t>
  </si>
  <si>
    <t>2006-2-CP-02825-U</t>
  </si>
  <si>
    <t>130403197711200319</t>
  </si>
  <si>
    <t>13910165323</t>
  </si>
  <si>
    <t>118号楼</t>
  </si>
  <si>
    <t>京房权证朝私06字第185284号</t>
  </si>
  <si>
    <t>2006-3-1D1-00448CD</t>
  </si>
  <si>
    <t>彭晓宁</t>
  </si>
  <si>
    <t>2006-2-CP-02850-U</t>
  </si>
  <si>
    <t>李雪婷</t>
  </si>
  <si>
    <t>110108197706053125</t>
  </si>
  <si>
    <t>13511084431</t>
  </si>
  <si>
    <t>2505号</t>
  </si>
  <si>
    <t>京房权证朝私06字第186536号</t>
  </si>
  <si>
    <t>霍薪爵</t>
  </si>
  <si>
    <t>2006-2-CP-02854-U</t>
  </si>
  <si>
    <t>王富明</t>
  </si>
  <si>
    <t>130802195701241615</t>
  </si>
  <si>
    <t>丝竹园</t>
  </si>
  <si>
    <t>唐志坚</t>
  </si>
  <si>
    <t>2006-3-1D1-00451CJD</t>
  </si>
  <si>
    <t>2006-2-CP-02899-U</t>
  </si>
  <si>
    <t>孙波</t>
  </si>
  <si>
    <t>21130219740908001X</t>
  </si>
  <si>
    <t>陈彪</t>
  </si>
  <si>
    <t>2006-2-CP-02910-U</t>
  </si>
  <si>
    <t>张廉君</t>
  </si>
  <si>
    <t>429005197912254944</t>
  </si>
  <si>
    <t>86626026</t>
  </si>
  <si>
    <t>123号楼</t>
  </si>
  <si>
    <t>京房权证朝私06字第184962号</t>
  </si>
  <si>
    <t>王春爱</t>
  </si>
  <si>
    <t>2006-2-CP-02922-U</t>
  </si>
  <si>
    <t>320981197809227239</t>
  </si>
  <si>
    <t>13911925381</t>
  </si>
  <si>
    <t>2203号</t>
  </si>
  <si>
    <t>彭惠秋</t>
  </si>
  <si>
    <t>2006-2-CP-02925-U</t>
  </si>
  <si>
    <t>武永胜</t>
  </si>
  <si>
    <t>37072819731013163X</t>
  </si>
  <si>
    <t>甘露园南里25号</t>
  </si>
  <si>
    <t>15C号</t>
  </si>
  <si>
    <t>京房权证市朝私字第2350273号</t>
  </si>
  <si>
    <t>2006-3-1D1-00457CJD</t>
  </si>
  <si>
    <t>2006-2-CP-02927-U</t>
  </si>
  <si>
    <t>秦香</t>
  </si>
  <si>
    <t>429001198102034623</t>
  </si>
  <si>
    <t>13811557008</t>
  </si>
  <si>
    <t>1009号</t>
  </si>
  <si>
    <t>杨勇钢</t>
  </si>
  <si>
    <t>2006-2-CP-02932-U</t>
  </si>
  <si>
    <t>潘超</t>
  </si>
  <si>
    <t>110102197803121910</t>
  </si>
  <si>
    <t>13581978468</t>
  </si>
  <si>
    <t>南郎家园</t>
  </si>
  <si>
    <t>二单元509</t>
  </si>
  <si>
    <t>京房权证朝私06字第189413号</t>
  </si>
  <si>
    <t>杨延凯</t>
  </si>
  <si>
    <t>2006-2-CP-02935-U</t>
  </si>
  <si>
    <t>潘家文</t>
  </si>
  <si>
    <t>110108197601239337</t>
  </si>
  <si>
    <t>13911329803</t>
  </si>
  <si>
    <t>408号</t>
  </si>
  <si>
    <t>91302006081248</t>
  </si>
  <si>
    <t>京房权证朝私字第129393号</t>
  </si>
  <si>
    <t>2006-3-1D1-460CJD</t>
  </si>
  <si>
    <t>孙寿炎</t>
  </si>
  <si>
    <t>2006-2-CP-02990-U</t>
  </si>
  <si>
    <t>姜志娟</t>
  </si>
  <si>
    <t>370624197010110027</t>
  </si>
  <si>
    <t>13466348283、84891844</t>
  </si>
  <si>
    <t>京房权证朝私06字第186891号</t>
  </si>
  <si>
    <t>卢伯毅</t>
  </si>
  <si>
    <t>2006-2-CP-02993-U</t>
  </si>
  <si>
    <t>姜楠</t>
  </si>
  <si>
    <t>370104197805212614</t>
  </si>
  <si>
    <t>彭文晖</t>
  </si>
  <si>
    <t>含契税</t>
  </si>
  <si>
    <t>2006-2-CP-03013-U</t>
  </si>
  <si>
    <t>王鹏磊</t>
  </si>
  <si>
    <t>130529198009104910</t>
  </si>
  <si>
    <t>管庄西里</t>
  </si>
  <si>
    <t>76号楼</t>
  </si>
  <si>
    <t>安俊强</t>
  </si>
  <si>
    <t>2006-2-CP-03022-U</t>
  </si>
  <si>
    <t>梁浩</t>
  </si>
  <si>
    <t>152103197502120039</t>
  </si>
  <si>
    <t>86374727</t>
  </si>
  <si>
    <t>京房权证朝私06字第183739号</t>
  </si>
  <si>
    <t>李兰萍</t>
  </si>
  <si>
    <t>2006-2-CP-03035-U</t>
  </si>
  <si>
    <t>牛犇</t>
  </si>
  <si>
    <t>210726198009210512</t>
  </si>
  <si>
    <t>13811724364</t>
  </si>
  <si>
    <t>1702号</t>
  </si>
  <si>
    <t>姜斌</t>
  </si>
  <si>
    <t>17</t>
  </si>
  <si>
    <t>2006-3-1D1-00472CJD</t>
  </si>
  <si>
    <t>2006-2-CP-03039-U</t>
  </si>
  <si>
    <t>樊雪强</t>
  </si>
  <si>
    <t>130102197803251532</t>
  </si>
  <si>
    <t>北四环育慧里一区</t>
  </si>
  <si>
    <t>刘磊</t>
  </si>
  <si>
    <t>2006-3-1D1-00474CJD</t>
  </si>
  <si>
    <t>2006-2-CP-03042-U</t>
  </si>
  <si>
    <t>孟超</t>
  </si>
  <si>
    <t>130104195806061519</t>
  </si>
  <si>
    <t>64006668、13701216552</t>
  </si>
  <si>
    <t>京房权证朝私06字第184206号</t>
  </si>
  <si>
    <t>孟秋</t>
  </si>
  <si>
    <t>2006-2-CP-03051-U</t>
  </si>
  <si>
    <t>文春霞</t>
  </si>
  <si>
    <t>11010119740408102X</t>
  </si>
  <si>
    <t>大山子南里</t>
  </si>
  <si>
    <t>丙12号楼</t>
  </si>
  <si>
    <t>7-602</t>
  </si>
  <si>
    <t>段端</t>
  </si>
  <si>
    <t>2006-2-CP-03055-U</t>
  </si>
  <si>
    <t>任珍云</t>
  </si>
  <si>
    <t>152629710921052</t>
  </si>
  <si>
    <t>125幢</t>
  </si>
  <si>
    <t>5-702</t>
  </si>
  <si>
    <t>张玉亮</t>
  </si>
  <si>
    <t>京房权证朝私字第240143号</t>
  </si>
  <si>
    <t>JW-京-11</t>
  </si>
  <si>
    <t>2006-2-CP-03089-U</t>
  </si>
  <si>
    <t>120104197507026315</t>
  </si>
  <si>
    <t>13811930508</t>
  </si>
  <si>
    <t>京房权证朝私06字第186811号</t>
  </si>
  <si>
    <t>王玲</t>
  </si>
  <si>
    <t>2006-2-CP-03105-U</t>
  </si>
  <si>
    <t>王文波、高云</t>
  </si>
  <si>
    <t>370682197711162413、110107198112053126</t>
  </si>
  <si>
    <t>13911312119</t>
  </si>
  <si>
    <t>19E</t>
  </si>
  <si>
    <t>于凤艳</t>
  </si>
  <si>
    <t>2006-2-CP-03107-U</t>
  </si>
  <si>
    <t>李露秋</t>
  </si>
  <si>
    <t>110109198208081212</t>
  </si>
  <si>
    <t>13011812181</t>
  </si>
  <si>
    <t>孟伟</t>
  </si>
  <si>
    <t>2006-2-CP-03122-U</t>
  </si>
  <si>
    <t>王晓杰、包营</t>
  </si>
  <si>
    <t>110111810506881、210802198107101023</t>
  </si>
  <si>
    <t>兴隆家园</t>
  </si>
  <si>
    <t>杜增杰</t>
  </si>
  <si>
    <t>2006-2-CP-03123-U</t>
  </si>
  <si>
    <t>田保良</t>
  </si>
  <si>
    <t>630102197306292913</t>
  </si>
  <si>
    <t>13641090973</t>
  </si>
  <si>
    <t>2-501号</t>
  </si>
  <si>
    <t>张广厚</t>
  </si>
  <si>
    <t>2006-2-CP-03136-U</t>
  </si>
  <si>
    <t>李文钢</t>
  </si>
  <si>
    <t>110223197602081075</t>
  </si>
  <si>
    <t>13911700407</t>
  </si>
  <si>
    <t>17#西幢</t>
  </si>
  <si>
    <t>京房权证朝私06字第184952号</t>
  </si>
  <si>
    <t>郑春兰</t>
  </si>
  <si>
    <t>2006-2-CP-03145-U</t>
  </si>
  <si>
    <t>田永军</t>
  </si>
  <si>
    <t>150304197408272015</t>
  </si>
  <si>
    <t>205号楼</t>
  </si>
  <si>
    <t>陆静</t>
  </si>
  <si>
    <t>2006-2-CP-03155-U</t>
  </si>
  <si>
    <t>杨旭东</t>
  </si>
  <si>
    <t>370624197702164413</t>
  </si>
  <si>
    <t>13810838752</t>
  </si>
  <si>
    <t>望京花园</t>
  </si>
  <si>
    <t>127号楼</t>
  </si>
  <si>
    <t>807号</t>
  </si>
  <si>
    <t>孟根龙</t>
  </si>
  <si>
    <t>2006-3-1D1-00484CJD</t>
  </si>
  <si>
    <t>2006-2-CP-03156-U</t>
  </si>
  <si>
    <t>赵文</t>
  </si>
  <si>
    <t>110105197101241124</t>
  </si>
  <si>
    <t>13621104232</t>
  </si>
  <si>
    <t>雅成一里</t>
  </si>
  <si>
    <t>1410号</t>
  </si>
  <si>
    <t>吴疆</t>
  </si>
  <si>
    <t>北京住房公积金管理中心密云管理部</t>
  </si>
  <si>
    <t>2006-2-CP-03161-U</t>
  </si>
  <si>
    <t>华楠</t>
  </si>
  <si>
    <t>110102197802102339</t>
  </si>
  <si>
    <t>2409号</t>
  </si>
  <si>
    <t>计税价格43万</t>
  </si>
  <si>
    <t>京房权证朝私06字第186204号</t>
  </si>
  <si>
    <t>张正甲</t>
  </si>
  <si>
    <t>2006-2-CP-03170-U</t>
  </si>
  <si>
    <t>庄言</t>
  </si>
  <si>
    <t>11010119640507402X</t>
  </si>
  <si>
    <t>1-402号</t>
  </si>
  <si>
    <t>董月辉</t>
  </si>
  <si>
    <t>2006-2-CP-03175-U</t>
  </si>
  <si>
    <t>白莹</t>
  </si>
  <si>
    <t>532401197811301225</t>
  </si>
  <si>
    <t>87469582</t>
  </si>
  <si>
    <t>D5号楼（京通苑5号楼）</t>
  </si>
  <si>
    <t>宋拥杰</t>
  </si>
  <si>
    <t>2006-2-CP-03188-U</t>
  </si>
  <si>
    <t>李凱弟</t>
  </si>
  <si>
    <t>110105195703101533</t>
  </si>
  <si>
    <t>13601159805</t>
  </si>
  <si>
    <r>
      <t>博大路25号院</t>
    </r>
    <r>
      <rPr>
        <sz val="10"/>
        <rFont val="Times New Roman"/>
        <family val="1"/>
      </rPr>
      <t/>
    </r>
  </si>
  <si>
    <r>
      <t>23号楼</t>
    </r>
    <r>
      <rPr>
        <sz val="10"/>
        <rFont val="Times New Roman"/>
        <family val="1"/>
      </rPr>
      <t/>
    </r>
  </si>
  <si>
    <r>
      <t>2单元</t>
    </r>
    <r>
      <rPr>
        <sz val="10"/>
        <rFont val="Times New Roman"/>
        <family val="1"/>
      </rPr>
      <t/>
    </r>
  </si>
  <si>
    <t>李凯弟</t>
  </si>
  <si>
    <t>京房权证朝私06字第179051号</t>
  </si>
  <si>
    <t>2006-2-CP-03191-U</t>
  </si>
  <si>
    <t>赵颖</t>
  </si>
  <si>
    <t>110108196603214921</t>
  </si>
  <si>
    <t>京房权证朝私06字第187781号</t>
  </si>
  <si>
    <t>马堪福</t>
  </si>
  <si>
    <t>2006-2-CP-03193-U</t>
  </si>
  <si>
    <t>杨爱</t>
  </si>
  <si>
    <t>110105195610192165</t>
  </si>
  <si>
    <t>13701031062、63101083</t>
  </si>
  <si>
    <t>京奥家园</t>
  </si>
  <si>
    <t>（2）-401号</t>
  </si>
  <si>
    <t>陈伟</t>
  </si>
  <si>
    <t>4、跃层</t>
  </si>
  <si>
    <t>五室二厅三卫一厨</t>
  </si>
  <si>
    <t>2006-2-CP-03205-U</t>
  </si>
  <si>
    <t>杜亚芳</t>
  </si>
  <si>
    <t>11010419780210082X</t>
  </si>
  <si>
    <t>13381061652</t>
  </si>
  <si>
    <t>芳园里</t>
  </si>
  <si>
    <t>孙廷俞</t>
  </si>
  <si>
    <t>2006-2-CP-03224-U</t>
  </si>
  <si>
    <t>张虹</t>
  </si>
  <si>
    <t>21060219730630002X</t>
  </si>
  <si>
    <t>13910270691</t>
  </si>
  <si>
    <t>团结湖北三条</t>
  </si>
  <si>
    <t>1层102号</t>
  </si>
  <si>
    <t>吴广京</t>
  </si>
  <si>
    <t>2006-2-CP-03233-U</t>
  </si>
  <si>
    <t>白艳萍</t>
  </si>
  <si>
    <t>110221196908093223</t>
  </si>
  <si>
    <t>13693269038</t>
  </si>
  <si>
    <t>新源西里中街</t>
  </si>
  <si>
    <t>1008号</t>
  </si>
  <si>
    <t>张亚楠</t>
  </si>
  <si>
    <t>2006-3-1D1-00489CJD</t>
  </si>
  <si>
    <t>2006-2-CP-03271-U</t>
  </si>
  <si>
    <t>董伟</t>
  </si>
  <si>
    <t>610302197404302019</t>
  </si>
  <si>
    <t>13521636905</t>
  </si>
  <si>
    <t>1323号</t>
  </si>
  <si>
    <t>何莉</t>
  </si>
  <si>
    <t>2006-2-CP-03326-U</t>
  </si>
  <si>
    <t>闫俊</t>
  </si>
  <si>
    <t>210204197806121416</t>
  </si>
  <si>
    <t>北京住房公积金管理中心贷款中心</t>
  </si>
  <si>
    <t>91302006070054</t>
  </si>
  <si>
    <t>京房权证朝私06字第189344号</t>
  </si>
  <si>
    <t>李建农</t>
  </si>
  <si>
    <t>2006-2-CP-03330-U</t>
  </si>
  <si>
    <t>单丽君</t>
  </si>
  <si>
    <t>210621197401286421</t>
  </si>
  <si>
    <t>13911062650</t>
  </si>
  <si>
    <t>111号楼</t>
  </si>
  <si>
    <t>711号</t>
  </si>
  <si>
    <t>王海利</t>
  </si>
  <si>
    <t>91302006070061</t>
  </si>
  <si>
    <t>2006-2-CP-03339-U</t>
  </si>
  <si>
    <t>王宝奕</t>
  </si>
  <si>
    <t>130205810613391</t>
  </si>
  <si>
    <t>13501011991</t>
  </si>
  <si>
    <t>1905号</t>
  </si>
  <si>
    <t>91302006070077</t>
  </si>
  <si>
    <t>成交价较低</t>
  </si>
  <si>
    <t>京房权证朝私06字第189321号</t>
  </si>
  <si>
    <t>李璟欣</t>
  </si>
  <si>
    <t>2006-2-CP-03397-U</t>
  </si>
  <si>
    <t>段付军</t>
  </si>
  <si>
    <t>341226197901122933</t>
  </si>
  <si>
    <t>13681447508</t>
  </si>
  <si>
    <t>钱海明</t>
  </si>
  <si>
    <t>91302006070175</t>
  </si>
  <si>
    <t>2006-2-CP-03407-U</t>
  </si>
  <si>
    <t>刘淑华</t>
  </si>
  <si>
    <t>110226196001053647</t>
  </si>
  <si>
    <t>13910858070</t>
  </si>
  <si>
    <t>金兴路</t>
  </si>
  <si>
    <t>张立</t>
  </si>
  <si>
    <t>91302006070182</t>
  </si>
  <si>
    <t>2006-2-CP-03443-U</t>
  </si>
  <si>
    <t>张英</t>
  </si>
  <si>
    <t>340822197602280233</t>
  </si>
  <si>
    <t>13501103914</t>
  </si>
  <si>
    <t>周刚</t>
  </si>
  <si>
    <t>二室二厅一卫一厨（原为三室一厅一卫一厨）</t>
  </si>
  <si>
    <t>91302006070224</t>
  </si>
  <si>
    <t>京房权证朝私06字第189183号</t>
  </si>
  <si>
    <t>2006-2-CP-03484-U</t>
  </si>
  <si>
    <t>谷树慧</t>
  </si>
  <si>
    <t>110104195610292549</t>
  </si>
  <si>
    <t>13717956959</t>
  </si>
  <si>
    <t>E座</t>
  </si>
  <si>
    <t>3102号</t>
  </si>
  <si>
    <t>张新宇</t>
  </si>
  <si>
    <t>二室一厅二卫一厨（现为二室一厅一卫一厨）</t>
  </si>
  <si>
    <t>91302006070277</t>
  </si>
  <si>
    <t>2006-2-CP-03506-U</t>
  </si>
  <si>
    <t>徐奇飞</t>
  </si>
  <si>
    <t>370284760712333</t>
  </si>
  <si>
    <t>东三环南路54号院10号楼</t>
  </si>
  <si>
    <t>509号</t>
  </si>
  <si>
    <t>刘晔</t>
  </si>
  <si>
    <t>91302006070313</t>
  </si>
  <si>
    <t>京房权证朝私06字第190389号</t>
  </si>
  <si>
    <t>2006-2-CP-03520-U</t>
  </si>
  <si>
    <t>侯林妹</t>
  </si>
  <si>
    <t>130202197805290928</t>
  </si>
  <si>
    <t>13701330337</t>
  </si>
  <si>
    <t>2单元303号</t>
  </si>
  <si>
    <t>91302006070331</t>
  </si>
  <si>
    <t>京房权证朝私06字第190231号</t>
  </si>
  <si>
    <t>王冠福</t>
  </si>
  <si>
    <t>2006-2-CP-03526-U</t>
  </si>
  <si>
    <t>梁文英</t>
  </si>
  <si>
    <t>14220119730320904X</t>
  </si>
  <si>
    <t>方钦佩</t>
  </si>
  <si>
    <t>91302006070347</t>
  </si>
  <si>
    <t>京房权证朝私06字第189107号</t>
  </si>
  <si>
    <t>2006-2-CP-03532-U</t>
  </si>
  <si>
    <t>潘政伟</t>
  </si>
  <si>
    <t>222403198104304819</t>
  </si>
  <si>
    <t>13811205877</t>
  </si>
  <si>
    <t>2004号</t>
  </si>
  <si>
    <t>陆凤琴</t>
  </si>
  <si>
    <t>91302006070351</t>
  </si>
  <si>
    <t>京房权证朝私06字第189108号</t>
  </si>
  <si>
    <t>2006-2-CP-03546-U</t>
  </si>
  <si>
    <t>武颖</t>
  </si>
  <si>
    <t>110105198005121514</t>
  </si>
  <si>
    <t>双龙南里</t>
  </si>
  <si>
    <t>郭清霞</t>
  </si>
  <si>
    <t>91302006070372</t>
  </si>
  <si>
    <t>40年</t>
  </si>
  <si>
    <t>2006-2-CP-03555-U</t>
  </si>
  <si>
    <t>冯健</t>
  </si>
  <si>
    <t>110101197609301516</t>
  </si>
  <si>
    <t>13381105143</t>
  </si>
  <si>
    <t>和平街13区</t>
  </si>
  <si>
    <t>91302006070386</t>
  </si>
  <si>
    <t>京房权证朝私06字第190400号</t>
  </si>
  <si>
    <t>陶玉灵</t>
  </si>
  <si>
    <t>2006-2-CP-03578-U</t>
  </si>
  <si>
    <t>610113197904291617</t>
  </si>
  <si>
    <t>13331015772</t>
  </si>
  <si>
    <t>谭美炯</t>
  </si>
  <si>
    <t>91302006070420</t>
  </si>
  <si>
    <t>2006-2-CP-03580-U</t>
  </si>
  <si>
    <t>赵卫民</t>
  </si>
  <si>
    <t>320881197306010833</t>
  </si>
  <si>
    <t>13311553683</t>
  </si>
  <si>
    <t>206号</t>
  </si>
  <si>
    <t>京房权证朝私06字第185332号</t>
  </si>
  <si>
    <t>2006-2-CP-03585-U</t>
  </si>
  <si>
    <t>421003770414052</t>
  </si>
  <si>
    <t>12B08号</t>
  </si>
  <si>
    <t>91302006070426</t>
  </si>
  <si>
    <t>京房权证朝私06字第189265号</t>
  </si>
  <si>
    <t>曾昭容</t>
  </si>
  <si>
    <t>2006-2-CP-03613-U</t>
  </si>
  <si>
    <t>刘跃先</t>
  </si>
  <si>
    <t>513026197411294153</t>
  </si>
  <si>
    <t>13911387982</t>
  </si>
  <si>
    <t>和平街西苑</t>
  </si>
  <si>
    <t>张智芬</t>
  </si>
  <si>
    <t>91302006070466</t>
  </si>
  <si>
    <t>2006-2-CP-03616-U</t>
  </si>
  <si>
    <t>毕建涛</t>
  </si>
  <si>
    <t>37063219721120613X</t>
  </si>
  <si>
    <t>13911206680</t>
  </si>
  <si>
    <t>91302006070468</t>
  </si>
  <si>
    <t>2006-2-CP-03621-U</t>
  </si>
  <si>
    <t>张志轩</t>
  </si>
  <si>
    <t>512926197309051313</t>
  </si>
  <si>
    <t>13501127460</t>
  </si>
  <si>
    <t>1门201</t>
  </si>
  <si>
    <t>李艳玲</t>
  </si>
  <si>
    <t>91302006070475</t>
  </si>
  <si>
    <t>京房权证朝私06字第189693号</t>
  </si>
  <si>
    <t>2006-2-CP-03625-U</t>
  </si>
  <si>
    <t>新源里东</t>
  </si>
  <si>
    <t>1门6</t>
  </si>
  <si>
    <t>京房权证朝私06字第190235号</t>
  </si>
  <si>
    <t>蔡秀雯</t>
  </si>
  <si>
    <t>2006-2-CP-03646-U</t>
  </si>
  <si>
    <t>杜育新</t>
  </si>
  <si>
    <t>211302197204150045</t>
  </si>
  <si>
    <t>2006号</t>
  </si>
  <si>
    <t>杨志华</t>
  </si>
  <si>
    <t>19302006070503</t>
  </si>
  <si>
    <t>2006-2-CP-03661-U</t>
  </si>
  <si>
    <t>姚志超</t>
  </si>
  <si>
    <t>11010819730202001X</t>
  </si>
  <si>
    <t>13801074373</t>
  </si>
  <si>
    <t>仰山路万科星园</t>
  </si>
  <si>
    <t>李凤吉</t>
  </si>
  <si>
    <t>91302006070507</t>
  </si>
  <si>
    <t>2006-2-CP-03717-U</t>
  </si>
  <si>
    <t>王霏、李金黎</t>
  </si>
  <si>
    <t>11010519780806861X、130404197806133047</t>
  </si>
  <si>
    <t>13501351207</t>
  </si>
  <si>
    <r>
      <t>常营乡鑫兆佳园</t>
    </r>
    <r>
      <rPr>
        <sz val="10"/>
        <rFont val="Times New Roman"/>
        <family val="1"/>
      </rPr>
      <t/>
    </r>
  </si>
  <si>
    <t>1506号</t>
  </si>
  <si>
    <t>张海忠</t>
  </si>
  <si>
    <t>91302006070613</t>
  </si>
  <si>
    <t>京房权证朝私06字第182378号</t>
  </si>
  <si>
    <t>2006-2-CP-03765-U</t>
  </si>
  <si>
    <t>谷珏华</t>
  </si>
  <si>
    <t>371002198007270526</t>
  </si>
  <si>
    <t>1门152</t>
  </si>
  <si>
    <t>李荣生</t>
  </si>
  <si>
    <t>91302006070698</t>
  </si>
  <si>
    <t>31年</t>
  </si>
  <si>
    <t>2006-2-CP-03770-U</t>
  </si>
  <si>
    <t>袁忠伟</t>
  </si>
  <si>
    <t>110103196609181217</t>
  </si>
  <si>
    <t>13801389022</t>
  </si>
  <si>
    <t>甲20号楼</t>
  </si>
  <si>
    <t>24号</t>
  </si>
  <si>
    <t>王海龙</t>
  </si>
  <si>
    <t>京房权证朝私06字第189692号</t>
  </si>
  <si>
    <t>2006-2-CP-03802-U</t>
  </si>
  <si>
    <t>91302006070750</t>
  </si>
  <si>
    <t>换中心</t>
  </si>
  <si>
    <t>13121690705</t>
  </si>
  <si>
    <t>2006-2-CP-03805-U</t>
  </si>
  <si>
    <t>吴可</t>
  </si>
  <si>
    <t>230102198103243214</t>
  </si>
  <si>
    <t>13811979099</t>
  </si>
  <si>
    <t>邹本浩</t>
  </si>
  <si>
    <t>91302006070754</t>
  </si>
  <si>
    <t>京房权证朝私字第288776号</t>
  </si>
  <si>
    <t>13501368722（王敏）</t>
  </si>
  <si>
    <t>2006-2-CP-03821-U</t>
  </si>
  <si>
    <t>张闻砚</t>
  </si>
  <si>
    <t>110101197407052021</t>
  </si>
  <si>
    <t>团结湖北里</t>
  </si>
  <si>
    <t>3单元602</t>
  </si>
  <si>
    <t>赵少峰</t>
  </si>
  <si>
    <t>91302006070738</t>
  </si>
  <si>
    <t>35年</t>
  </si>
  <si>
    <t>2006-2-CP-03831-U</t>
  </si>
  <si>
    <t>孙卫国</t>
  </si>
  <si>
    <t>110105196809235438</t>
  </si>
  <si>
    <t>13501253419</t>
  </si>
  <si>
    <t>惠新南里五号院</t>
  </si>
  <si>
    <t>周学恭</t>
  </si>
  <si>
    <t>91302006070797</t>
  </si>
  <si>
    <t>2006-2-CP-03866-U</t>
  </si>
  <si>
    <t>李庆秋</t>
  </si>
  <si>
    <t>110105195908280870</t>
  </si>
  <si>
    <t>65866256</t>
  </si>
  <si>
    <r>
      <t>石佛营西里</t>
    </r>
    <r>
      <rPr>
        <sz val="10"/>
        <rFont val="Times New Roman"/>
        <family val="1"/>
      </rPr>
      <t/>
    </r>
  </si>
  <si>
    <t>刘婷婷</t>
  </si>
  <si>
    <t>2006-2-CP-03942-U</t>
  </si>
  <si>
    <t>吴涛</t>
  </si>
  <si>
    <t>140202198012051018</t>
  </si>
  <si>
    <t>13552155311</t>
  </si>
  <si>
    <t>83号楼</t>
  </si>
  <si>
    <t>91302006070982</t>
  </si>
  <si>
    <t>京房权证朝私06字第190537号</t>
  </si>
  <si>
    <t>胡振华</t>
  </si>
  <si>
    <t>13611052158（胡克帝）</t>
  </si>
  <si>
    <t>2006-2-CP-04033-U</t>
  </si>
  <si>
    <t>章金红</t>
  </si>
  <si>
    <t>110104196502201229</t>
  </si>
  <si>
    <t>劲松八区</t>
  </si>
  <si>
    <t>823号楼</t>
  </si>
  <si>
    <t>李先海</t>
  </si>
  <si>
    <t>91302006071110</t>
  </si>
  <si>
    <t>2006-2-CP-04039-U</t>
  </si>
  <si>
    <t>110105197307124548</t>
  </si>
  <si>
    <t>13501394692</t>
  </si>
  <si>
    <t>11-903</t>
  </si>
  <si>
    <t>刘迎辉</t>
  </si>
  <si>
    <t>京房权证朝私字第232241号</t>
  </si>
  <si>
    <t>2006-2-CP-04178-U</t>
  </si>
  <si>
    <t>李楠</t>
  </si>
  <si>
    <t>110105198202161849</t>
  </si>
  <si>
    <t>91302006071334</t>
  </si>
  <si>
    <t>京房权证朝私06字第192173号</t>
  </si>
  <si>
    <t>蔺桂芬</t>
  </si>
  <si>
    <t>2006-2-CP-04202-U</t>
  </si>
  <si>
    <t>王建社</t>
  </si>
  <si>
    <t>110102196310283335</t>
  </si>
  <si>
    <t>2门1104</t>
  </si>
  <si>
    <t>黄利红</t>
  </si>
  <si>
    <t>91302006071386</t>
  </si>
  <si>
    <t>京房权证朝私06字第184021号</t>
  </si>
  <si>
    <t>2006-2-CP-04226-U</t>
  </si>
  <si>
    <t>张士民</t>
  </si>
  <si>
    <t>110226197311180312</t>
  </si>
  <si>
    <t>安慧北里秀园</t>
  </si>
  <si>
    <t>十层</t>
  </si>
  <si>
    <t>赵辉</t>
  </si>
  <si>
    <t>91302006071418</t>
  </si>
  <si>
    <t>2006-2-CP-04238-U</t>
  </si>
  <si>
    <t>王冉</t>
  </si>
  <si>
    <t>110105197902267324</t>
  </si>
  <si>
    <t>13701364131</t>
  </si>
  <si>
    <t>21#号楼</t>
  </si>
  <si>
    <t>1单元1层102</t>
  </si>
  <si>
    <t>朝私更成字第61170号</t>
  </si>
  <si>
    <t>2006-2-CP-04239-U</t>
  </si>
  <si>
    <t>苏艳</t>
  </si>
  <si>
    <t>110103196110180020</t>
  </si>
  <si>
    <t>13911932253</t>
  </si>
  <si>
    <t>十里堡北区</t>
  </si>
  <si>
    <t>16</t>
  </si>
  <si>
    <t>李萍</t>
  </si>
  <si>
    <t>91302006071437</t>
  </si>
  <si>
    <t>2006-2-CP-04280-U</t>
  </si>
  <si>
    <t>毛学锋</t>
  </si>
  <si>
    <t>210404198002130638</t>
  </si>
  <si>
    <t>13810146171</t>
  </si>
  <si>
    <t>西坝河西里</t>
  </si>
  <si>
    <t>徐峰</t>
  </si>
  <si>
    <t>京房权证朝私06字第192204号</t>
  </si>
  <si>
    <t>2006-2-CP-04299-U</t>
  </si>
  <si>
    <t>张梦晗</t>
  </si>
  <si>
    <t>130102780506039</t>
  </si>
  <si>
    <t>13810180578</t>
  </si>
  <si>
    <r>
      <t>7号楼</t>
    </r>
    <r>
      <rPr>
        <sz val="10"/>
        <rFont val="Times New Roman"/>
        <family val="1"/>
      </rPr>
      <t/>
    </r>
  </si>
  <si>
    <t>4门6层601</t>
  </si>
  <si>
    <t>崔淑英</t>
  </si>
  <si>
    <t>朝私更成字第82929号</t>
  </si>
  <si>
    <t>2006-2-CP-04360-U</t>
  </si>
  <si>
    <t>柏莉萍</t>
  </si>
  <si>
    <t>130705810119062</t>
  </si>
  <si>
    <t>13683264949</t>
  </si>
  <si>
    <t>荟康苑小区</t>
  </si>
  <si>
    <t>3门401</t>
  </si>
  <si>
    <t>霍俊田</t>
  </si>
  <si>
    <t>京房权证朝私字第309063号</t>
  </si>
  <si>
    <t>2006-2-CP-04389-U</t>
  </si>
  <si>
    <t>110222197808091811</t>
  </si>
  <si>
    <t>望京东园二区（现为望京东园）</t>
  </si>
  <si>
    <t>二室一厅一卫一厨（带小院）</t>
  </si>
  <si>
    <t>91302006071680</t>
  </si>
  <si>
    <t>京房权证朝私06字第193361号</t>
  </si>
  <si>
    <t>马迎新</t>
  </si>
  <si>
    <t>2006-2-CP-04396-U</t>
  </si>
  <si>
    <t>李宁</t>
  </si>
  <si>
    <t>110108196905272246</t>
  </si>
  <si>
    <t>13146839762</t>
  </si>
  <si>
    <t>团结湖北二条</t>
  </si>
  <si>
    <t>邓素岩</t>
  </si>
  <si>
    <t>2006-2-CP-04409-U</t>
  </si>
  <si>
    <t>沈轩</t>
  </si>
  <si>
    <t>110101198007284514</t>
  </si>
  <si>
    <t>13810597028</t>
  </si>
  <si>
    <t>石敏</t>
  </si>
  <si>
    <t>91302006071651</t>
  </si>
  <si>
    <t>2006-2-CP-04424-U</t>
  </si>
  <si>
    <t>谈耀秋</t>
  </si>
  <si>
    <t>142201471003147</t>
  </si>
  <si>
    <t>13910078030</t>
  </si>
  <si>
    <t>西大望路19号院</t>
  </si>
  <si>
    <t>宋国芳</t>
  </si>
  <si>
    <t>2006-2-CP-04427-U</t>
  </si>
  <si>
    <t>张甫会</t>
  </si>
  <si>
    <t>110226197502151418</t>
  </si>
  <si>
    <t>13601359206</t>
  </si>
  <si>
    <t>盖迎新</t>
  </si>
  <si>
    <t>91302006071742</t>
  </si>
  <si>
    <t>京房权证朝私字第6922号</t>
  </si>
  <si>
    <t>2006-2-CP-04430-U</t>
  </si>
  <si>
    <t>姚玉强</t>
  </si>
  <si>
    <t>371081197806123013</t>
  </si>
  <si>
    <t>一室二厅一卫一厨（原为二室一厅一卫一厨）</t>
  </si>
  <si>
    <t>91302006071748</t>
  </si>
  <si>
    <t>计税价39.1万</t>
  </si>
  <si>
    <t>京房权证朝私06字第191683号</t>
  </si>
  <si>
    <t>周铭</t>
  </si>
  <si>
    <t>13611372417、62054317</t>
  </si>
  <si>
    <t>2006-2-CP-04451-U</t>
  </si>
  <si>
    <t>毛翔宇</t>
  </si>
  <si>
    <t>120101198207064518</t>
  </si>
  <si>
    <t>13323378372</t>
  </si>
  <si>
    <t>91302006071778</t>
  </si>
  <si>
    <t>京房权证朝私06字第194163号</t>
  </si>
  <si>
    <t>2006-2-CP-04452-U</t>
  </si>
  <si>
    <t>肖亚娜</t>
  </si>
  <si>
    <t>11010119801012452X</t>
  </si>
  <si>
    <t>13552943351</t>
  </si>
  <si>
    <t>力源里</t>
  </si>
  <si>
    <t>王鑫德</t>
  </si>
  <si>
    <t>91302006071783</t>
  </si>
  <si>
    <t>京房权证朝私06字第193381号</t>
  </si>
  <si>
    <t>2006-2-CP-04463-U</t>
  </si>
  <si>
    <t>马辉</t>
  </si>
  <si>
    <t>110102197105010412</t>
  </si>
  <si>
    <t>13651241600</t>
  </si>
  <si>
    <t>2门13号</t>
  </si>
  <si>
    <t>李山林</t>
  </si>
  <si>
    <t>京房权证朝私05字第326586号</t>
  </si>
  <si>
    <t>2006-2-CP-04482-U</t>
  </si>
  <si>
    <t>刘强</t>
  </si>
  <si>
    <t>210904197712291519</t>
  </si>
  <si>
    <t>王仁湘</t>
  </si>
  <si>
    <t>2006-2-CP-04500-U</t>
  </si>
  <si>
    <t>高建波</t>
  </si>
  <si>
    <t>110222197608203516</t>
  </si>
  <si>
    <t>周旻等</t>
  </si>
  <si>
    <t>91302006080027</t>
  </si>
  <si>
    <t>周旻、周满堂、张桂铃</t>
  </si>
  <si>
    <t>2006-2-CP-04512-U</t>
  </si>
  <si>
    <t>朱航、李卉</t>
  </si>
  <si>
    <t>210722197410190618、520302197912282024</t>
  </si>
  <si>
    <t>13901178561</t>
  </si>
  <si>
    <t>2701号</t>
  </si>
  <si>
    <t>朱航</t>
  </si>
  <si>
    <t>91302006080048</t>
  </si>
  <si>
    <t>共有权人：李卉</t>
  </si>
  <si>
    <t>京房权证朝私06字第193950号</t>
  </si>
  <si>
    <t>伊险峰</t>
  </si>
  <si>
    <t>2006-2-CP-04524-U</t>
  </si>
  <si>
    <t>匡紫</t>
  </si>
  <si>
    <t>210882197807103043</t>
  </si>
  <si>
    <t>5-501号</t>
  </si>
  <si>
    <t>宋冀生</t>
  </si>
  <si>
    <t>91302006080067</t>
  </si>
  <si>
    <t>京房权证朝私06字第192542号</t>
  </si>
  <si>
    <t>2006-2-CP-04529-U</t>
  </si>
  <si>
    <t>梁向阳</t>
  </si>
  <si>
    <t>620102196801265342</t>
  </si>
  <si>
    <t>毛学军</t>
  </si>
  <si>
    <t>91302006080036</t>
  </si>
  <si>
    <t>2006-2-CP-04623-U</t>
  </si>
  <si>
    <t>阚凯</t>
  </si>
  <si>
    <t>110105197810250832</t>
  </si>
  <si>
    <t>13366656831</t>
  </si>
  <si>
    <t>徐斌</t>
  </si>
  <si>
    <t>二室一厅一卫一厨（原为三室一厅一卫一厨）</t>
  </si>
  <si>
    <t>91302006080243</t>
  </si>
  <si>
    <t>13901022477、51301127</t>
  </si>
  <si>
    <t>2006-2-CP-04629-U</t>
  </si>
  <si>
    <t>周坦武</t>
  </si>
  <si>
    <t>420111197805074109</t>
  </si>
  <si>
    <t>双桥街七号院</t>
  </si>
  <si>
    <t>方平</t>
  </si>
  <si>
    <t>91302006080249</t>
  </si>
  <si>
    <t>2006-2-CP-04630-U</t>
  </si>
  <si>
    <t>王伟辉</t>
  </si>
  <si>
    <t>11010819760501862X</t>
  </si>
  <si>
    <t>13681377156</t>
  </si>
  <si>
    <t>14G</t>
  </si>
  <si>
    <t>裴容欣</t>
  </si>
  <si>
    <t>2006-2-CP-04631-U</t>
  </si>
  <si>
    <t>吴全伟</t>
  </si>
  <si>
    <t>150204197605270013</t>
  </si>
  <si>
    <t>13683336202</t>
  </si>
  <si>
    <t>3层302</t>
  </si>
  <si>
    <t>张秀文</t>
  </si>
  <si>
    <t>2006-2-CP-04653-U</t>
  </si>
  <si>
    <t>李浩锋、张杨</t>
  </si>
  <si>
    <t>110227198012100037、110227198111290147</t>
  </si>
  <si>
    <t>13661232763</t>
  </si>
  <si>
    <t>周淑莲</t>
  </si>
  <si>
    <t>2006-2-CP-04653-U-1</t>
  </si>
  <si>
    <t>2006-2-CP-04662-U</t>
  </si>
  <si>
    <t>汪湃</t>
  </si>
  <si>
    <t>110108197609031426</t>
  </si>
  <si>
    <t>姜勃</t>
  </si>
  <si>
    <t>91302006080294</t>
  </si>
  <si>
    <t>2006-2-CP-04753-U</t>
  </si>
  <si>
    <t>孙亚东</t>
  </si>
  <si>
    <t>110103197102010616</t>
  </si>
  <si>
    <t>13910201712</t>
  </si>
  <si>
    <t>张利</t>
  </si>
  <si>
    <t>91302006080448</t>
  </si>
  <si>
    <t>京房权证朝私06字第195464号</t>
  </si>
  <si>
    <t>2006-2-CP-04773-U</t>
  </si>
  <si>
    <t>张春玲</t>
  </si>
  <si>
    <t>231004197804161223</t>
  </si>
  <si>
    <t>13693270531、13811300092</t>
  </si>
  <si>
    <t>小关街</t>
  </si>
  <si>
    <t>甲51号楼</t>
  </si>
  <si>
    <r>
      <t>5层</t>
    </r>
    <r>
      <rPr>
        <sz val="10"/>
        <rFont val="Times New Roman"/>
        <family val="1"/>
      </rPr>
      <t/>
    </r>
  </si>
  <si>
    <t>1号</t>
  </si>
  <si>
    <t>91302006080480</t>
  </si>
  <si>
    <t>京房权证朝私06字第195477号</t>
  </si>
  <si>
    <t>范国仁</t>
  </si>
  <si>
    <t>2006-2-CP-04776-U</t>
  </si>
  <si>
    <t>安宏超</t>
  </si>
  <si>
    <t>610324198005020017</t>
  </si>
  <si>
    <t>2单元1301</t>
  </si>
  <si>
    <t>张立群</t>
  </si>
  <si>
    <t>2006-2-CP-04858-U</t>
  </si>
  <si>
    <t>岳建昌、左莉</t>
  </si>
  <si>
    <t>132401197307086912、150302197511141520</t>
  </si>
  <si>
    <t>1204号</t>
  </si>
  <si>
    <t>王连祥</t>
  </si>
  <si>
    <t>91302006080622</t>
  </si>
  <si>
    <t>京房权证朝私字第268027号</t>
  </si>
  <si>
    <t>2006-2-CP-04880-U</t>
  </si>
  <si>
    <t>姜红梅、姜红雷</t>
  </si>
  <si>
    <t>110111198007093825、110111197607023818</t>
  </si>
  <si>
    <t>13911925445</t>
  </si>
  <si>
    <t>91302006080660</t>
  </si>
  <si>
    <t>京房权证朝私06字第194513号</t>
  </si>
  <si>
    <t>郑杨</t>
  </si>
  <si>
    <t>2006-2-CP-04901-U</t>
  </si>
  <si>
    <t>王妹红</t>
  </si>
  <si>
    <t>410403197203120547</t>
  </si>
  <si>
    <t>左家庄四区</t>
  </si>
  <si>
    <t>田小元</t>
  </si>
  <si>
    <t>91302006080687</t>
  </si>
  <si>
    <t>京房权证朝私字第175681号</t>
  </si>
  <si>
    <t>2006-2-CP-04935-U</t>
  </si>
  <si>
    <t>孙文杰</t>
  </si>
  <si>
    <t>110105196012155836</t>
  </si>
  <si>
    <t>13651220168、84597099</t>
  </si>
  <si>
    <t>朝新嘉园东里一区</t>
  </si>
  <si>
    <t>胡玉春</t>
  </si>
  <si>
    <t>可抵押经济适用房</t>
  </si>
  <si>
    <t>含中介费及装修</t>
  </si>
  <si>
    <t>2006-2-CP-04945-U</t>
  </si>
  <si>
    <t>姚姗姗</t>
  </si>
  <si>
    <t>11010819740208976X</t>
  </si>
  <si>
    <t>13911121633</t>
  </si>
  <si>
    <t>花虎沟36号</t>
  </si>
  <si>
    <t>二层3021号</t>
  </si>
  <si>
    <t>杨淑香</t>
  </si>
  <si>
    <t>91302006080762</t>
  </si>
  <si>
    <t>13910635186、82416905</t>
  </si>
  <si>
    <t>2006-2-CP-04998-U</t>
  </si>
  <si>
    <t>陆志宏</t>
  </si>
  <si>
    <t>110105711118522</t>
  </si>
  <si>
    <t>顺源里</t>
  </si>
  <si>
    <t>赵慧</t>
  </si>
  <si>
    <t>2006-2-CP-05003-U</t>
  </si>
  <si>
    <t>马沛卿</t>
  </si>
  <si>
    <t>642226197212020255</t>
  </si>
  <si>
    <t>13651298666</t>
  </si>
  <si>
    <t>214号楼</t>
  </si>
  <si>
    <t>代之虹</t>
  </si>
  <si>
    <t>91302006080849</t>
  </si>
  <si>
    <t>2006-2-CP-05007-U</t>
  </si>
  <si>
    <t>杨萍</t>
  </si>
  <si>
    <t>130402198009202443</t>
  </si>
  <si>
    <t>13810327720</t>
  </si>
  <si>
    <t>131号楼</t>
  </si>
  <si>
    <t>352号</t>
  </si>
  <si>
    <t>毕红卫</t>
  </si>
  <si>
    <t>91302006080725</t>
  </si>
  <si>
    <t>避税价，实际成交价为48万</t>
  </si>
  <si>
    <t>2006-2-CP-05039-U</t>
  </si>
  <si>
    <t>常磊</t>
  </si>
  <si>
    <t>62010219770721691X</t>
  </si>
  <si>
    <t>13910232341</t>
  </si>
  <si>
    <t>1幢</t>
  </si>
  <si>
    <t>91302006080898</t>
  </si>
  <si>
    <t>2006-2-CP-05055-U</t>
  </si>
  <si>
    <t>陶舜莉</t>
  </si>
  <si>
    <t>330501780223002</t>
  </si>
  <si>
    <t>13511026913</t>
  </si>
  <si>
    <t>91302006080918</t>
  </si>
  <si>
    <t>京房权证朝私06字第195870号</t>
  </si>
  <si>
    <t>姜桂红</t>
  </si>
  <si>
    <t>2006-2-CP-05097-U</t>
  </si>
  <si>
    <t>章永平</t>
  </si>
  <si>
    <t>362523197505296810</t>
  </si>
  <si>
    <t>徐伯英</t>
  </si>
  <si>
    <t>91302006080998</t>
  </si>
  <si>
    <t>2006-2-CP-05108-U</t>
  </si>
  <si>
    <t>张书刚</t>
  </si>
  <si>
    <t>370624197208304011</t>
  </si>
  <si>
    <t>13911316902</t>
  </si>
  <si>
    <t>孟兆贤</t>
  </si>
  <si>
    <t>91302006081012</t>
  </si>
  <si>
    <t>2006-2-CP-05120-U</t>
  </si>
  <si>
    <t>梅伟</t>
  </si>
  <si>
    <t>429001197911250487</t>
  </si>
  <si>
    <t>82025050</t>
  </si>
  <si>
    <t>216号楼</t>
  </si>
  <si>
    <t>1701号</t>
  </si>
  <si>
    <t>张波</t>
  </si>
  <si>
    <t>91302006081031</t>
  </si>
  <si>
    <t>2006-2-CP-05151-U</t>
  </si>
  <si>
    <t>郝大志</t>
  </si>
  <si>
    <t>211481198111080012</t>
  </si>
  <si>
    <t>13810518141</t>
  </si>
  <si>
    <t>范光伟</t>
  </si>
  <si>
    <t>91302006081072</t>
  </si>
  <si>
    <t>2006-2-CP-05178-U</t>
  </si>
  <si>
    <t>赵玮</t>
  </si>
  <si>
    <t>110101198006163534</t>
  </si>
  <si>
    <t>13601283493</t>
  </si>
  <si>
    <t>91302006081114</t>
  </si>
  <si>
    <t>京房权证朝私06字第205582号</t>
  </si>
  <si>
    <t>马艳芬</t>
  </si>
  <si>
    <t>2006-2-CP-05181-U</t>
  </si>
  <si>
    <t>张伊文</t>
  </si>
  <si>
    <t>320402197712021223</t>
  </si>
  <si>
    <t>910号</t>
  </si>
  <si>
    <t>余钊</t>
  </si>
  <si>
    <t>91302006081118</t>
  </si>
  <si>
    <t>2006-2-CP-05183-U</t>
  </si>
  <si>
    <t>王丽</t>
  </si>
  <si>
    <t>110102196309170042</t>
  </si>
  <si>
    <t>13381211898</t>
  </si>
  <si>
    <t>大黄庄南里</t>
  </si>
  <si>
    <t>京房权证朝私06字第202822号</t>
  </si>
  <si>
    <t>王彦群</t>
  </si>
  <si>
    <t>2006-2-CP-05184-U</t>
  </si>
  <si>
    <t>李统福</t>
  </si>
  <si>
    <t>450203197906220014</t>
  </si>
  <si>
    <t>801号</t>
  </si>
  <si>
    <t>李健军</t>
  </si>
  <si>
    <t>91302006081108</t>
  </si>
  <si>
    <t>朋友</t>
  </si>
  <si>
    <t>2006-2-CP-05210-U</t>
  </si>
  <si>
    <t>黄莉</t>
  </si>
  <si>
    <t>412901197810073507</t>
  </si>
  <si>
    <t>陈志强</t>
  </si>
  <si>
    <t>91302006081153</t>
  </si>
  <si>
    <t>京房权证朝私06字第195493号</t>
  </si>
  <si>
    <t>2006-2-CP-05230-U</t>
  </si>
  <si>
    <t>周卿</t>
  </si>
  <si>
    <t>130404197908293025</t>
  </si>
  <si>
    <t>13810498820</t>
  </si>
  <si>
    <t>百子湾路甲16号3号楼0713号</t>
  </si>
  <si>
    <t>京房权证朝私06字第196020号</t>
  </si>
  <si>
    <t>郎文集</t>
  </si>
  <si>
    <t>2006-2-CP-05241-U</t>
  </si>
  <si>
    <t>阎华东</t>
  </si>
  <si>
    <t>140411197801080412</t>
  </si>
  <si>
    <t>13581574536</t>
  </si>
  <si>
    <t>91302006081220</t>
  </si>
  <si>
    <t>京房权证朝私06字第201178号</t>
  </si>
  <si>
    <t>2006-2-CP-05255-U</t>
  </si>
  <si>
    <t>吴刚</t>
  </si>
  <si>
    <t>650300197408222459</t>
  </si>
  <si>
    <t>13910143519</t>
  </si>
  <si>
    <t>来春园</t>
  </si>
  <si>
    <t>史慧洁</t>
  </si>
  <si>
    <t>91302006081238</t>
  </si>
  <si>
    <t>2006-2-CP-05266-U</t>
  </si>
  <si>
    <t>周丽颖</t>
  </si>
  <si>
    <t>110101197302152560</t>
  </si>
  <si>
    <t>13521300673</t>
  </si>
  <si>
    <t>惠新西里一区</t>
  </si>
  <si>
    <t>杜桂祥</t>
  </si>
  <si>
    <t>91302006081258</t>
  </si>
  <si>
    <t>2006-2-CP-05304-U</t>
  </si>
  <si>
    <t>赵英</t>
  </si>
  <si>
    <t>11010819740802334X</t>
  </si>
  <si>
    <t>安慧里四区</t>
  </si>
  <si>
    <t>谢志斌</t>
  </si>
  <si>
    <t>91302006081324</t>
  </si>
  <si>
    <t>2006-2-CP-05308-U</t>
  </si>
  <si>
    <t>关岳</t>
  </si>
  <si>
    <t>110102197604233012</t>
  </si>
  <si>
    <t>13552464847</t>
  </si>
  <si>
    <t>姜训镜、许家昌</t>
  </si>
  <si>
    <t>91302006081015</t>
  </si>
  <si>
    <t>13501054429、13601184250</t>
  </si>
  <si>
    <t>2006-2-CP-05312-U</t>
  </si>
  <si>
    <t>冯宇</t>
  </si>
  <si>
    <t>110101197707214539</t>
  </si>
  <si>
    <t>双井东院</t>
  </si>
  <si>
    <t>2-805号</t>
  </si>
  <si>
    <t>91302006081334</t>
  </si>
  <si>
    <t>2006-2-CP-05315-U</t>
  </si>
  <si>
    <t>袁岭</t>
  </si>
  <si>
    <t>110106197906272725</t>
  </si>
  <si>
    <t>1514号</t>
  </si>
  <si>
    <t>岳淮</t>
  </si>
  <si>
    <t>91302006081341</t>
  </si>
  <si>
    <t>52年</t>
  </si>
  <si>
    <t>2006-2-CP-05319-U</t>
  </si>
  <si>
    <t>王小雷</t>
  </si>
  <si>
    <t>110105197604111110</t>
  </si>
  <si>
    <t>13366693590</t>
  </si>
  <si>
    <t>贺群慧、刘旭</t>
  </si>
  <si>
    <t>91302006081273</t>
  </si>
  <si>
    <t>13601242579、13910672131</t>
  </si>
  <si>
    <t>2006-2-CP-05322-U</t>
  </si>
  <si>
    <t>闫明</t>
  </si>
  <si>
    <t>152622197910162517</t>
  </si>
  <si>
    <t>1807号</t>
  </si>
  <si>
    <t>郎义山</t>
  </si>
  <si>
    <t>91302006081351</t>
  </si>
  <si>
    <t>43年</t>
  </si>
  <si>
    <t>京房权证朝私06字第198962号</t>
  </si>
  <si>
    <t>2006-2-CP-05327-U</t>
  </si>
  <si>
    <t>赵玉梅</t>
  </si>
  <si>
    <t>110225195510210048</t>
  </si>
  <si>
    <t>曹颖</t>
  </si>
  <si>
    <t>91302006081352</t>
  </si>
  <si>
    <t>2006-2-CP-05331-U</t>
  </si>
  <si>
    <t>刘娟</t>
  </si>
  <si>
    <t>110223198006120044</t>
  </si>
  <si>
    <t>415号楼</t>
  </si>
  <si>
    <t>十七层</t>
  </si>
  <si>
    <t>1704号</t>
  </si>
  <si>
    <t>张海燕</t>
  </si>
  <si>
    <t>91302006081367</t>
  </si>
  <si>
    <t>计税价46万</t>
  </si>
  <si>
    <t>2006-2-CP-05356-U</t>
  </si>
  <si>
    <t>王世伟</t>
  </si>
  <si>
    <t>210225197807290176</t>
  </si>
  <si>
    <t>13439659923</t>
  </si>
  <si>
    <t>田少仁</t>
  </si>
  <si>
    <t>91302006081402</t>
  </si>
  <si>
    <t>2006-2-CP-05370-U</t>
  </si>
  <si>
    <t>高虹颖</t>
  </si>
  <si>
    <t>230103720906518</t>
  </si>
  <si>
    <t>13701324789</t>
  </si>
  <si>
    <t>广顺南大街21号</t>
  </si>
  <si>
    <t>91302006081371</t>
  </si>
  <si>
    <t>李峰</t>
  </si>
  <si>
    <t>2006-2-CP-05379-U</t>
  </si>
  <si>
    <t>彭岩</t>
  </si>
  <si>
    <t>130123197702080027</t>
  </si>
  <si>
    <t>91302006081443</t>
  </si>
  <si>
    <t>京房权证朝私06字第200701号</t>
  </si>
  <si>
    <t>王振亭</t>
  </si>
  <si>
    <t>2006-2-CP-05393-U</t>
  </si>
  <si>
    <t>谢福海</t>
  </si>
  <si>
    <t>110101197306292536</t>
  </si>
  <si>
    <t>13901359374</t>
  </si>
  <si>
    <t>一室二厅一卫一厨（原为二室二厅一卫一厨）</t>
  </si>
  <si>
    <t>91302006081474</t>
  </si>
  <si>
    <t>京房权证朝私06字第196530号</t>
  </si>
  <si>
    <t>李俊丽</t>
  </si>
  <si>
    <t>2006-2-CP-05402-U</t>
  </si>
  <si>
    <t>舒晨</t>
  </si>
  <si>
    <t>110102701211046</t>
  </si>
  <si>
    <t>13911285453</t>
  </si>
  <si>
    <t>91302006081478</t>
  </si>
  <si>
    <t>京房权证朝私06字第196946号</t>
  </si>
  <si>
    <t>刘方成</t>
  </si>
  <si>
    <t>2006-2-CP-05417-U</t>
  </si>
  <si>
    <t>周进</t>
  </si>
  <si>
    <t>342623197709197138</t>
  </si>
  <si>
    <t>68007469、13691211051</t>
  </si>
  <si>
    <t>308号楼</t>
  </si>
  <si>
    <t>肖丽</t>
  </si>
  <si>
    <t>91302006081511</t>
  </si>
  <si>
    <t>2006-2-CP-05432-U</t>
  </si>
  <si>
    <t>110105197801201510</t>
  </si>
  <si>
    <t>13311065215</t>
  </si>
  <si>
    <t>1210号</t>
  </si>
  <si>
    <t>汪俊刚</t>
  </si>
  <si>
    <t>91302006081549</t>
  </si>
  <si>
    <t>2006-2-CP-05471-U</t>
  </si>
  <si>
    <t>110101197811204525</t>
  </si>
  <si>
    <t>84226995</t>
  </si>
  <si>
    <t>赵富荣</t>
  </si>
  <si>
    <t>91302006081618</t>
  </si>
  <si>
    <t>实际成交：51万/6346</t>
  </si>
  <si>
    <t>非正常</t>
  </si>
  <si>
    <t>避税价</t>
  </si>
  <si>
    <t>2006-2-CP-05483-U</t>
  </si>
  <si>
    <t>110102197302201138</t>
  </si>
  <si>
    <t>13671197612</t>
  </si>
  <si>
    <t>91302006081644</t>
  </si>
  <si>
    <t>双方认识</t>
  </si>
  <si>
    <t>京房权证朝私06字第199156号</t>
  </si>
  <si>
    <t>张岩</t>
  </si>
  <si>
    <t>13718579588、84621099</t>
  </si>
  <si>
    <t>2006-2-CP-05507-U</t>
  </si>
  <si>
    <t>付智华</t>
  </si>
  <si>
    <t>110225196503255920</t>
  </si>
  <si>
    <t>13701088800</t>
  </si>
  <si>
    <r>
      <t>双桥路双柳巷</t>
    </r>
    <r>
      <rPr>
        <sz val="10"/>
        <rFont val="Times New Roman"/>
        <family val="1"/>
      </rPr>
      <t/>
    </r>
  </si>
  <si>
    <t>高长起</t>
  </si>
  <si>
    <t>91302006081690</t>
  </si>
  <si>
    <t>27年</t>
  </si>
  <si>
    <t>2006-2-CP-05511-U</t>
  </si>
  <si>
    <t>周光</t>
  </si>
  <si>
    <t>110102197006050427</t>
  </si>
  <si>
    <t>盖剑高</t>
  </si>
  <si>
    <t>91302006081700</t>
  </si>
  <si>
    <t>47年</t>
  </si>
  <si>
    <t>2006-2-CP-05540-U</t>
  </si>
  <si>
    <t>陈博</t>
  </si>
  <si>
    <t>421023198208060038</t>
  </si>
  <si>
    <t>13810366476</t>
  </si>
  <si>
    <t>王本利、王雅晴</t>
  </si>
  <si>
    <t>91302006081758</t>
  </si>
  <si>
    <t>2006-2-CP-05567-U</t>
  </si>
  <si>
    <t>张毅</t>
  </si>
  <si>
    <t>110105197707198618</t>
  </si>
  <si>
    <t>13522192219</t>
  </si>
  <si>
    <t>1-203号</t>
  </si>
  <si>
    <t>91302006081800</t>
  </si>
  <si>
    <t>京房权证朝私06字第201626号</t>
  </si>
  <si>
    <t>闫焕宇</t>
  </si>
  <si>
    <t>64422751、81405888</t>
  </si>
  <si>
    <t>2006-2-CP-05618-U</t>
  </si>
  <si>
    <t>沈军</t>
  </si>
  <si>
    <t>110223196711301060</t>
  </si>
  <si>
    <t>13661113189</t>
  </si>
  <si>
    <t>小关东街</t>
  </si>
  <si>
    <t>陶仪兰</t>
  </si>
  <si>
    <t>91302006090068</t>
  </si>
  <si>
    <t>实际成交价48万</t>
  </si>
  <si>
    <t>2006-2-CP-05688-U</t>
  </si>
  <si>
    <t>刘建永</t>
  </si>
  <si>
    <t>131128198103151230</t>
  </si>
  <si>
    <t>13994211850</t>
  </si>
  <si>
    <t>松榆西里34号楼</t>
  </si>
  <si>
    <t>朝私优字第80144号</t>
  </si>
  <si>
    <t>2006-2-CP-05809-U</t>
  </si>
  <si>
    <t>牛屏</t>
  </si>
  <si>
    <t>110108198004256029</t>
  </si>
  <si>
    <t>3门209</t>
  </si>
  <si>
    <t>91302006090378</t>
  </si>
  <si>
    <t>杨志刚</t>
  </si>
  <si>
    <t>2006-2-CP-05811-U</t>
  </si>
  <si>
    <t>420111197701275635</t>
  </si>
  <si>
    <t>13501012736</t>
  </si>
  <si>
    <t>李志仁</t>
  </si>
  <si>
    <t>91302006090389</t>
  </si>
  <si>
    <t>13801364643</t>
  </si>
  <si>
    <t>2006-2-CP-05851-U</t>
  </si>
  <si>
    <t>刘苗苗</t>
  </si>
  <si>
    <t>110101197310084529</t>
  </si>
  <si>
    <t>东大桥斜街</t>
  </si>
  <si>
    <t>2门501</t>
  </si>
  <si>
    <t>路景虹</t>
  </si>
  <si>
    <t>91302006090458</t>
  </si>
  <si>
    <t>2006-2-CP-05863-U</t>
  </si>
  <si>
    <t>何勇</t>
  </si>
  <si>
    <t>210403197706271534</t>
  </si>
  <si>
    <t>13811803780</t>
  </si>
  <si>
    <t>砖角楼北里</t>
  </si>
  <si>
    <t>5层14号</t>
  </si>
  <si>
    <t>毕泗顺</t>
  </si>
  <si>
    <t>91302006090480</t>
  </si>
  <si>
    <t>2006-2-CP-05873-U</t>
  </si>
  <si>
    <t>高春</t>
  </si>
  <si>
    <t>640202197903140042</t>
  </si>
  <si>
    <t>13581895816</t>
  </si>
  <si>
    <t>左家庄东里</t>
  </si>
  <si>
    <t>4-403号</t>
  </si>
  <si>
    <t>张秋花</t>
  </si>
  <si>
    <t>91302006090489</t>
  </si>
  <si>
    <t>2006-2-CP-05917-U</t>
  </si>
  <si>
    <t>131082198101020846</t>
  </si>
  <si>
    <t>广渠路66号院</t>
  </si>
  <si>
    <t>2201号</t>
  </si>
  <si>
    <t>赵新</t>
  </si>
  <si>
    <t>91302006090550</t>
  </si>
  <si>
    <t>59年</t>
  </si>
  <si>
    <t>2006-2-CP-05970-U</t>
  </si>
  <si>
    <t>吴小兰</t>
  </si>
  <si>
    <t>110108198102015421</t>
  </si>
  <si>
    <t>13810162210</t>
  </si>
  <si>
    <t>安苑东里一区</t>
  </si>
  <si>
    <t>毕文越</t>
  </si>
  <si>
    <t>91302006090625</t>
  </si>
  <si>
    <t>2006-2-CP-05994-U</t>
  </si>
  <si>
    <t>蒋敏虎</t>
  </si>
  <si>
    <t>320421741014271</t>
  </si>
  <si>
    <t>13511075863</t>
  </si>
  <si>
    <t>黄剑斌</t>
  </si>
  <si>
    <t>91302006090663</t>
  </si>
  <si>
    <t>2006-2-CP-06000-U</t>
  </si>
  <si>
    <t>钱军燕</t>
  </si>
  <si>
    <t>330823197903161128</t>
  </si>
  <si>
    <t>13910934631</t>
  </si>
  <si>
    <t>12门1202</t>
  </si>
  <si>
    <t>项飞</t>
  </si>
  <si>
    <t>91302006090678</t>
  </si>
  <si>
    <t>2006-2-CP-06031-U</t>
  </si>
  <si>
    <t>王威</t>
  </si>
  <si>
    <t>110105198007035417</t>
  </si>
  <si>
    <t>13501167609</t>
  </si>
  <si>
    <t>静安东里</t>
  </si>
  <si>
    <t>张婉华</t>
  </si>
  <si>
    <t>91302006090697</t>
  </si>
  <si>
    <t>2006-3-1D1-00628CJD</t>
  </si>
  <si>
    <t>2006-2-CP-06054-U</t>
  </si>
  <si>
    <t>汪映蕖</t>
  </si>
  <si>
    <t>420202197705270427</t>
  </si>
  <si>
    <t>1910号</t>
  </si>
  <si>
    <t>高芃</t>
  </si>
  <si>
    <t>91302006090786</t>
  </si>
  <si>
    <t>55年</t>
  </si>
  <si>
    <t>京房权证朝私06字第203445号</t>
  </si>
  <si>
    <t>2006-2-CP-06105-U</t>
  </si>
  <si>
    <t>申成磊</t>
  </si>
  <si>
    <t>410726197911010016</t>
  </si>
  <si>
    <t>13910097126</t>
  </si>
  <si>
    <t>和平街11区24号楼</t>
  </si>
  <si>
    <t>743号</t>
  </si>
  <si>
    <t>京房权证朝私06字第205429号</t>
  </si>
  <si>
    <t>何永政</t>
  </si>
  <si>
    <t>2006-2-CP-06142-U</t>
  </si>
  <si>
    <t>杨漫</t>
  </si>
  <si>
    <t>110101197209264533</t>
  </si>
  <si>
    <t>13701006969</t>
  </si>
  <si>
    <t>91302006090925</t>
  </si>
  <si>
    <t>可抵押成本价出售住房</t>
  </si>
  <si>
    <t>京房权证朝私06字第338979号</t>
  </si>
  <si>
    <t>汪辉</t>
  </si>
  <si>
    <t>2006-2-CP-06148-U</t>
  </si>
  <si>
    <t>杨蓓</t>
  </si>
  <si>
    <t>420106197908094443</t>
  </si>
  <si>
    <t>13581836636</t>
  </si>
  <si>
    <t>913020060909333</t>
  </si>
  <si>
    <t>京房权证朝私06字第32582号（经济适用住房）</t>
  </si>
  <si>
    <t>脱旭</t>
  </si>
  <si>
    <t>2006-2-CP-06167-U</t>
  </si>
  <si>
    <t>张珂</t>
  </si>
  <si>
    <t>370103197105232511</t>
  </si>
  <si>
    <t>13910290298、63950099-665</t>
  </si>
  <si>
    <t>石佛营东里105号内</t>
  </si>
  <si>
    <t>信德全</t>
  </si>
  <si>
    <t>一室一厅一卫一厨（原为二室一厅一卫一厨）</t>
  </si>
  <si>
    <t>2006-3-1D1-631CJD</t>
  </si>
  <si>
    <t>2006-2-CP-06184-U</t>
  </si>
  <si>
    <t>刘颖芳</t>
  </si>
  <si>
    <t>110105197305048721</t>
  </si>
  <si>
    <t>13311189987</t>
  </si>
  <si>
    <t>望京西路50号院</t>
  </si>
  <si>
    <t>2002号</t>
  </si>
  <si>
    <t>91302006090998</t>
  </si>
  <si>
    <t>京房权证朝私06字第203656号</t>
  </si>
  <si>
    <t>常天鹃</t>
  </si>
  <si>
    <t>含出让金、家居、装修</t>
  </si>
  <si>
    <t>2006-2-CP-06222-U</t>
  </si>
  <si>
    <t>应希</t>
  </si>
  <si>
    <t>610102790418240</t>
  </si>
  <si>
    <t>85252999</t>
  </si>
  <si>
    <t>黑鹏</t>
  </si>
  <si>
    <t>91302006091047</t>
  </si>
  <si>
    <t>2006-2-CP-06238-U</t>
  </si>
  <si>
    <t>唐铭</t>
  </si>
  <si>
    <t>110105197403255417</t>
  </si>
  <si>
    <t>13366861230</t>
  </si>
  <si>
    <t>王志娟</t>
  </si>
  <si>
    <t>91302006091065</t>
  </si>
  <si>
    <t>2006-2-CP-06255-U</t>
  </si>
  <si>
    <t>关其政</t>
  </si>
  <si>
    <t>110101196811263520</t>
  </si>
  <si>
    <t>13552641726</t>
  </si>
  <si>
    <t>1门1108号</t>
  </si>
  <si>
    <t>宋锡安</t>
  </si>
  <si>
    <t>91302006091089</t>
  </si>
  <si>
    <t>45年</t>
  </si>
  <si>
    <t>京房权证朝私06字第202802号</t>
  </si>
  <si>
    <t>2006-2-CP-06287-U</t>
  </si>
  <si>
    <t>张永良</t>
  </si>
  <si>
    <t>110106195611113912</t>
  </si>
  <si>
    <t>13801270545</t>
  </si>
  <si>
    <t>91302006091139</t>
  </si>
  <si>
    <t>京房权证朝私06字第206628号</t>
  </si>
  <si>
    <t>陈春华</t>
  </si>
  <si>
    <t>2006-2-CP-06292-U</t>
  </si>
  <si>
    <t>沈金伶</t>
  </si>
  <si>
    <t>110226197909060526</t>
  </si>
  <si>
    <t>13611372462</t>
  </si>
  <si>
    <t>大山子北里</t>
  </si>
  <si>
    <t>25楼</t>
  </si>
  <si>
    <t>3层61号</t>
  </si>
  <si>
    <t>董瑞生</t>
  </si>
  <si>
    <t>91302006091148</t>
  </si>
  <si>
    <t>2006-2-CP-06303-U</t>
  </si>
  <si>
    <t>刘崭</t>
  </si>
  <si>
    <t>110108198303304617</t>
  </si>
  <si>
    <t>4门11号</t>
  </si>
  <si>
    <t>赵松绵</t>
  </si>
  <si>
    <t>2006-2-CP-06328-U</t>
  </si>
  <si>
    <t>祝伟</t>
  </si>
  <si>
    <t>342225197907054016</t>
  </si>
  <si>
    <t>祝敏</t>
  </si>
  <si>
    <t>91302006091191</t>
  </si>
  <si>
    <t>京房权证朝私06字第207145号</t>
  </si>
  <si>
    <t>2006-2-CP-06386-U</t>
  </si>
  <si>
    <t>王如军、赵秋红</t>
  </si>
  <si>
    <t>110111197008220350、131082197209250841</t>
  </si>
  <si>
    <t>13466952078</t>
  </si>
  <si>
    <t>李明磊</t>
  </si>
  <si>
    <t>91302006091275</t>
  </si>
  <si>
    <t>2006-2-CP-06413-U</t>
  </si>
  <si>
    <t>刘德</t>
  </si>
  <si>
    <t>22010519781113103X</t>
  </si>
  <si>
    <t>13520170072</t>
  </si>
  <si>
    <t>京房权证朝私06字第207025号</t>
  </si>
  <si>
    <t>王雪红</t>
  </si>
  <si>
    <t>2006-2-CP-06419-U</t>
  </si>
  <si>
    <t>李磊、陈丽丽</t>
  </si>
  <si>
    <t>37082519791111003X、11022819810815006X</t>
  </si>
  <si>
    <t>13810027165</t>
  </si>
  <si>
    <t>11-202号</t>
  </si>
  <si>
    <t>91302006091335</t>
  </si>
  <si>
    <t>京房权证朝私06字第203664号</t>
  </si>
  <si>
    <t>张淑英</t>
  </si>
  <si>
    <t>2006-2-CP-06442-U</t>
  </si>
  <si>
    <t>孙云霖</t>
  </si>
  <si>
    <t>210225730430045</t>
  </si>
  <si>
    <t>13301328010</t>
  </si>
  <si>
    <t>1812号</t>
  </si>
  <si>
    <t>李杰</t>
  </si>
  <si>
    <t>91302006091292</t>
  </si>
  <si>
    <t>2006-2-CP-06515-U</t>
  </si>
  <si>
    <t>刘锦希</t>
  </si>
  <si>
    <t>110221198107160042</t>
  </si>
  <si>
    <t>13511075615</t>
  </si>
  <si>
    <t>4号楼（现为5号院4#楼）</t>
  </si>
  <si>
    <t>91302006091507</t>
  </si>
  <si>
    <t>京房权证朝私06字第207374号</t>
  </si>
  <si>
    <t>王世俊</t>
  </si>
  <si>
    <t>2006-2-CP-06517-U</t>
  </si>
  <si>
    <t>王佳</t>
  </si>
  <si>
    <t>150102198202190621</t>
  </si>
  <si>
    <t>13910968619</t>
  </si>
  <si>
    <t>1066号</t>
  </si>
  <si>
    <t>李少卫</t>
  </si>
  <si>
    <t>91302006091510</t>
  </si>
  <si>
    <t>实际成交价31.5，单价：7346</t>
  </si>
  <si>
    <t>避税</t>
  </si>
  <si>
    <t>2006-2-CP-06518-U</t>
  </si>
  <si>
    <t>赵欣</t>
  </si>
  <si>
    <t>110103198202060025</t>
  </si>
  <si>
    <t>13910732386</t>
  </si>
  <si>
    <t>91302006091514</t>
  </si>
  <si>
    <t>京房权证朝私06字第206834号</t>
  </si>
  <si>
    <t>张建军</t>
  </si>
  <si>
    <t>2006-2-CP-06537-U</t>
  </si>
  <si>
    <t>师彦</t>
  </si>
  <si>
    <t>110101197405252038</t>
  </si>
  <si>
    <t>13611020936</t>
  </si>
  <si>
    <t>柳芳北街9号院</t>
  </si>
  <si>
    <t>109</t>
  </si>
  <si>
    <t>周啟华</t>
  </si>
  <si>
    <t>91302006091537</t>
  </si>
  <si>
    <t>双方熟悉</t>
  </si>
  <si>
    <t>2006-2-CP-06548-U</t>
  </si>
  <si>
    <t>吴伟</t>
  </si>
  <si>
    <t>412726197708201636</t>
  </si>
  <si>
    <t>13810031167</t>
  </si>
  <si>
    <t>安慧里2区</t>
  </si>
  <si>
    <t>1805号</t>
  </si>
  <si>
    <t>91302006091555</t>
  </si>
  <si>
    <t>京房权证朝私06字第208686号</t>
  </si>
  <si>
    <t>王凤岑</t>
  </si>
  <si>
    <t>2006-2-CP-06554-U</t>
  </si>
  <si>
    <t>葛兮源</t>
  </si>
  <si>
    <t>220104197406221318</t>
  </si>
  <si>
    <t>63645119</t>
  </si>
  <si>
    <t>京房权证朝私06字第205691号</t>
  </si>
  <si>
    <t>王文英</t>
  </si>
  <si>
    <t>2006-2-CP-06604-U</t>
  </si>
  <si>
    <t>王利荣</t>
  </si>
  <si>
    <t>420111197708244129</t>
  </si>
  <si>
    <t>13683574461</t>
  </si>
  <si>
    <t>金连仲</t>
  </si>
  <si>
    <t>91302006091634</t>
  </si>
  <si>
    <t>2006-2-CP-06621-U</t>
  </si>
  <si>
    <t>王蕾</t>
  </si>
  <si>
    <t>130202197903062726</t>
  </si>
  <si>
    <t>13671213816</t>
  </si>
  <si>
    <t>91302006091657</t>
  </si>
  <si>
    <t>X京房权证朝私字第500072号</t>
  </si>
  <si>
    <t>孙正云</t>
  </si>
  <si>
    <t>2006-2-CP-06629-U</t>
  </si>
  <si>
    <t>王婧</t>
  </si>
  <si>
    <t>110102198104253345</t>
  </si>
  <si>
    <t>13381108718</t>
  </si>
  <si>
    <t>12A02号</t>
  </si>
  <si>
    <t>鲁颖</t>
  </si>
  <si>
    <t>2006-2-CP-06638-U</t>
  </si>
  <si>
    <t>韩宝琪</t>
  </si>
  <si>
    <t>430105197012191027</t>
  </si>
  <si>
    <t>13910768797</t>
  </si>
  <si>
    <t>京房权证朝私06字第206627号</t>
  </si>
  <si>
    <t>温丽娟</t>
  </si>
  <si>
    <t>2006-2-CP-06667-U</t>
  </si>
  <si>
    <t>王媛媛</t>
  </si>
  <si>
    <t>110104197801080820</t>
  </si>
  <si>
    <t>13501369923</t>
  </si>
  <si>
    <t>芳草地北巷</t>
  </si>
  <si>
    <t>1门502</t>
  </si>
  <si>
    <t>于晋鲁</t>
  </si>
  <si>
    <t>91302006091697</t>
  </si>
  <si>
    <t>2006-2-CP-06669-U</t>
  </si>
  <si>
    <t>邓发丽</t>
  </si>
  <si>
    <t>432822197705183229</t>
  </si>
  <si>
    <t>13911339158</t>
  </si>
  <si>
    <t>91302006091717</t>
  </si>
  <si>
    <t>京房权证朝私06字第205564号</t>
  </si>
  <si>
    <t>欧文</t>
  </si>
  <si>
    <t>2006-2-CP-06678-U</t>
  </si>
  <si>
    <t>何文</t>
  </si>
  <si>
    <t>12010119771107354X</t>
  </si>
  <si>
    <t>13910666165</t>
  </si>
  <si>
    <t>91302006091727</t>
  </si>
  <si>
    <t>京房权证朝私06字第20832号</t>
  </si>
  <si>
    <t>杨艾</t>
  </si>
  <si>
    <t>2006-2-CP-06686-U</t>
  </si>
  <si>
    <t>张隽</t>
  </si>
  <si>
    <t>372401197009102720</t>
  </si>
  <si>
    <t>13522995266</t>
  </si>
  <si>
    <t>2001号</t>
  </si>
  <si>
    <t>91302006091531</t>
  </si>
  <si>
    <t>京房权证朝私06字第207268号</t>
  </si>
  <si>
    <t>尚俊才</t>
  </si>
  <si>
    <t>2006-2-CP-06709-U</t>
  </si>
  <si>
    <t>刘术媛</t>
  </si>
  <si>
    <t>110222197911170024</t>
  </si>
  <si>
    <t>13801334500</t>
  </si>
  <si>
    <t>2009号</t>
  </si>
  <si>
    <t>张翔燕</t>
  </si>
  <si>
    <t>91302006091783</t>
  </si>
  <si>
    <t>2006-2-CP-06717-U</t>
  </si>
  <si>
    <t>桂智明</t>
  </si>
  <si>
    <t>420107197606232018</t>
  </si>
  <si>
    <t>13810631917</t>
  </si>
  <si>
    <t>紫南家园</t>
  </si>
  <si>
    <t>京房权证朝私06字第205949号</t>
  </si>
  <si>
    <t>范国才</t>
  </si>
  <si>
    <t>2006-2-CP-06726-U</t>
  </si>
  <si>
    <t>110101197607310021</t>
  </si>
  <si>
    <t>13911129829</t>
  </si>
  <si>
    <t>黄美玉</t>
  </si>
  <si>
    <t>2006-2-CP-06773-U</t>
  </si>
  <si>
    <t>楼钧</t>
  </si>
  <si>
    <t>110105197409180030</t>
  </si>
  <si>
    <t>13681543161</t>
  </si>
  <si>
    <t>1门5号</t>
  </si>
  <si>
    <t>2006-2-CP-06774-U</t>
  </si>
  <si>
    <t>李灵武</t>
  </si>
  <si>
    <t>110105195509202517</t>
  </si>
  <si>
    <t>5门602</t>
  </si>
  <si>
    <t>洪绍林</t>
  </si>
  <si>
    <t>91302006091873</t>
  </si>
  <si>
    <t>2006-2-CP-06792-U</t>
  </si>
  <si>
    <t>苏楠</t>
  </si>
  <si>
    <t>110101810901306</t>
  </si>
  <si>
    <t>13910301763</t>
  </si>
  <si>
    <r>
      <t>26号楼</t>
    </r>
    <r>
      <rPr>
        <sz val="10"/>
        <rFont val="Times New Roman"/>
        <family val="1"/>
      </rPr>
      <t/>
    </r>
  </si>
  <si>
    <t>606</t>
  </si>
  <si>
    <t>郑锡昆（坤）</t>
  </si>
  <si>
    <t>2006-2-CP-06800-U</t>
  </si>
  <si>
    <t>陈香平</t>
  </si>
  <si>
    <t>110229198002010049</t>
  </si>
  <si>
    <t>冯琦</t>
  </si>
  <si>
    <t>91302006091901</t>
  </si>
  <si>
    <t>2006-2-CP-06865-U</t>
  </si>
  <si>
    <t>金延玲</t>
  </si>
  <si>
    <t>11010119551114252X</t>
  </si>
  <si>
    <t>13501051639</t>
  </si>
  <si>
    <t>朱晴</t>
  </si>
  <si>
    <t>91302006091992</t>
  </si>
  <si>
    <t>实际成交价为54万元</t>
  </si>
  <si>
    <t>2006-2-CP-06893-U</t>
  </si>
  <si>
    <t>姜璎嘉</t>
  </si>
  <si>
    <t>370602198006133222</t>
  </si>
  <si>
    <t>13501372901</t>
  </si>
  <si>
    <t>团结湖中路北二条</t>
  </si>
  <si>
    <t>甲2号楼</t>
  </si>
  <si>
    <t>2门502号</t>
  </si>
  <si>
    <t>X京房权证朝私字第500057号</t>
  </si>
  <si>
    <t>李毅</t>
  </si>
  <si>
    <t>不包含税费</t>
  </si>
  <si>
    <t>2006-2-CP-06934-U</t>
  </si>
  <si>
    <t>李登新</t>
  </si>
  <si>
    <t>110221196608075912</t>
  </si>
  <si>
    <t>13717789399</t>
  </si>
  <si>
    <t>朝阳门南大街</t>
  </si>
  <si>
    <t>京房权证朝私06字第211053号</t>
  </si>
  <si>
    <t>曾小蕾</t>
  </si>
  <si>
    <t>2006-2-CP-06947-U</t>
  </si>
  <si>
    <t>张海波</t>
  </si>
  <si>
    <t>110105197011227134</t>
  </si>
  <si>
    <t>60132428</t>
  </si>
  <si>
    <t>2301号</t>
  </si>
  <si>
    <t>孙联文</t>
  </si>
  <si>
    <t>913020060100116</t>
  </si>
  <si>
    <t>X京房权证朝私字第500155号</t>
  </si>
  <si>
    <t>2006-2-CP-06959-U</t>
  </si>
  <si>
    <t>刘锐</t>
  </si>
  <si>
    <t>110109197111100021</t>
  </si>
  <si>
    <t>903号楼</t>
  </si>
  <si>
    <t>赵慧卿</t>
  </si>
  <si>
    <t>913020061100138</t>
  </si>
  <si>
    <t>京房权证朝私06字第209646号</t>
  </si>
  <si>
    <t>2006-2-CP-06965-U</t>
  </si>
  <si>
    <t>肖建</t>
  </si>
  <si>
    <t>352622198008280019</t>
  </si>
  <si>
    <t>13810192310</t>
  </si>
  <si>
    <t>八层801号</t>
  </si>
  <si>
    <t>徐尚伟</t>
  </si>
  <si>
    <t>91302006100139</t>
  </si>
  <si>
    <t>2006-2-CP-06967-U</t>
  </si>
  <si>
    <t>赵泉</t>
  </si>
  <si>
    <t>210403198002094538</t>
  </si>
  <si>
    <t>13810811056</t>
  </si>
  <si>
    <t>913020060100143</t>
  </si>
  <si>
    <t>京房权证朝私06字第211161号</t>
  </si>
  <si>
    <t>杨文林</t>
  </si>
  <si>
    <t>2006-2-CP-06982-U</t>
  </si>
  <si>
    <t>严亮亮</t>
  </si>
  <si>
    <t>110105198010181829</t>
  </si>
  <si>
    <t>13910517749</t>
  </si>
  <si>
    <t>京房权证朝私字第171495号</t>
  </si>
  <si>
    <t>2006-2-CP-06985-U</t>
  </si>
  <si>
    <t>白海涛</t>
  </si>
  <si>
    <t>230103197801035510</t>
  </si>
  <si>
    <t>13810287375</t>
  </si>
  <si>
    <t>4-503号</t>
  </si>
  <si>
    <t>陈为民</t>
  </si>
  <si>
    <t>913020060100181</t>
  </si>
  <si>
    <t>13801387673、64755840</t>
  </si>
  <si>
    <t>2006-2-CP-07040-U</t>
  </si>
  <si>
    <t>林君</t>
  </si>
  <si>
    <t>452323197504232218</t>
  </si>
  <si>
    <t>13601170869</t>
  </si>
  <si>
    <t>汪飞叶</t>
  </si>
  <si>
    <t>京房权证朝私06字第33242号</t>
  </si>
  <si>
    <t>汪叶飞</t>
  </si>
  <si>
    <t>2006-2-CP-07111-U</t>
  </si>
  <si>
    <t>陈仪鹏</t>
  </si>
  <si>
    <t>110105197810116131</t>
  </si>
  <si>
    <t>13911397562</t>
  </si>
  <si>
    <t>洪欣宇</t>
  </si>
  <si>
    <t>913020060100347</t>
  </si>
  <si>
    <t>2006-2-CP-07127-U</t>
  </si>
  <si>
    <t>宣建民</t>
  </si>
  <si>
    <t>110222198105050356</t>
  </si>
  <si>
    <t>13910156886</t>
  </si>
  <si>
    <t>D门1206号</t>
  </si>
  <si>
    <t>京房权证朝私04字第96375号</t>
  </si>
  <si>
    <t>2006-2-CP-07187-U</t>
  </si>
  <si>
    <t>110111800309031</t>
  </si>
  <si>
    <t>13601238811</t>
  </si>
  <si>
    <t>于登圃</t>
  </si>
  <si>
    <t>91302006100442</t>
  </si>
  <si>
    <t>2006-2-CP-07239-U</t>
  </si>
  <si>
    <t>徐胜阳</t>
  </si>
  <si>
    <t>420111197608144198</t>
  </si>
  <si>
    <t>13520908332</t>
  </si>
  <si>
    <t>龚炜</t>
  </si>
  <si>
    <t>91302006100506</t>
  </si>
  <si>
    <t>42年</t>
  </si>
  <si>
    <t>京房权证朝私06字第215068号</t>
  </si>
  <si>
    <t>2006-2-CP-07245-U</t>
  </si>
  <si>
    <t>赫野</t>
  </si>
  <si>
    <t>210521197612110017</t>
  </si>
  <si>
    <t>张德明</t>
  </si>
  <si>
    <t>91302006100517</t>
  </si>
  <si>
    <t>2006-2-CP-07277-U</t>
  </si>
  <si>
    <t>宋冬梅</t>
  </si>
  <si>
    <t>110105197112147184</t>
  </si>
  <si>
    <t>13601020438</t>
  </si>
  <si>
    <t>91302006100568</t>
  </si>
  <si>
    <t>记税价58万</t>
  </si>
  <si>
    <t>京房权证朝私06字第213971号</t>
  </si>
  <si>
    <t>赵智敏</t>
  </si>
  <si>
    <t>13901092461</t>
  </si>
  <si>
    <t>2006-2-CP-07373-U</t>
  </si>
  <si>
    <t>张玉珍</t>
  </si>
  <si>
    <t>110105195303190442</t>
  </si>
  <si>
    <t>13311205816</t>
  </si>
  <si>
    <t>长营东十里堡学院内</t>
  </si>
  <si>
    <t>03号楼</t>
  </si>
  <si>
    <t>李陆生</t>
  </si>
  <si>
    <t>91302006100708</t>
  </si>
  <si>
    <t>记税价28.5万</t>
  </si>
  <si>
    <t>2006-2-CP-07385-U</t>
  </si>
  <si>
    <t>张淑平</t>
  </si>
  <si>
    <t>110101196002090041</t>
  </si>
  <si>
    <t>13661242943</t>
  </si>
  <si>
    <t>任良萍</t>
  </si>
  <si>
    <t>91302006100722</t>
  </si>
  <si>
    <t>2006-2-CP-07446-U</t>
  </si>
  <si>
    <t>曹春华</t>
  </si>
  <si>
    <t>342427198102170026</t>
  </si>
  <si>
    <t>1单元209</t>
  </si>
  <si>
    <t>谢海荣</t>
  </si>
  <si>
    <t>2006-2-CP-07455-U</t>
  </si>
  <si>
    <t>周波</t>
  </si>
  <si>
    <t>360103198004130738</t>
  </si>
  <si>
    <t>13391632195</t>
  </si>
  <si>
    <t>2006-2-CP-07491-U</t>
  </si>
  <si>
    <t>刘伯昌</t>
  </si>
  <si>
    <t>220202198007041835</t>
  </si>
  <si>
    <t>13504314074</t>
  </si>
  <si>
    <t>36号楼</t>
  </si>
  <si>
    <t>23号</t>
  </si>
  <si>
    <t>91302006100874</t>
  </si>
  <si>
    <t>实际成交价为39万元</t>
  </si>
  <si>
    <t>京房权证朝私06字第210238号</t>
  </si>
  <si>
    <t>李朴</t>
  </si>
  <si>
    <t>2006-2-CP-07502-U</t>
  </si>
  <si>
    <t>冯汀</t>
  </si>
  <si>
    <t>360104197909291933</t>
  </si>
  <si>
    <t>86651455</t>
  </si>
  <si>
    <t>1403号</t>
  </si>
  <si>
    <t>15</t>
  </si>
  <si>
    <t>91302006100892</t>
  </si>
  <si>
    <t>实际成交价55万</t>
  </si>
  <si>
    <t>86692318、13701185578</t>
  </si>
  <si>
    <t>2006-2-CP-07548-U</t>
  </si>
  <si>
    <t>戴增义</t>
  </si>
  <si>
    <t>110105194710231534</t>
  </si>
  <si>
    <t>13651168528</t>
  </si>
  <si>
    <t>④-102号</t>
  </si>
  <si>
    <t>殷元红</t>
  </si>
  <si>
    <t>1、2</t>
  </si>
  <si>
    <t>四室二厅三卫一厨</t>
  </si>
  <si>
    <t>2006-2-CP-07624-U</t>
  </si>
  <si>
    <t>欧阳朝晖</t>
  </si>
  <si>
    <t>230202196707171625</t>
  </si>
  <si>
    <t>13621258519</t>
  </si>
  <si>
    <t>东三环南路19号嘉多丽园</t>
  </si>
  <si>
    <t>1903号</t>
  </si>
  <si>
    <t>京房权证朝私06字第210522号</t>
  </si>
  <si>
    <t>2006-2-CP-07625-U</t>
  </si>
  <si>
    <t>耿彬</t>
  </si>
  <si>
    <t>610402197906241207</t>
  </si>
  <si>
    <t>13831604160</t>
  </si>
  <si>
    <t>杨玺峰</t>
  </si>
  <si>
    <t>91302006101066</t>
  </si>
  <si>
    <t>2006-2-CP-07626-U</t>
  </si>
  <si>
    <t>董宝成</t>
  </si>
  <si>
    <t>132823196805137810</t>
  </si>
  <si>
    <t>13671277296</t>
  </si>
  <si>
    <t>12层1206号</t>
  </si>
  <si>
    <t>赵福来</t>
  </si>
  <si>
    <t>91302006101070</t>
  </si>
  <si>
    <t>2006-2-CP-07644-U</t>
  </si>
  <si>
    <t>张璐</t>
  </si>
  <si>
    <t>210202198107051721</t>
  </si>
  <si>
    <t>13241191640</t>
  </si>
  <si>
    <t>B单元</t>
  </si>
  <si>
    <t>607号</t>
  </si>
  <si>
    <t>徐卫珍</t>
  </si>
  <si>
    <t>91302006101091</t>
  </si>
  <si>
    <t>2006-2-CP-07665-U</t>
  </si>
  <si>
    <t>武秀娟</t>
  </si>
  <si>
    <t>142427197804250627</t>
  </si>
  <si>
    <t>13811542054</t>
  </si>
  <si>
    <t>许学光</t>
  </si>
  <si>
    <t>京房权证朝私06字第211158号</t>
  </si>
  <si>
    <t>2006-2-CP-07694-U</t>
  </si>
  <si>
    <t>周颖新</t>
  </si>
  <si>
    <t>110227198006090047</t>
  </si>
  <si>
    <t>13261858032</t>
  </si>
  <si>
    <t>2308号</t>
  </si>
  <si>
    <t>91302006101147</t>
  </si>
  <si>
    <t>2006-2-CP-07701-U</t>
  </si>
  <si>
    <t>张东</t>
  </si>
  <si>
    <t>320721197908285015</t>
  </si>
  <si>
    <t>13810189761</t>
  </si>
  <si>
    <t>南湖渠西里</t>
  </si>
  <si>
    <t>杨奎兴</t>
  </si>
  <si>
    <t>91302006101150</t>
  </si>
  <si>
    <t>2006-2-CP-07702-U</t>
  </si>
  <si>
    <t>陈军武</t>
  </si>
  <si>
    <t>110226198011013613</t>
  </si>
  <si>
    <t>13552499079</t>
  </si>
  <si>
    <t>张奇志</t>
  </si>
  <si>
    <t>91302006101137</t>
  </si>
  <si>
    <t>2006-2-CP-07779-U</t>
  </si>
  <si>
    <t>张士鹏</t>
  </si>
  <si>
    <t>232302197910265012</t>
  </si>
  <si>
    <t>13366779615</t>
  </si>
  <si>
    <t>刘剑</t>
  </si>
  <si>
    <t>二室一厅一卫一厨（原为二室一厅二卫一厨）</t>
  </si>
  <si>
    <t>91302006101252</t>
  </si>
  <si>
    <t>2006-2-CP-07817-U</t>
  </si>
  <si>
    <t>吴志美</t>
  </si>
  <si>
    <t>340826780907482</t>
  </si>
  <si>
    <t>13810839967</t>
  </si>
  <si>
    <t>西八间房北站</t>
  </si>
  <si>
    <t>15层4号</t>
  </si>
  <si>
    <t>91302006101310</t>
  </si>
  <si>
    <t>现为望花路西里</t>
  </si>
  <si>
    <t>京房权证朝私06字第211139号</t>
  </si>
  <si>
    <t>任庆新</t>
  </si>
  <si>
    <t>2006-2-CP-07842-U</t>
  </si>
  <si>
    <t>殷小斌</t>
  </si>
  <si>
    <t>372526197402130018</t>
  </si>
  <si>
    <t>13717876670</t>
  </si>
  <si>
    <t>望京中环南路3号院</t>
  </si>
  <si>
    <t>许振中</t>
  </si>
  <si>
    <t>91302006101344</t>
  </si>
  <si>
    <t>2006-2-CP-07925-U</t>
  </si>
  <si>
    <t>8门601</t>
  </si>
  <si>
    <t>2006-2-CP-07931-U</t>
  </si>
  <si>
    <t>叶艳</t>
  </si>
  <si>
    <t>42050319800822182X</t>
  </si>
  <si>
    <t>13651205936</t>
  </si>
  <si>
    <t>王小昆</t>
  </si>
  <si>
    <t>91302006101471</t>
  </si>
  <si>
    <t>京房权证朝私06字第211103号</t>
  </si>
  <si>
    <t>2006-2-CP-07946-U</t>
  </si>
  <si>
    <t>苗琛</t>
  </si>
  <si>
    <t>110105197203036826</t>
  </si>
  <si>
    <t>13683109906</t>
  </si>
  <si>
    <t>石佛营东里133号</t>
  </si>
  <si>
    <t>刘辉</t>
  </si>
  <si>
    <t>2006-2-CP-07964-U</t>
  </si>
  <si>
    <t>崔智恒</t>
  </si>
  <si>
    <t>110105197210022537</t>
  </si>
  <si>
    <t>13911510798</t>
  </si>
  <si>
    <t>317号楼</t>
  </si>
  <si>
    <t>6-602</t>
  </si>
  <si>
    <t>甘秀琴</t>
  </si>
  <si>
    <t>66.45</t>
  </si>
  <si>
    <t>410000</t>
  </si>
  <si>
    <t>6170</t>
  </si>
  <si>
    <t>38.37</t>
  </si>
  <si>
    <t>383700</t>
  </si>
  <si>
    <t>5775</t>
  </si>
  <si>
    <t>30.69</t>
  </si>
  <si>
    <t>306900</t>
  </si>
  <si>
    <t>1150</t>
  </si>
  <si>
    <t>9.1302006102e+013</t>
  </si>
  <si>
    <t>36</t>
  </si>
  <si>
    <t>2006-10-26</t>
  </si>
  <si>
    <t>2006-10-31</t>
  </si>
  <si>
    <t>2006-2-CP-07970-U</t>
  </si>
  <si>
    <t>王珊珊</t>
  </si>
  <si>
    <t>110103197906010320</t>
  </si>
  <si>
    <t>13488896194</t>
  </si>
  <si>
    <t>周迺庆</t>
  </si>
  <si>
    <t>京房权证朝私06字第217334号</t>
  </si>
  <si>
    <t>2006-2-CP-07981-U</t>
  </si>
  <si>
    <t>高峰</t>
  </si>
  <si>
    <t>410802197512282529</t>
  </si>
  <si>
    <t>13041158191、13521276086</t>
  </si>
  <si>
    <t>赵志凤</t>
  </si>
  <si>
    <t>91302006101531</t>
  </si>
  <si>
    <t>13366080079、64283554</t>
  </si>
  <si>
    <t>2006-2-CP-07982-U</t>
  </si>
  <si>
    <t>宋玉杰</t>
  </si>
  <si>
    <t>110108197409120117</t>
  </si>
  <si>
    <t>13910339637</t>
  </si>
  <si>
    <t>于长宝</t>
  </si>
  <si>
    <t>91302006101532</t>
  </si>
  <si>
    <t>2006-2-CP-08035-U</t>
  </si>
  <si>
    <t>李强</t>
  </si>
  <si>
    <t>110105197202244519</t>
  </si>
  <si>
    <t>13801310312</t>
  </si>
  <si>
    <t>荟康苑</t>
  </si>
  <si>
    <t>张玉清</t>
  </si>
  <si>
    <t>91302006110035</t>
  </si>
  <si>
    <t>2006-2-CP-08102-U</t>
  </si>
  <si>
    <t>李跃明</t>
  </si>
  <si>
    <t>411123197910152011</t>
  </si>
  <si>
    <t>长营东十里堡学院内03号楼</t>
  </si>
  <si>
    <t>2门301号</t>
  </si>
  <si>
    <t>高亚南</t>
  </si>
  <si>
    <t>91302006110129</t>
  </si>
  <si>
    <t>2006-2-CP-08105-U</t>
  </si>
  <si>
    <t>史丽萍、王震</t>
  </si>
  <si>
    <t>110104195410020426、110104198203050474</t>
  </si>
  <si>
    <t>13501092805</t>
  </si>
  <si>
    <t>1504号</t>
  </si>
  <si>
    <t>王京生</t>
  </si>
  <si>
    <t>2006-2-CP-08113-U</t>
  </si>
  <si>
    <t>常宇飞、张微</t>
  </si>
  <si>
    <t>110102198108010033、110228198302040040</t>
  </si>
  <si>
    <t>13671194848</t>
  </si>
  <si>
    <t>西大望路59号</t>
  </si>
  <si>
    <t>106号</t>
  </si>
  <si>
    <t>京房权证朝私06字第211755号、京房朝私06共字第17341号</t>
  </si>
  <si>
    <t>彭保宏</t>
  </si>
  <si>
    <t>2006-2-CP-08135-U</t>
  </si>
  <si>
    <t>彭江花</t>
  </si>
  <si>
    <t>452424197907160046</t>
  </si>
  <si>
    <t>13366392179</t>
  </si>
  <si>
    <t>团结湖北五条</t>
  </si>
  <si>
    <t>李培芝</t>
  </si>
  <si>
    <t>2006-2-CP-08152-U</t>
  </si>
  <si>
    <t>刘迎</t>
  </si>
  <si>
    <t>320311197910216727</t>
  </si>
  <si>
    <t>韦先平</t>
  </si>
  <si>
    <t>91302006110193</t>
  </si>
  <si>
    <t>2006-2-CP-08163-U</t>
  </si>
  <si>
    <t>甘海军</t>
  </si>
  <si>
    <t>110227197511263012</t>
  </si>
  <si>
    <t>13661167126</t>
  </si>
  <si>
    <t>张贵</t>
  </si>
  <si>
    <t>2006-2-CP-08192-U</t>
  </si>
  <si>
    <t>侯洁</t>
  </si>
  <si>
    <t>110104196610201269</t>
  </si>
  <si>
    <t>13911287162</t>
  </si>
  <si>
    <t>北084号</t>
  </si>
  <si>
    <t>二室二厅一卫一厨（原三室一厅一卫一厨）</t>
  </si>
  <si>
    <t>91302006110249</t>
  </si>
  <si>
    <t>京房权证朝私06字第215076号</t>
  </si>
  <si>
    <t>2006-2-CP-08204-U</t>
  </si>
  <si>
    <t>张文</t>
  </si>
  <si>
    <t>132821196807030563</t>
  </si>
  <si>
    <t>13661295201</t>
  </si>
  <si>
    <t>石丽华</t>
  </si>
  <si>
    <t>2006-2-CP-08243-U</t>
  </si>
  <si>
    <t>李文红</t>
  </si>
  <si>
    <t>110101196205312062</t>
  </si>
  <si>
    <t>13910303758</t>
  </si>
  <si>
    <t>91302006110320</t>
  </si>
  <si>
    <t>实际成交价为84万元；记税价736300元</t>
  </si>
  <si>
    <t>京房权证朝私06字第215192号</t>
  </si>
  <si>
    <t>张振</t>
  </si>
  <si>
    <t>2006-2-CP-08269-U</t>
  </si>
  <si>
    <t>胡文东</t>
  </si>
  <si>
    <t>110101196711142510</t>
  </si>
  <si>
    <t>4层7号</t>
  </si>
  <si>
    <t>张京</t>
  </si>
  <si>
    <t>2006-2-CP-08301-U</t>
  </si>
  <si>
    <t>方威</t>
  </si>
  <si>
    <t>132224197912280012</t>
  </si>
  <si>
    <t>潘家园38号楼</t>
  </si>
  <si>
    <t>1501号</t>
  </si>
  <si>
    <t>夏炳炜</t>
  </si>
  <si>
    <t>2006-2-CP-08318-U</t>
  </si>
  <si>
    <t>11010119771104101X</t>
  </si>
  <si>
    <t>13901252611</t>
  </si>
  <si>
    <t>朱晓慧</t>
  </si>
  <si>
    <t>2006-2-CP-08343-U</t>
  </si>
  <si>
    <t>宋晓华</t>
  </si>
  <si>
    <t>42212119740512081X</t>
  </si>
  <si>
    <t>13611136809</t>
  </si>
  <si>
    <t>詹冬</t>
  </si>
  <si>
    <t>2006-2-CP-08344-U</t>
  </si>
  <si>
    <t>娄扬</t>
  </si>
  <si>
    <t>130802197902161012</t>
  </si>
  <si>
    <t>13488683352</t>
  </si>
  <si>
    <t>石俊升</t>
  </si>
  <si>
    <t>91302006110294</t>
  </si>
  <si>
    <t>实际成交价为72万元</t>
  </si>
  <si>
    <t>2006-2-CP-08365-U</t>
  </si>
  <si>
    <t>李忠</t>
  </si>
  <si>
    <t>110103196809151813</t>
  </si>
  <si>
    <t>13801242979</t>
  </si>
  <si>
    <t>2031号</t>
  </si>
  <si>
    <t>费伯良</t>
  </si>
  <si>
    <t>2006-2-CP-08441-U</t>
  </si>
  <si>
    <t>陈秀菊</t>
  </si>
  <si>
    <t>110105196607051841</t>
  </si>
  <si>
    <t>绿岛苑3号楼</t>
  </si>
  <si>
    <t>宋玉强</t>
  </si>
  <si>
    <t>91302006110549</t>
  </si>
  <si>
    <t>2006-2-CP-08458-U</t>
  </si>
  <si>
    <t>郭惠丹</t>
  </si>
  <si>
    <t>211324198109240029</t>
  </si>
  <si>
    <t>建国路29号兴隆家园39号楼</t>
  </si>
  <si>
    <t>11门303号</t>
  </si>
  <si>
    <t>于虹</t>
  </si>
  <si>
    <t>91302006110639</t>
  </si>
  <si>
    <t>44年</t>
  </si>
  <si>
    <t>2006-2-CP-08467-U</t>
  </si>
  <si>
    <t>曹晓雷</t>
  </si>
  <si>
    <t>370121197602157412</t>
  </si>
  <si>
    <t>13311156840</t>
  </si>
  <si>
    <t>望京西园二区</t>
  </si>
  <si>
    <t>邸江宏</t>
  </si>
  <si>
    <t>91302006110651</t>
  </si>
  <si>
    <t>13661223064</t>
  </si>
  <si>
    <t>2006-2-CP-08469-U</t>
  </si>
  <si>
    <t>肖建章</t>
  </si>
  <si>
    <t>130402197702262431</t>
  </si>
  <si>
    <t>管庄西里52号楼</t>
  </si>
  <si>
    <t>4门402号</t>
  </si>
  <si>
    <t>王文俊</t>
  </si>
  <si>
    <t>91302006110649</t>
  </si>
  <si>
    <t>2006-2-CP-08473-U</t>
  </si>
  <si>
    <t>王永奇</t>
  </si>
  <si>
    <t>110108630303421</t>
  </si>
  <si>
    <t>东三环南路54号院12号楼</t>
  </si>
  <si>
    <t>605号</t>
  </si>
  <si>
    <t>王志华</t>
  </si>
  <si>
    <t>91302006110656</t>
  </si>
  <si>
    <t>京房权证朝私06字第213842号</t>
  </si>
  <si>
    <t>2006-2-CP-08491-U</t>
  </si>
  <si>
    <t>于振东</t>
  </si>
  <si>
    <t>110105197502051532</t>
  </si>
  <si>
    <t>13651017345</t>
  </si>
  <si>
    <t>1-904号</t>
  </si>
  <si>
    <t>陈汉蓉</t>
  </si>
  <si>
    <t>91302006110705</t>
  </si>
  <si>
    <t>2006-2-CP-08493-U</t>
  </si>
  <si>
    <t>宫爽</t>
  </si>
  <si>
    <t>230103198110201326</t>
  </si>
  <si>
    <t>垡头翠成馨园301号楼1702号</t>
  </si>
  <si>
    <t>王琢</t>
  </si>
  <si>
    <t>91302006110689</t>
  </si>
  <si>
    <t>2006-2-CP-08524-U</t>
  </si>
  <si>
    <t>412726197710261611</t>
  </si>
  <si>
    <t>13911852138</t>
  </si>
  <si>
    <t>曲进</t>
  </si>
  <si>
    <t>91302006110735</t>
  </si>
  <si>
    <t>实际成交价60万，8700元/平方米</t>
  </si>
  <si>
    <t>13371679166、68286558</t>
  </si>
  <si>
    <t>2006-2-CP-08532-U</t>
  </si>
  <si>
    <t>姚大青</t>
  </si>
  <si>
    <t>340821197711244358</t>
  </si>
  <si>
    <t>13810516653</t>
  </si>
  <si>
    <t>广顺北大街33号C区</t>
  </si>
  <si>
    <t>310号楼</t>
  </si>
  <si>
    <t>27-2号</t>
  </si>
  <si>
    <t>李国</t>
  </si>
  <si>
    <t>91302006110765</t>
  </si>
  <si>
    <t>2006-2-CP-08539-U</t>
  </si>
  <si>
    <t>许卫华</t>
  </si>
  <si>
    <t>370502197702102024</t>
  </si>
  <si>
    <t>13520029232</t>
  </si>
  <si>
    <t>牛俊兰</t>
  </si>
  <si>
    <t>91302006110776</t>
  </si>
  <si>
    <t>记税价55.5万</t>
  </si>
  <si>
    <t>2006-2-CP-08560-U</t>
  </si>
  <si>
    <t>邵华</t>
  </si>
  <si>
    <t>110105197712025068</t>
  </si>
  <si>
    <t>13601070735</t>
  </si>
  <si>
    <t>10门602号</t>
  </si>
  <si>
    <t>董振鹏</t>
  </si>
  <si>
    <t>91302006110773</t>
  </si>
  <si>
    <t>2006-2-CP-08587-U</t>
  </si>
  <si>
    <t>高庭凯</t>
  </si>
  <si>
    <t>110101196202172578</t>
  </si>
  <si>
    <t>农光东里28号楼</t>
  </si>
  <si>
    <t>张恒</t>
  </si>
  <si>
    <t>91302006110780</t>
  </si>
  <si>
    <t>2006-2-CP-08599-U</t>
  </si>
  <si>
    <t>吴昊</t>
  </si>
  <si>
    <t>370502197005263295</t>
  </si>
  <si>
    <t>13910831116</t>
  </si>
  <si>
    <t>京房权证朝私06字第211727号</t>
  </si>
  <si>
    <t>齐锦革</t>
  </si>
  <si>
    <t>2006-2-CP-08603-U</t>
  </si>
  <si>
    <t>李薇</t>
  </si>
  <si>
    <t>110102197808011147</t>
  </si>
  <si>
    <t>13520336385</t>
  </si>
  <si>
    <t>尹国璋</t>
  </si>
  <si>
    <t>91302006110849</t>
  </si>
  <si>
    <t>2006-2-CP-08626-U</t>
  </si>
  <si>
    <t>郭雨宁</t>
  </si>
  <si>
    <t>110108197812060011</t>
  </si>
  <si>
    <t>13601076365</t>
  </si>
  <si>
    <t>91302006110904</t>
  </si>
  <si>
    <t>京房权证朝私06字第212201号</t>
  </si>
  <si>
    <t>唐金龙</t>
  </si>
  <si>
    <t>2006-2-CP-08640-U</t>
  </si>
  <si>
    <t>肖扬</t>
  </si>
  <si>
    <t>510070219781211041X</t>
  </si>
  <si>
    <t>13501280780</t>
  </si>
  <si>
    <t>刘爱军</t>
  </si>
  <si>
    <t>91302006110912</t>
  </si>
  <si>
    <t>记税价725075元</t>
  </si>
  <si>
    <t>2006-2-CP-08641-U</t>
  </si>
  <si>
    <t>刘伟东</t>
  </si>
  <si>
    <t>110108197705283711</t>
  </si>
  <si>
    <t>13661126775</t>
  </si>
  <si>
    <t>李凤田</t>
  </si>
  <si>
    <t>91302006110910</t>
  </si>
  <si>
    <t>记税价42万</t>
  </si>
  <si>
    <t>2006-2-CP-08655-U</t>
  </si>
  <si>
    <t>夏立荣</t>
  </si>
  <si>
    <t>410105198007152964</t>
  </si>
  <si>
    <t>13466607685</t>
  </si>
  <si>
    <t>722号</t>
  </si>
  <si>
    <t>王瑞宝</t>
  </si>
  <si>
    <t>91302006110931</t>
  </si>
  <si>
    <t>现为花家地西里一区117号楼</t>
  </si>
  <si>
    <t>2006-2-CP-08670-U</t>
  </si>
  <si>
    <t>王淑芹</t>
  </si>
  <si>
    <t>110103195908060963</t>
  </si>
  <si>
    <t>13911077875</t>
  </si>
  <si>
    <t>垡头三区</t>
  </si>
  <si>
    <t>2门11号</t>
  </si>
  <si>
    <t xml:space="preserve">京房权证朝私06字第215678号 </t>
  </si>
  <si>
    <t>聂桂霞</t>
  </si>
  <si>
    <t>2006-2-CP-08681-U</t>
  </si>
  <si>
    <t>张志迅</t>
  </si>
  <si>
    <t>110105197505089552</t>
  </si>
  <si>
    <t>13001109827</t>
  </si>
  <si>
    <t>孙颖男</t>
  </si>
  <si>
    <t>2006-2-CP-08709-U</t>
  </si>
  <si>
    <t>谭斐</t>
  </si>
  <si>
    <t>430404197804121529</t>
  </si>
  <si>
    <t>65983418</t>
  </si>
  <si>
    <t>1-202号</t>
  </si>
  <si>
    <t>梁新云</t>
  </si>
  <si>
    <t>91302006110989</t>
  </si>
  <si>
    <t>实际成交价54万</t>
  </si>
  <si>
    <t>2006-2-CP-08710-U</t>
  </si>
  <si>
    <t>周长征</t>
  </si>
  <si>
    <t>370102196904074512</t>
  </si>
  <si>
    <t>13910738042</t>
  </si>
  <si>
    <t>陈涛</t>
  </si>
  <si>
    <t>2006-2-CP-08713-U</t>
  </si>
  <si>
    <t>马博</t>
  </si>
  <si>
    <t>610111197706060030</t>
  </si>
  <si>
    <t>13621051468</t>
  </si>
  <si>
    <t>郭立刚</t>
  </si>
  <si>
    <t>91302006111001</t>
  </si>
  <si>
    <t>2006-2-CP-08749-U</t>
  </si>
  <si>
    <t>高鹏志</t>
  </si>
  <si>
    <t>110104197802121217</t>
  </si>
  <si>
    <t>甘露园南里二区1号楼</t>
  </si>
  <si>
    <t>肖宝玲</t>
  </si>
  <si>
    <t>91302006111047</t>
  </si>
  <si>
    <t>2006-2-CP-08793-U</t>
  </si>
  <si>
    <t>庞潜</t>
  </si>
  <si>
    <t>230202197801300635</t>
  </si>
  <si>
    <t>13911909455</t>
  </si>
  <si>
    <t>刘培文</t>
  </si>
  <si>
    <t>91302006111101</t>
  </si>
  <si>
    <t>2006-2-CP-08794-U</t>
  </si>
  <si>
    <t>杨婷婷</t>
  </si>
  <si>
    <t>110105197808060060</t>
  </si>
  <si>
    <t>13581824581</t>
  </si>
  <si>
    <t>唐薇薇</t>
  </si>
  <si>
    <t>2006-2-CP-08828-U</t>
  </si>
  <si>
    <t>罗霄波</t>
  </si>
  <si>
    <t>110108197904290412</t>
  </si>
  <si>
    <t>13911923549</t>
  </si>
  <si>
    <t>望京新城西四区</t>
  </si>
  <si>
    <t>杨大明</t>
  </si>
  <si>
    <t>91302006111154</t>
  </si>
  <si>
    <t>2006-2-CP-08848-U</t>
  </si>
  <si>
    <t>刘颜华</t>
  </si>
  <si>
    <t>110226197705290020</t>
  </si>
  <si>
    <t>武圣西里23号楼</t>
  </si>
  <si>
    <t>2门503号</t>
  </si>
  <si>
    <t>魏顺琴</t>
  </si>
  <si>
    <t>91302006111156</t>
  </si>
  <si>
    <t>29年</t>
  </si>
  <si>
    <t>京房权证朝私06字第214456号</t>
  </si>
  <si>
    <t>2006-2-CP-08881-U</t>
  </si>
  <si>
    <t>张瑜</t>
  </si>
  <si>
    <t>342224197203240228</t>
  </si>
  <si>
    <t>13552517941</t>
  </si>
  <si>
    <t>2102号</t>
  </si>
  <si>
    <t>汤立</t>
  </si>
  <si>
    <t>91302006111216</t>
  </si>
  <si>
    <t>2005年1月成交</t>
  </si>
  <si>
    <t>2006-2-CP-08902-U</t>
  </si>
  <si>
    <t>张京华</t>
  </si>
  <si>
    <t>110222197812162918</t>
  </si>
  <si>
    <t>13661351211</t>
  </si>
  <si>
    <t>李美丽</t>
  </si>
  <si>
    <t>91302006111241</t>
  </si>
  <si>
    <t>2006-2-CP-08909-U</t>
  </si>
  <si>
    <t>王瑞恒</t>
  </si>
  <si>
    <t>110108196002224614</t>
  </si>
  <si>
    <t>13901135556</t>
  </si>
  <si>
    <t>91302006111255</t>
  </si>
  <si>
    <t>京房权证朝私06字第215831号</t>
  </si>
  <si>
    <t>李红</t>
  </si>
  <si>
    <t>2006-2-CP-08942-U</t>
  </si>
  <si>
    <t>仲伟平</t>
  </si>
  <si>
    <t>110101196210061587</t>
  </si>
  <si>
    <t>84935205</t>
  </si>
  <si>
    <t>孙小进</t>
  </si>
  <si>
    <t>91302006111297</t>
  </si>
  <si>
    <t>2006-2-CP-08944-U</t>
  </si>
  <si>
    <t>李爱勇</t>
  </si>
  <si>
    <t>320322197511101358</t>
  </si>
  <si>
    <t>13901295021</t>
  </si>
  <si>
    <t>焦辉</t>
  </si>
  <si>
    <t>91302006111304</t>
  </si>
  <si>
    <t>2006-2-CP-08957-U</t>
  </si>
  <si>
    <t>孙洪春</t>
  </si>
  <si>
    <t>110105197403200838</t>
  </si>
  <si>
    <t>13501081608</t>
  </si>
  <si>
    <t>北京腾信科技孵化器有限公司</t>
  </si>
  <si>
    <t>2006-2-CP-08959-U</t>
  </si>
  <si>
    <t>于良川</t>
  </si>
  <si>
    <t>210624801129751</t>
  </si>
  <si>
    <t>13511079075</t>
  </si>
  <si>
    <t>122号楼</t>
  </si>
  <si>
    <t>杨学敬</t>
  </si>
  <si>
    <t>91302006111332</t>
  </si>
  <si>
    <t>2006-2-CP-08960-U</t>
  </si>
  <si>
    <t>李辉、董静</t>
  </si>
  <si>
    <t>110221197807067012、110101198102024526</t>
  </si>
  <si>
    <t>13810626885</t>
  </si>
  <si>
    <t>91302006111313</t>
  </si>
  <si>
    <t>京房权证朝私06字第216985号</t>
  </si>
  <si>
    <t>姜行</t>
  </si>
  <si>
    <t>2006-2-CP-08961-U</t>
  </si>
  <si>
    <t>黄立明</t>
  </si>
  <si>
    <t>610113197912060915</t>
  </si>
  <si>
    <t>13581777471</t>
  </si>
  <si>
    <t>程静</t>
  </si>
  <si>
    <t>91302006111333</t>
  </si>
  <si>
    <t>2006-2-CP-08968-U</t>
  </si>
  <si>
    <t>邬骏英</t>
  </si>
  <si>
    <t>31010619780317162X</t>
  </si>
  <si>
    <t>13366028155</t>
  </si>
  <si>
    <t>东三环南路58号</t>
  </si>
  <si>
    <t>4幢</t>
  </si>
  <si>
    <t>1118号</t>
  </si>
  <si>
    <t>戴标</t>
  </si>
  <si>
    <t>2006-2-CP-09016-U</t>
  </si>
  <si>
    <t>梁燕</t>
  </si>
  <si>
    <t>110224197702100065</t>
  </si>
  <si>
    <t>刘涵</t>
  </si>
  <si>
    <t>2006-2-CP-09080-U</t>
  </si>
  <si>
    <t>刘忠伟</t>
  </si>
  <si>
    <t>370630197509087011</t>
  </si>
  <si>
    <t>13269080263</t>
  </si>
  <si>
    <t>40号楼</t>
  </si>
  <si>
    <t>谢涛</t>
  </si>
  <si>
    <t>91302006111494</t>
  </si>
  <si>
    <t>2006-2-CP-09084-U</t>
  </si>
  <si>
    <t>徐振毅</t>
  </si>
  <si>
    <t>110105197310036151</t>
  </si>
  <si>
    <t>1层2号</t>
  </si>
  <si>
    <t>黄仁蕊</t>
  </si>
  <si>
    <t>91302006111472</t>
  </si>
  <si>
    <t>2006-2-CP-09141-U</t>
  </si>
  <si>
    <t>白云、张雪莹</t>
  </si>
  <si>
    <t>110221197403017318、110102197301240426</t>
  </si>
  <si>
    <t>松榆西里72号楼</t>
  </si>
  <si>
    <t>1-602号</t>
  </si>
  <si>
    <t>刘淑琴</t>
  </si>
  <si>
    <t>91302006111652</t>
  </si>
  <si>
    <t>2006-2-CP-09154-U</t>
  </si>
  <si>
    <t>刘素英</t>
  </si>
  <si>
    <t>110101197007141025</t>
  </si>
  <si>
    <t>13611042002</t>
  </si>
  <si>
    <t>单秋艳</t>
  </si>
  <si>
    <t>2006-2-CP-09155-U</t>
  </si>
  <si>
    <t>牛京刚</t>
  </si>
  <si>
    <t>110105196710210054</t>
  </si>
  <si>
    <t>67764043</t>
  </si>
  <si>
    <t>16楼</t>
  </si>
  <si>
    <t>1502号</t>
  </si>
  <si>
    <t>商建华</t>
  </si>
  <si>
    <t>2006-2-CP-09166-U</t>
  </si>
  <si>
    <t>强永振</t>
  </si>
  <si>
    <t>110105196703141118</t>
  </si>
  <si>
    <t>13910526070</t>
  </si>
  <si>
    <t>曹晓静</t>
  </si>
  <si>
    <t>91302006111728</t>
  </si>
  <si>
    <t>实际成交价101万，8559元/平方米</t>
  </si>
  <si>
    <t>2006-2-CP-09177-U</t>
  </si>
  <si>
    <t>马晓静</t>
  </si>
  <si>
    <t>370703821012002</t>
  </si>
  <si>
    <t>65592508、81101711</t>
  </si>
  <si>
    <t>吴湛</t>
  </si>
  <si>
    <t>91302006111746</t>
  </si>
  <si>
    <t>2006-2-CP-09200-U</t>
  </si>
  <si>
    <t>王东斌</t>
  </si>
  <si>
    <t>110226197205051613</t>
  </si>
  <si>
    <t>13911925127</t>
  </si>
  <si>
    <t>B门</t>
  </si>
  <si>
    <t>郝军</t>
  </si>
  <si>
    <t>2006-2-CP-09215-U</t>
  </si>
  <si>
    <t>刘桂林</t>
  </si>
  <si>
    <t>110105195104152531</t>
  </si>
  <si>
    <t>13311331266</t>
  </si>
  <si>
    <t>定福庄北里一号院</t>
  </si>
  <si>
    <t>赵文蔚</t>
  </si>
  <si>
    <t>91302006111820</t>
  </si>
  <si>
    <t>2006-2-CP-09218-U</t>
  </si>
  <si>
    <t>高萍</t>
  </si>
  <si>
    <t>110105196106022524</t>
  </si>
  <si>
    <t>甜水西园11号楼0602号</t>
  </si>
  <si>
    <t>91302006111823</t>
  </si>
  <si>
    <t>60年</t>
  </si>
  <si>
    <t>京房权证朝私06字第216926号</t>
  </si>
  <si>
    <t>黄国初</t>
  </si>
  <si>
    <t>2006-2-CP-09222-U</t>
  </si>
  <si>
    <t>李津波、裴立玲</t>
  </si>
  <si>
    <t>110105195311102115、110105195505032143</t>
  </si>
  <si>
    <t>818号楼</t>
  </si>
  <si>
    <t>安山</t>
  </si>
  <si>
    <t>91302006120006</t>
  </si>
  <si>
    <t xml:space="preserve"> 二</t>
  </si>
  <si>
    <t>2006-2-CP-09226-U</t>
  </si>
  <si>
    <t>黄健</t>
  </si>
  <si>
    <t>51102619740818631X</t>
  </si>
  <si>
    <t>13717636693</t>
  </si>
  <si>
    <t>汪浩</t>
  </si>
  <si>
    <t>91302006120009</t>
  </si>
  <si>
    <t>2006-2-CP-09229-U</t>
  </si>
  <si>
    <t>李丽</t>
  </si>
  <si>
    <t>230103197407151329</t>
  </si>
  <si>
    <t>13366077351</t>
  </si>
  <si>
    <t xml:space="preserve">7号楼 </t>
  </si>
  <si>
    <t>91302006120012</t>
  </si>
  <si>
    <t>京房权证朝私06字第216930号</t>
  </si>
  <si>
    <t>梁云</t>
  </si>
  <si>
    <t>2006-2-CP-09237-U</t>
  </si>
  <si>
    <t>胡俊、张静</t>
  </si>
  <si>
    <t>43282219700608001X、650102801212452</t>
  </si>
  <si>
    <t>84637637</t>
  </si>
  <si>
    <t>潘志刚</t>
  </si>
  <si>
    <t>91302006120023</t>
  </si>
  <si>
    <t>2006-2-CP-09238-U</t>
  </si>
  <si>
    <t>林洁</t>
  </si>
  <si>
    <t>110102196904183040</t>
  </si>
  <si>
    <t>13621313121</t>
  </si>
  <si>
    <t>殷陆</t>
  </si>
  <si>
    <t>91302006120024</t>
  </si>
  <si>
    <t>2006-2-CP-09242-U</t>
  </si>
  <si>
    <t>李景彧</t>
  </si>
  <si>
    <t>11010319800921095X</t>
  </si>
  <si>
    <t>13811881117</t>
  </si>
  <si>
    <t>2-403号</t>
  </si>
  <si>
    <t>91302006120033</t>
  </si>
  <si>
    <t>京房权证朝私06字第216931号</t>
  </si>
  <si>
    <t>张允波</t>
  </si>
  <si>
    <t>2006-2-CP-09245-U</t>
  </si>
  <si>
    <t>石嘉</t>
  </si>
  <si>
    <t>429005198003078327</t>
  </si>
  <si>
    <t>13911583407</t>
  </si>
  <si>
    <t>91302006120037</t>
  </si>
  <si>
    <t>记税价53万</t>
  </si>
  <si>
    <t>2006-2-CP-09248-U</t>
  </si>
  <si>
    <t>耿昭明</t>
  </si>
  <si>
    <t>110105197708270044</t>
  </si>
  <si>
    <t>18层1803号</t>
  </si>
  <si>
    <t>曹虹</t>
  </si>
  <si>
    <t>91302006111828</t>
  </si>
  <si>
    <t>2006-2-CP-09259-U</t>
  </si>
  <si>
    <t>李庆辉</t>
  </si>
  <si>
    <t>132903197612239612</t>
  </si>
  <si>
    <t>13911358974</t>
  </si>
  <si>
    <t>91302006120059</t>
  </si>
  <si>
    <t>京房权证朝私06字第216234号</t>
  </si>
  <si>
    <t>孟松涛</t>
  </si>
  <si>
    <t>2006-2-CP-09266-U</t>
  </si>
  <si>
    <t>周文飚</t>
  </si>
  <si>
    <t>110108197002055712</t>
  </si>
  <si>
    <t>13520969318</t>
  </si>
  <si>
    <t>狄永见</t>
  </si>
  <si>
    <t>91302006120064</t>
  </si>
  <si>
    <t>2006-2-CP-09267-U</t>
  </si>
  <si>
    <t>冯焕</t>
  </si>
  <si>
    <t>110102197911221935</t>
  </si>
  <si>
    <t>13810699190</t>
  </si>
  <si>
    <t>闻慧</t>
  </si>
  <si>
    <t>91302006120066</t>
  </si>
  <si>
    <t>2006-2-CP-09284-U</t>
  </si>
  <si>
    <t>张妍、张建春</t>
  </si>
  <si>
    <t>120104198302184349、120101195604221034</t>
  </si>
  <si>
    <t>甜水园北里17号楼</t>
  </si>
  <si>
    <t>南-1306号</t>
  </si>
  <si>
    <t>张京萍</t>
  </si>
  <si>
    <t>91302006120093</t>
  </si>
  <si>
    <t>2006-2-CP-09292-U</t>
  </si>
  <si>
    <t>任众</t>
  </si>
  <si>
    <t>110102197906261924</t>
  </si>
  <si>
    <t>13601387254</t>
  </si>
  <si>
    <t>2411号</t>
  </si>
  <si>
    <t>李明霞</t>
  </si>
  <si>
    <t>2006-2-CP-09302-U</t>
  </si>
  <si>
    <t>马超</t>
  </si>
  <si>
    <t>110222198111200058</t>
  </si>
  <si>
    <t>13521514354</t>
  </si>
  <si>
    <t>4-1-103号</t>
  </si>
  <si>
    <t>智国禄</t>
  </si>
  <si>
    <t>2006-2-CP-09317-U</t>
  </si>
  <si>
    <t>王伟力</t>
  </si>
  <si>
    <t>110102195501120024</t>
  </si>
  <si>
    <t>13901074742</t>
  </si>
  <si>
    <t>广顺北大街33号望京大西洋新城C区</t>
  </si>
  <si>
    <t>305号楼</t>
  </si>
  <si>
    <t>1A号</t>
  </si>
  <si>
    <t>李凤香</t>
  </si>
  <si>
    <t>91302006120105</t>
  </si>
  <si>
    <t>实际成交价为118万,9436元/平方米；记税价878976.45元</t>
  </si>
  <si>
    <t>13911182102、84506806</t>
  </si>
  <si>
    <t>2006-2-CP-09344-U</t>
  </si>
  <si>
    <t>李洪海、高亚静</t>
  </si>
  <si>
    <t>110105197212099634、410305197403104020</t>
  </si>
  <si>
    <t>13661233225</t>
  </si>
  <si>
    <t>关汝健</t>
  </si>
  <si>
    <t>91302006120162</t>
  </si>
  <si>
    <t>实际成交价65.5万；记税价55万</t>
  </si>
  <si>
    <t>2006-2-CP-09352-U</t>
  </si>
  <si>
    <t>张文慧</t>
  </si>
  <si>
    <t>110105198112130416</t>
  </si>
  <si>
    <t>64369911</t>
  </si>
  <si>
    <t>汪朴良</t>
  </si>
  <si>
    <t>91302006120183</t>
  </si>
  <si>
    <t>2006-2-CP-09368-U</t>
  </si>
  <si>
    <t>110104197003262013</t>
  </si>
  <si>
    <t>杨丹</t>
  </si>
  <si>
    <t>91302006120214</t>
  </si>
  <si>
    <t>实际成交：100左右</t>
  </si>
  <si>
    <t>2006-2-CP-09370-U</t>
  </si>
  <si>
    <t>张可为</t>
  </si>
  <si>
    <t>110105196804154196</t>
  </si>
  <si>
    <t>13701126324</t>
  </si>
  <si>
    <t>崔广洲</t>
  </si>
  <si>
    <t>91302006120219</t>
  </si>
  <si>
    <t>实际成交价为68万,8685元/平方米</t>
  </si>
  <si>
    <t>2006-2-CP-09382-U</t>
  </si>
  <si>
    <t>杨惠星</t>
  </si>
  <si>
    <t>142321197911020049</t>
  </si>
  <si>
    <t>13810007083</t>
  </si>
  <si>
    <t>窦永彪</t>
  </si>
  <si>
    <t>2006-2-CP-09383-U</t>
  </si>
  <si>
    <t>陈文斌</t>
  </si>
  <si>
    <t>370602197811044914</t>
  </si>
  <si>
    <t>13601073610</t>
  </si>
  <si>
    <t>安苑北里</t>
  </si>
  <si>
    <t>杨天成</t>
  </si>
  <si>
    <t>二室一厅一卫一厨(原为三室一厅一卫一厨)</t>
  </si>
  <si>
    <t>91302006120221</t>
  </si>
  <si>
    <t>2006-2-CP-09402-U</t>
  </si>
  <si>
    <t>110102197605203077</t>
  </si>
  <si>
    <t>13911008544</t>
  </si>
  <si>
    <t>王晓东</t>
  </si>
  <si>
    <t>91302006120264</t>
  </si>
  <si>
    <t>2006-2-CP-09411-U</t>
  </si>
  <si>
    <t>李军</t>
  </si>
  <si>
    <t>652801197210313916</t>
  </si>
  <si>
    <t>13581568607</t>
  </si>
  <si>
    <t>2422号</t>
  </si>
  <si>
    <t>许志榕</t>
  </si>
  <si>
    <t>91302006120283</t>
  </si>
  <si>
    <t>2006-2-CP-09418-U</t>
  </si>
  <si>
    <t>王保国</t>
  </si>
  <si>
    <t>150203197705054813</t>
  </si>
  <si>
    <t>13501169779</t>
  </si>
  <si>
    <t>304号</t>
  </si>
  <si>
    <t>王淑香</t>
  </si>
  <si>
    <t>91302006120291</t>
  </si>
  <si>
    <t>记税价44万</t>
  </si>
  <si>
    <t>2006-2-CP-09419-U</t>
  </si>
  <si>
    <t>马文龙</t>
  </si>
  <si>
    <t>110105196405250017</t>
  </si>
  <si>
    <t>13621170670</t>
  </si>
  <si>
    <t>王彦君</t>
  </si>
  <si>
    <t>91302006120292</t>
  </si>
  <si>
    <t>2006-2-CP-09441-U</t>
  </si>
  <si>
    <t>宁梧蓉</t>
  </si>
  <si>
    <t>430524198004090045</t>
  </si>
  <si>
    <t>13521982053</t>
  </si>
  <si>
    <t>二十四层</t>
  </si>
  <si>
    <t>相立安</t>
  </si>
  <si>
    <t>91302006120323</t>
  </si>
  <si>
    <t>2006-2-CP-09451-U</t>
  </si>
  <si>
    <t>陈彦龙</t>
  </si>
  <si>
    <t>620102198103143910</t>
  </si>
  <si>
    <t>13810032867</t>
  </si>
  <si>
    <t>1205号</t>
  </si>
  <si>
    <t>李文</t>
  </si>
  <si>
    <t>91302006120335</t>
  </si>
  <si>
    <t>记税价48万</t>
  </si>
  <si>
    <t>2006-2-CP-09455-U</t>
  </si>
  <si>
    <t>成璐</t>
  </si>
  <si>
    <t>430304197610080284</t>
  </si>
  <si>
    <t>13681127691</t>
  </si>
  <si>
    <t>白晔</t>
  </si>
  <si>
    <t>91302006120337</t>
  </si>
  <si>
    <t>2006-2-CP-09477-U</t>
  </si>
  <si>
    <t>马瑞强</t>
  </si>
  <si>
    <t>370727197806099630</t>
  </si>
  <si>
    <t>13693371906</t>
  </si>
  <si>
    <t>李衍庆</t>
  </si>
  <si>
    <t>2006-2-CP-09483-U</t>
  </si>
  <si>
    <t>胡一敏</t>
  </si>
  <si>
    <t>42058119800530002X</t>
  </si>
  <si>
    <t>13810485472</t>
  </si>
  <si>
    <t>42号</t>
  </si>
  <si>
    <t>李淑琴</t>
  </si>
  <si>
    <t>91302006120374</t>
  </si>
  <si>
    <t>2006-2-CP-09533-U</t>
  </si>
  <si>
    <t>余泽、郭长鲲</t>
  </si>
  <si>
    <t>110105197609075446、110108197608011415</t>
  </si>
  <si>
    <r>
      <t>建国路29号兴隆家园</t>
    </r>
    <r>
      <rPr>
        <sz val="10"/>
        <rFont val="Times New Roman"/>
        <family val="1"/>
      </rPr>
      <t/>
    </r>
  </si>
  <si>
    <t>602跃层</t>
  </si>
  <si>
    <t>刘箭</t>
  </si>
  <si>
    <t>6、7</t>
  </si>
  <si>
    <t>91302006120457</t>
  </si>
  <si>
    <t>2006-2-CP-09568-U</t>
  </si>
  <si>
    <t>张博</t>
  </si>
  <si>
    <t>220104197904248214</t>
  </si>
  <si>
    <t>422号楼</t>
  </si>
  <si>
    <t>纪斌昆</t>
  </si>
  <si>
    <t>91302006120506</t>
  </si>
  <si>
    <t>记税价70万</t>
  </si>
  <si>
    <t>13901363874</t>
  </si>
  <si>
    <t>2006-2-CP-09572-U</t>
  </si>
  <si>
    <t>蓝轶</t>
  </si>
  <si>
    <t>110102197306061929</t>
  </si>
  <si>
    <t>62151420</t>
  </si>
  <si>
    <t>1703号</t>
  </si>
  <si>
    <t>91302006120510</t>
  </si>
  <si>
    <t>京房权证朝私06字第216235号</t>
  </si>
  <si>
    <t>刘翠先</t>
  </si>
  <si>
    <t>2006-2-CP-09577-U</t>
  </si>
  <si>
    <t>马芳</t>
  </si>
  <si>
    <t>140211197608114421</t>
  </si>
  <si>
    <t>13366755363</t>
  </si>
  <si>
    <t>樱花园东街</t>
  </si>
  <si>
    <t>赵家弟、赵加良</t>
  </si>
  <si>
    <t>91302006120521</t>
  </si>
  <si>
    <t>13611262940、84907865</t>
  </si>
  <si>
    <t>2006-2-CP-09613-U</t>
  </si>
  <si>
    <t>任伟、任蕾</t>
  </si>
  <si>
    <t>110229198210300016、110105198201117723</t>
  </si>
  <si>
    <t>13331094668</t>
  </si>
  <si>
    <t>14门</t>
  </si>
  <si>
    <t>林成东</t>
  </si>
  <si>
    <t>91302006120583</t>
  </si>
  <si>
    <t>2006-2-CP-09631-U</t>
  </si>
  <si>
    <t>吴艳玲</t>
  </si>
  <si>
    <t>222301197808130025</t>
  </si>
  <si>
    <t>13552050456、64105102</t>
  </si>
  <si>
    <t>1407号</t>
  </si>
  <si>
    <t>王馨、陈曦</t>
  </si>
  <si>
    <t>91302006120610</t>
  </si>
  <si>
    <t>实际成交价51万，7748元/平方米</t>
  </si>
  <si>
    <t>2006-2-CP-09675-U</t>
  </si>
  <si>
    <t>曹娅丽</t>
  </si>
  <si>
    <t>140402197809010447</t>
  </si>
  <si>
    <t>81457653</t>
  </si>
  <si>
    <t>003号</t>
  </si>
  <si>
    <t>魏莉</t>
  </si>
  <si>
    <t>91302006120666</t>
  </si>
  <si>
    <t>2006-2-CP-09680-U</t>
  </si>
  <si>
    <t>董进成</t>
  </si>
  <si>
    <t>23023119770819063X</t>
  </si>
  <si>
    <t>68700718</t>
  </si>
  <si>
    <t>1706</t>
  </si>
  <si>
    <t>李志祥</t>
  </si>
  <si>
    <t>65.98</t>
  </si>
  <si>
    <t>470000</t>
  </si>
  <si>
    <t>7123</t>
  </si>
  <si>
    <t>38.98</t>
  </si>
  <si>
    <t>5908</t>
  </si>
  <si>
    <t>31.18</t>
  </si>
  <si>
    <t>1165</t>
  </si>
  <si>
    <t>91302006120679</t>
  </si>
  <si>
    <t>45</t>
  </si>
  <si>
    <t>京房权证朝私06字第216988号</t>
  </si>
  <si>
    <t>2006-12-11</t>
  </si>
  <si>
    <t>2006-12-14</t>
  </si>
  <si>
    <t>2006-2-CP-09696-U</t>
  </si>
  <si>
    <t>董克强</t>
  </si>
  <si>
    <t>370729781124151</t>
  </si>
  <si>
    <t>14单元602号</t>
  </si>
  <si>
    <t>佟建国</t>
  </si>
  <si>
    <t>91302006120713</t>
  </si>
  <si>
    <t>2006-2-CP-09724-U</t>
  </si>
  <si>
    <t>柴云峰、刘慧莉</t>
  </si>
  <si>
    <t>420803197705045931、132423197909260824</t>
  </si>
  <si>
    <t>13366317762、13811052689</t>
  </si>
  <si>
    <t>建国路18号</t>
  </si>
  <si>
    <t>李凤辉</t>
  </si>
  <si>
    <t>91302006120744</t>
  </si>
  <si>
    <t>2006-2-CP-09726-U</t>
  </si>
  <si>
    <t>常鸣</t>
  </si>
  <si>
    <t>110105197604045846</t>
  </si>
  <si>
    <t>13681299405</t>
  </si>
  <si>
    <t>张淑敏</t>
  </si>
  <si>
    <r>
      <t>一室一卫一厨</t>
    </r>
    <r>
      <rPr>
        <sz val="10"/>
        <rFont val="Times New Roman"/>
        <family val="1"/>
      </rPr>
      <t/>
    </r>
  </si>
  <si>
    <t>91302006120746</t>
  </si>
  <si>
    <t>2006-2-CP-09756-U</t>
  </si>
  <si>
    <t>高伟</t>
  </si>
  <si>
    <t>612624197906150058</t>
  </si>
  <si>
    <t>804号楼</t>
  </si>
  <si>
    <t>冉洪</t>
  </si>
  <si>
    <t>91302006120787</t>
  </si>
  <si>
    <t>2006-2-CP-09810-U</t>
  </si>
  <si>
    <t>刘晓晨</t>
  </si>
  <si>
    <t>110102198307310039</t>
  </si>
  <si>
    <t>13641262300、13910531216</t>
  </si>
  <si>
    <t>91302006120861</t>
  </si>
  <si>
    <t>陈雷</t>
  </si>
  <si>
    <t>2006-2-CP-09818-U</t>
  </si>
  <si>
    <t>张媛</t>
  </si>
  <si>
    <t>110101197710114045</t>
  </si>
  <si>
    <t>13810322222</t>
  </si>
  <si>
    <t>91302006120876</t>
  </si>
  <si>
    <t>京房权证朝私06字第216913号</t>
  </si>
  <si>
    <t>惠丽娟</t>
  </si>
  <si>
    <t>2006-2-CP-09821-U</t>
  </si>
  <si>
    <t>刘春云</t>
  </si>
  <si>
    <t>110105197405029229</t>
  </si>
  <si>
    <t>13501094074</t>
  </si>
  <si>
    <t>29幢</t>
  </si>
  <si>
    <t>夏秀峰</t>
  </si>
  <si>
    <t>91302006120874</t>
  </si>
  <si>
    <t>2006-2-CP-09864-U</t>
  </si>
  <si>
    <t>张东骏</t>
  </si>
  <si>
    <t>110105197206285430</t>
  </si>
  <si>
    <t>13801238906</t>
  </si>
  <si>
    <t>望京南湖南路8号</t>
  </si>
  <si>
    <t>高翔宇</t>
  </si>
  <si>
    <t>91302006120934</t>
  </si>
  <si>
    <t>2006-2-CP-09895-U</t>
  </si>
  <si>
    <t>尚蕾</t>
  </si>
  <si>
    <t>110108195507264246</t>
  </si>
  <si>
    <t>13671010574</t>
  </si>
  <si>
    <r>
      <t>光熙门北里</t>
    </r>
    <r>
      <rPr>
        <sz val="10"/>
        <rFont val="Times New Roman"/>
        <family val="1"/>
      </rPr>
      <t/>
    </r>
  </si>
  <si>
    <t>1705号</t>
  </si>
  <si>
    <t>戴建华</t>
  </si>
  <si>
    <t>91302006120918</t>
  </si>
  <si>
    <t>2006-2-CP-09897-U</t>
  </si>
  <si>
    <t>刘安昱</t>
  </si>
  <si>
    <t>210106197905312717</t>
  </si>
  <si>
    <t>常营乡鑫兆佳园</t>
  </si>
  <si>
    <t>张崇</t>
  </si>
  <si>
    <t>91302006120983</t>
  </si>
  <si>
    <t>2006-2-CP-09904-U</t>
  </si>
  <si>
    <t>曹军</t>
  </si>
  <si>
    <t>110108690429229</t>
  </si>
  <si>
    <t>13801176402</t>
  </si>
  <si>
    <t>北苑路172号万兴苑</t>
  </si>
  <si>
    <t>郭晟</t>
  </si>
  <si>
    <t>91302006120992</t>
  </si>
  <si>
    <t>是6月份购买的，成交价偏低；记税价87.5万</t>
  </si>
  <si>
    <t>2006-2-CP-09923-U</t>
  </si>
  <si>
    <t>林淼</t>
  </si>
  <si>
    <t>110101196904290042</t>
  </si>
  <si>
    <t>13341021511</t>
  </si>
  <si>
    <t>0708号</t>
  </si>
  <si>
    <t>王振国</t>
  </si>
  <si>
    <t>91302006121018</t>
  </si>
  <si>
    <t>2006-2-CP-09945-U</t>
  </si>
  <si>
    <t>132401800724011</t>
  </si>
  <si>
    <t>13810557168</t>
  </si>
  <si>
    <t>北四环东路108号千鹤家园</t>
  </si>
  <si>
    <t>马征</t>
  </si>
  <si>
    <t>91302006121052</t>
  </si>
  <si>
    <t>2006-2-CP-09952-U</t>
  </si>
  <si>
    <t>穆德浩</t>
  </si>
  <si>
    <t>110228196711240036</t>
  </si>
  <si>
    <t>11层6号</t>
  </si>
  <si>
    <t>宋素梅</t>
  </si>
  <si>
    <t>91302006121065</t>
  </si>
  <si>
    <t>2006-2-CP-09953-U</t>
  </si>
  <si>
    <t>刘国亮</t>
  </si>
  <si>
    <t>110101197205101550</t>
  </si>
  <si>
    <t>13651273020</t>
  </si>
  <si>
    <t>姚贤良</t>
  </si>
  <si>
    <t>2006-2-CP-09978-U</t>
  </si>
  <si>
    <t>110101197901172061</t>
  </si>
  <si>
    <t>13911093773</t>
  </si>
  <si>
    <t>芍药居甲2号内</t>
  </si>
  <si>
    <t>91302006121112</t>
  </si>
  <si>
    <t>评估免费</t>
  </si>
  <si>
    <t>京房权证朝私06字第217609号</t>
  </si>
  <si>
    <t>贾彦华</t>
  </si>
  <si>
    <t>2006-2-CP-09993-U</t>
  </si>
  <si>
    <t>张煜晗</t>
  </si>
  <si>
    <t>110103198106020648</t>
  </si>
  <si>
    <t>13520129800</t>
  </si>
  <si>
    <t>91302006121150</t>
  </si>
  <si>
    <t>刘以保</t>
  </si>
  <si>
    <t>2006-2-CP-10011-U</t>
  </si>
  <si>
    <t>华静</t>
  </si>
  <si>
    <t>110105197809045823</t>
  </si>
  <si>
    <t>13501337026</t>
  </si>
  <si>
    <t>91302006121160</t>
  </si>
  <si>
    <t>2006-2-CP-10067-U</t>
  </si>
  <si>
    <t>樊阳初</t>
  </si>
  <si>
    <t>142625197803241313</t>
  </si>
  <si>
    <t>13331122686</t>
  </si>
  <si>
    <t>331号</t>
  </si>
  <si>
    <t>胡玉山</t>
  </si>
  <si>
    <t>91302006121254</t>
  </si>
  <si>
    <t>2006-2-CP-10152-U</t>
  </si>
  <si>
    <t>刘向阳</t>
  </si>
  <si>
    <t>210102197107183716</t>
  </si>
  <si>
    <t>13911933398</t>
  </si>
  <si>
    <t>卢宝庆</t>
  </si>
  <si>
    <t>91302006121361</t>
  </si>
  <si>
    <t>2006-2-CP-10186-U</t>
  </si>
  <si>
    <t>王东兴</t>
  </si>
  <si>
    <t>110102197201111117</t>
  </si>
  <si>
    <t>13501285058</t>
  </si>
  <si>
    <t>垡头翠成馨园316号楼</t>
  </si>
  <si>
    <t>马迪</t>
  </si>
  <si>
    <t>2006-2-CP-10290-U</t>
  </si>
  <si>
    <t>周继德、周思愉</t>
  </si>
  <si>
    <t>110101195410162118、110101198212082014</t>
  </si>
  <si>
    <t>13611177292</t>
  </si>
  <si>
    <t>北苑家园莲葩园</t>
  </si>
  <si>
    <t>綦海梅</t>
  </si>
  <si>
    <t>91302006121542</t>
  </si>
  <si>
    <t>实际成交81.5万单价6455</t>
  </si>
  <si>
    <t>2006-2-CP-10296-U</t>
  </si>
  <si>
    <t>石宇</t>
  </si>
  <si>
    <t>11010119731026401X</t>
  </si>
  <si>
    <t>左家庄三区</t>
  </si>
  <si>
    <t>2单元502号</t>
  </si>
  <si>
    <t>91302006121545</t>
  </si>
  <si>
    <t>2006-2-CP-10322-U</t>
  </si>
  <si>
    <t>赵晓阳</t>
  </si>
  <si>
    <t>210104197810203144</t>
  </si>
  <si>
    <t>13683267129</t>
  </si>
  <si>
    <t>团结湖东里12号</t>
  </si>
  <si>
    <t>B楼</t>
  </si>
  <si>
    <t>16A号</t>
  </si>
  <si>
    <t>高翔</t>
  </si>
  <si>
    <t>2006-2-CP-10411-U</t>
  </si>
  <si>
    <t>张涛</t>
  </si>
  <si>
    <t>411082197901133614</t>
  </si>
  <si>
    <t>13611134369</t>
  </si>
  <si>
    <t>杨立生</t>
  </si>
  <si>
    <t xml:space="preserve">杨立生 </t>
  </si>
  <si>
    <t>2006-2-CP-10592-U</t>
  </si>
  <si>
    <t>蒋晓颖</t>
  </si>
  <si>
    <t>320683790728002</t>
  </si>
  <si>
    <t>13910960868</t>
  </si>
  <si>
    <t>2层1号</t>
  </si>
  <si>
    <t>孟庆志</t>
  </si>
  <si>
    <t>91302006121870</t>
  </si>
  <si>
    <t>67820950、81301310</t>
  </si>
  <si>
    <t>5/5</t>
    <phoneticPr fontId="20" type="noConversion"/>
  </si>
  <si>
    <t>6/6</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</si>
</sst>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DBNum1][$-804]General"/>
    <numFmt numFmtId="197" formatCode="000000"/>
    <numFmt numFmtId="198" formatCode="_ &quot;￥&quot;* #,##0.00_ ;_ &quot;￥&quot;* \-#,##0.00_ ;_ &quot;￥&quot;* &quot;-&quot;??_ ;_ @_ "/>
    <numFmt numFmtId="199" formatCode="0000000"/>
    <numFmt numFmtId="200" formatCode="[DBNum2]General"/>
  </numFmts>
  <fonts count="27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宋体"/>
      <family val="3"/>
      <charset val="134"/>
      <scheme val="minor"/>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color rgb="FF333333"/>
      <name val="Microsoft YaHei"/>
      <family val="2"/>
    </font>
    <font>
      <sz val="9"/>
      <color rgb="FF000000"/>
      <name val="Microsoft YaHei"/>
      <family val="2"/>
    </font>
    <font>
      <sz val="9"/>
      <name val="Arial"/>
      <family val="2"/>
    </font>
    <font>
      <sz val="8"/>
      <name val="Arial"/>
      <family val="2"/>
    </font>
    <font>
      <sz val="12"/>
      <color rgb="FF333333"/>
      <name val="Microsoft YaHei"/>
      <family val="2"/>
    </font>
    <font>
      <sz val="10"/>
      <name val="Times New Roman"/>
      <family val="1"/>
    </font>
    <font>
      <sz val="12"/>
      <color indexed="8"/>
      <name val="Times New Roman"/>
      <family val="1"/>
    </font>
    <font>
      <sz val="10"/>
      <color indexed="8"/>
      <name val="Times New Roman"/>
      <family val="1"/>
    </font>
    <font>
      <sz val="9"/>
      <color theme="1"/>
      <name val="华文细黑"/>
      <family val="3"/>
      <charset val="134"/>
    </font>
    <font>
      <sz val="11"/>
      <color rgb="FF000000"/>
      <name val="宋体"/>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
      <patternFill patternType="solid">
        <fgColor rgb="FFFDFDC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5"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CCCCCC"/>
      </left>
      <right style="medium">
        <color rgb="FFCCCCCC"/>
      </right>
      <top style="medium">
        <color rgb="FFCCCCCC"/>
      </top>
      <bottom style="medium">
        <color rgb="FFCCCCCC"/>
      </bottom>
      <diagonal/>
    </border>
  </borders>
  <cellStyleXfs count="2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xf numFmtId="9" fontId="30" fillId="0" borderId="0" applyFont="0" applyFill="0" applyBorder="0" applyAlignment="0" applyProtection="0"/>
    <xf numFmtId="0" fontId="30" fillId="0" borderId="0"/>
    <xf numFmtId="198" fontId="30" fillId="0" borderId="0" applyFont="0" applyFill="0" applyBorder="0" applyAlignment="0" applyProtection="0"/>
    <xf numFmtId="44" fontId="93" fillId="0" borderId="0" applyFont="0" applyFill="0" applyBorder="0" applyAlignment="0" applyProtection="0">
      <alignment vertical="center"/>
    </xf>
    <xf numFmtId="44" fontId="30" fillId="0" borderId="0" applyFont="0" applyFill="0" applyBorder="0" applyAlignment="0" applyProtection="0"/>
    <xf numFmtId="9" fontId="30" fillId="0" borderId="0" applyFont="0" applyFill="0" applyBorder="0" applyAlignment="0" applyProtection="0"/>
    <xf numFmtId="0" fontId="93" fillId="0" borderId="0">
      <alignment vertical="center"/>
    </xf>
    <xf numFmtId="0" fontId="93" fillId="0" borderId="0"/>
    <xf numFmtId="0" fontId="194" fillId="0" borderId="0"/>
    <xf numFmtId="0" fontId="194" fillId="0" borderId="0"/>
  </cellStyleXfs>
  <cellXfs count="37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25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8"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9" fillId="21"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256" fillId="0" borderId="1" xfId="0" applyNumberFormat="1" applyFont="1" applyBorder="1" applyAlignment="1" applyProtection="1">
      <alignment horizontal="center" vertical="center" wrapText="1" shrinkToFit="1"/>
      <protection locked="0"/>
    </xf>
    <xf numFmtId="9" fontId="108" fillId="0" borderId="1" xfId="14" applyFont="1" applyBorder="1" applyAlignment="1" applyProtection="1">
      <alignment wrapText="1"/>
      <protection locked="0"/>
    </xf>
    <xf numFmtId="0" fontId="261" fillId="22" borderId="176" xfId="0" applyFont="1" applyFill="1" applyBorder="1" applyAlignment="1">
      <alignment horizontal="center" vertical="center" wrapText="1"/>
    </xf>
    <xf numFmtId="0" fontId="135" fillId="0" borderId="46"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62" fillId="5" borderId="16" xfId="0" applyNumberFormat="1" applyFont="1" applyFill="1" applyBorder="1" applyAlignment="1" applyProtection="1">
      <alignment horizontal="left" vertical="center" wrapText="1"/>
    </xf>
    <xf numFmtId="49" fontId="263" fillId="5" borderId="22" xfId="0" applyNumberFormat="1"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6" fillId="0" borderId="1" xfId="0" applyFont="1" applyBorder="1" applyAlignment="1">
      <alignment horizontal="center"/>
    </xf>
    <xf numFmtId="0" fontId="16" fillId="0" borderId="1" xfId="0" applyFont="1" applyBorder="1" applyAlignment="1"/>
    <xf numFmtId="0" fontId="260" fillId="22" borderId="176" xfId="0" applyFont="1" applyFill="1" applyBorder="1" applyAlignment="1">
      <alignment horizontal="center" vertical="center" wrapText="1"/>
    </xf>
    <xf numFmtId="0" fontId="264" fillId="22" borderId="176" xfId="0" applyFont="1" applyFill="1" applyBorder="1" applyAlignment="1">
      <alignment horizontal="center" vertical="center" wrapText="1"/>
    </xf>
    <xf numFmtId="14" fontId="260" fillId="22" borderId="176" xfId="0" applyNumberFormat="1" applyFont="1" applyFill="1" applyBorder="1" applyAlignment="1">
      <alignment horizontal="center" vertical="center" wrapText="1"/>
    </xf>
    <xf numFmtId="49" fontId="16" fillId="0" borderId="1" xfId="0" applyNumberFormat="1" applyFont="1" applyBorder="1" applyAlignment="1"/>
    <xf numFmtId="0" fontId="16" fillId="0" borderId="1" xfId="0" applyFont="1" applyBorder="1" applyAlignment="1">
      <alignment horizontal="left"/>
    </xf>
    <xf numFmtId="176" fontId="16" fillId="0" borderId="1" xfId="0" applyNumberFormat="1" applyFont="1" applyBorder="1" applyAlignment="1"/>
    <xf numFmtId="186" fontId="16" fillId="0" borderId="1" xfId="0" applyNumberFormat="1" applyFont="1" applyBorder="1" applyAlignment="1">
      <alignment horizontal="right"/>
    </xf>
    <xf numFmtId="2" fontId="16" fillId="0" borderId="1" xfId="0" applyNumberFormat="1" applyFont="1" applyBorder="1" applyAlignment="1">
      <alignment horizontal="right"/>
    </xf>
    <xf numFmtId="182" fontId="16" fillId="0" borderId="1" xfId="0" applyNumberFormat="1" applyFont="1" applyBorder="1" applyAlignment="1"/>
    <xf numFmtId="182" fontId="16" fillId="0" borderId="1" xfId="0" applyNumberFormat="1" applyFont="1" applyBorder="1" applyAlignment="1">
      <alignment horizontal="right"/>
    </xf>
    <xf numFmtId="0" fontId="16" fillId="0" borderId="1" xfId="0" applyFont="1" applyBorder="1" applyAlignment="1" applyProtection="1">
      <protection locked="0"/>
    </xf>
    <xf numFmtId="31" fontId="16" fillId="0" borderId="1" xfId="0" applyNumberFormat="1" applyFont="1" applyBorder="1" applyAlignment="1"/>
    <xf numFmtId="196" fontId="16" fillId="0" borderId="1" xfId="0" applyNumberFormat="1" applyFont="1" applyBorder="1" applyAlignment="1">
      <alignment horizontal="left"/>
    </xf>
    <xf numFmtId="49" fontId="16" fillId="0" borderId="1" xfId="0" applyNumberFormat="1" applyFont="1" applyBorder="1" applyAlignment="1" applyProtection="1">
      <protection locked="0"/>
    </xf>
    <xf numFmtId="197" fontId="16" fillId="0" borderId="1" xfId="0" applyNumberFormat="1" applyFont="1" applyBorder="1" applyAlignment="1" applyProtection="1">
      <protection locked="0"/>
    </xf>
    <xf numFmtId="179" fontId="16" fillId="0" borderId="1" xfId="0" applyNumberFormat="1" applyFont="1" applyBorder="1" applyAlignment="1" applyProtection="1">
      <protection locked="0"/>
    </xf>
    <xf numFmtId="31" fontId="16" fillId="0" borderId="1" xfId="0" applyNumberFormat="1" applyFont="1" applyBorder="1" applyAlignment="1">
      <alignment horizontal="right"/>
    </xf>
    <xf numFmtId="0" fontId="16" fillId="0" borderId="1" xfId="0" applyFont="1" applyBorder="1" applyAlignment="1" applyProtection="1">
      <alignment horizontal="center"/>
      <protection locked="0"/>
    </xf>
    <xf numFmtId="31" fontId="16" fillId="0" borderId="1" xfId="0" applyNumberFormat="1" applyFont="1" applyBorder="1" applyAlignment="1">
      <alignment horizontal="left"/>
    </xf>
    <xf numFmtId="184" fontId="16" fillId="0" borderId="1" xfId="0" applyNumberFormat="1" applyFont="1" applyBorder="1" applyAlignment="1" applyProtection="1">
      <protection locked="0"/>
    </xf>
    <xf numFmtId="0" fontId="16" fillId="0" borderId="0" xfId="0" applyFont="1" applyAlignment="1"/>
    <xf numFmtId="197" fontId="16" fillId="0" borderId="1" xfId="0" applyNumberFormat="1" applyFont="1" applyBorder="1" applyAlignment="1"/>
    <xf numFmtId="179" fontId="16" fillId="0" borderId="1" xfId="0" applyNumberFormat="1" applyFont="1" applyBorder="1" applyAlignment="1"/>
    <xf numFmtId="184" fontId="16" fillId="0" borderId="1" xfId="0" applyNumberFormat="1" applyFont="1" applyBorder="1" applyAlignment="1"/>
    <xf numFmtId="49" fontId="136" fillId="23" borderId="1" xfId="1" applyNumberFormat="1" applyFont="1" applyFill="1" applyBorder="1" applyAlignment="1" applyProtection="1">
      <alignment horizontal="center"/>
      <protection locked="0"/>
    </xf>
    <xf numFmtId="0" fontId="136" fillId="23" borderId="1" xfId="1" applyFont="1" applyFill="1" applyBorder="1" applyAlignment="1" applyProtection="1">
      <alignment horizontal="center"/>
      <protection locked="0"/>
    </xf>
    <xf numFmtId="176" fontId="136" fillId="23" borderId="1" xfId="1" applyNumberFormat="1" applyFont="1" applyFill="1" applyBorder="1" applyAlignment="1" applyProtection="1">
      <alignment horizontal="center"/>
      <protection locked="0"/>
    </xf>
    <xf numFmtId="186" fontId="136" fillId="23" borderId="1" xfId="1" applyNumberFormat="1" applyFont="1" applyFill="1" applyBorder="1" applyAlignment="1" applyProtection="1">
      <alignment horizontal="right"/>
      <protection locked="0"/>
    </xf>
    <xf numFmtId="182" fontId="136" fillId="23" borderId="1" xfId="1" applyNumberFormat="1" applyFont="1" applyFill="1" applyBorder="1" applyAlignment="1" applyProtection="1">
      <alignment horizontal="center"/>
      <protection locked="0"/>
    </xf>
    <xf numFmtId="0" fontId="230" fillId="23" borderId="1" xfId="1" applyFont="1" applyFill="1" applyBorder="1" applyAlignment="1" applyProtection="1">
      <alignment horizontal="center"/>
      <protection locked="0"/>
    </xf>
    <xf numFmtId="31" fontId="136" fillId="23" borderId="1" xfId="1" applyNumberFormat="1" applyFont="1" applyFill="1" applyBorder="1" applyAlignment="1" applyProtection="1">
      <alignment horizontal="center"/>
      <protection locked="0"/>
    </xf>
    <xf numFmtId="0" fontId="136" fillId="23" borderId="1" xfId="1" applyFont="1" applyFill="1" applyBorder="1" applyAlignment="1">
      <alignment horizontal="center"/>
    </xf>
    <xf numFmtId="0" fontId="136" fillId="24" borderId="1" xfId="1" applyFont="1" applyFill="1" applyBorder="1" applyAlignment="1" applyProtection="1">
      <alignment horizontal="center"/>
      <protection locked="0"/>
    </xf>
    <xf numFmtId="46" fontId="136" fillId="24" borderId="1" xfId="1" applyNumberFormat="1" applyFont="1" applyFill="1" applyBorder="1" applyAlignment="1" applyProtection="1">
      <alignment horizontal="center"/>
      <protection locked="0"/>
    </xf>
    <xf numFmtId="49" fontId="136" fillId="24" borderId="1" xfId="1" applyNumberFormat="1" applyFont="1" applyFill="1" applyBorder="1" applyAlignment="1" applyProtection="1">
      <alignment horizontal="center"/>
      <protection locked="0"/>
    </xf>
    <xf numFmtId="197" fontId="136" fillId="24" borderId="1" xfId="1" applyNumberFormat="1" applyFont="1" applyFill="1" applyBorder="1" applyAlignment="1" applyProtection="1">
      <alignment horizontal="center"/>
      <protection locked="0"/>
    </xf>
    <xf numFmtId="179" fontId="136" fillId="24" borderId="1" xfId="1" applyNumberFormat="1" applyFont="1" applyFill="1" applyBorder="1" applyAlignment="1" applyProtection="1">
      <alignment horizontal="center"/>
      <protection locked="0"/>
    </xf>
    <xf numFmtId="31" fontId="136" fillId="24" borderId="1" xfId="1" applyNumberFormat="1" applyFont="1" applyFill="1" applyBorder="1" applyAlignment="1" applyProtection="1">
      <alignment horizontal="center"/>
      <protection locked="0"/>
    </xf>
    <xf numFmtId="184" fontId="136" fillId="23" borderId="1" xfId="1" applyNumberFormat="1" applyFont="1" applyFill="1" applyBorder="1" applyAlignment="1" applyProtection="1">
      <alignment horizontal="center"/>
      <protection locked="0"/>
    </xf>
    <xf numFmtId="184" fontId="230" fillId="23" borderId="1" xfId="1" applyNumberFormat="1" applyFont="1" applyFill="1" applyBorder="1" applyAlignment="1" applyProtection="1">
      <alignment horizontal="center"/>
      <protection locked="0"/>
    </xf>
    <xf numFmtId="0" fontId="136" fillId="25" borderId="1" xfId="1" applyFont="1" applyFill="1" applyBorder="1" applyAlignment="1" applyProtection="1">
      <alignment horizontal="center"/>
      <protection locked="0"/>
    </xf>
    <xf numFmtId="0" fontId="136" fillId="0" borderId="0" xfId="1" applyFont="1" applyAlignment="1" applyProtection="1">
      <alignment horizontal="center"/>
      <protection locked="0"/>
    </xf>
    <xf numFmtId="49" fontId="16" fillId="0" borderId="1" xfId="0" applyNumberFormat="1" applyFont="1" applyBorder="1" applyAlignment="1">
      <alignment horizontal="left"/>
    </xf>
    <xf numFmtId="0" fontId="260" fillId="0" borderId="0" xfId="0" applyFont="1">
      <alignment vertical="center"/>
    </xf>
    <xf numFmtId="0" fontId="16" fillId="24" borderId="1" xfId="0" applyFont="1" applyFill="1" applyBorder="1" applyAlignment="1"/>
    <xf numFmtId="0" fontId="92" fillId="0" borderId="11" xfId="0" applyNumberFormat="1" applyFont="1" applyFill="1" applyBorder="1" applyAlignment="1" applyProtection="1">
      <alignment horizontal="left" vertical="center" wrapText="1"/>
      <protection locked="0"/>
    </xf>
    <xf numFmtId="58" fontId="39" fillId="0" borderId="23" xfId="0" applyNumberFormat="1" applyFont="1" applyFill="1" applyBorder="1" applyAlignment="1" applyProtection="1">
      <alignment horizontal="left" vertical="center" wrapText="1"/>
      <protection locked="0"/>
    </xf>
    <xf numFmtId="49" fontId="136" fillId="23" borderId="1" xfId="16" applyNumberFormat="1" applyFont="1" applyFill="1" applyBorder="1" applyAlignment="1" applyProtection="1">
      <alignment horizontal="center"/>
      <protection locked="0"/>
    </xf>
    <xf numFmtId="0" fontId="136" fillId="23" borderId="1" xfId="16" applyFont="1" applyFill="1" applyBorder="1" applyAlignment="1" applyProtection="1">
      <alignment horizontal="center"/>
      <protection locked="0"/>
    </xf>
    <xf numFmtId="182" fontId="136" fillId="23" borderId="1" xfId="16" applyNumberFormat="1" applyFont="1" applyFill="1" applyBorder="1" applyAlignment="1" applyProtection="1">
      <alignment horizontal="center"/>
      <protection locked="0"/>
    </xf>
    <xf numFmtId="0" fontId="230" fillId="23" borderId="1" xfId="16" applyFont="1" applyFill="1" applyBorder="1" applyAlignment="1" applyProtection="1">
      <alignment horizontal="center"/>
      <protection locked="0"/>
    </xf>
    <xf numFmtId="31" fontId="136" fillId="23" borderId="1" xfId="16" applyNumberFormat="1" applyFont="1" applyFill="1" applyBorder="1" applyAlignment="1" applyProtection="1">
      <alignment horizontal="center"/>
      <protection locked="0"/>
    </xf>
    <xf numFmtId="0" fontId="136" fillId="23" borderId="1" xfId="16" applyFont="1" applyFill="1" applyBorder="1" applyAlignment="1">
      <alignment horizontal="center"/>
    </xf>
    <xf numFmtId="184" fontId="136" fillId="23" borderId="1" xfId="16" applyNumberFormat="1" applyFont="1" applyFill="1" applyBorder="1" applyAlignment="1" applyProtection="1">
      <alignment horizontal="center"/>
      <protection locked="0"/>
    </xf>
    <xf numFmtId="184" fontId="230" fillId="23" borderId="1" xfId="16" applyNumberFormat="1" applyFont="1" applyFill="1" applyBorder="1" applyAlignment="1" applyProtection="1">
      <alignment horizontal="center"/>
      <protection locked="0"/>
    </xf>
    <xf numFmtId="49" fontId="39" fillId="0" borderId="32" xfId="0" applyNumberFormat="1" applyFont="1" applyFill="1" applyBorder="1" applyAlignment="1" applyProtection="1">
      <alignment horizontal="left" vertical="center" wrapText="1"/>
      <protection locked="0"/>
    </xf>
    <xf numFmtId="49" fontId="39" fillId="0" borderId="75"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44" fontId="16" fillId="0" borderId="1" xfId="19" applyFont="1" applyFill="1" applyBorder="1" applyAlignment="1">
      <alignment horizontal="left"/>
    </xf>
    <xf numFmtId="0" fontId="16" fillId="23" borderId="1" xfId="16" applyFont="1" applyFill="1" applyBorder="1" applyAlignment="1" applyProtection="1">
      <alignment horizontal="center"/>
      <protection locked="0"/>
    </xf>
    <xf numFmtId="31" fontId="16" fillId="23" borderId="1" xfId="16" applyNumberFormat="1" applyFont="1" applyFill="1" applyBorder="1" applyProtection="1">
      <protection locked="0"/>
    </xf>
    <xf numFmtId="0" fontId="16" fillId="23" borderId="1" xfId="16" applyFont="1" applyFill="1" applyBorder="1" applyAlignment="1" applyProtection="1">
      <alignment horizontal="left"/>
      <protection locked="0"/>
    </xf>
    <xf numFmtId="0" fontId="16" fillId="23" borderId="1" xfId="16" applyFont="1" applyFill="1" applyBorder="1" applyAlignment="1" applyProtection="1">
      <alignment horizontal="right"/>
      <protection locked="0"/>
    </xf>
    <xf numFmtId="182" fontId="16" fillId="23" borderId="1" xfId="16" applyNumberFormat="1" applyFont="1" applyFill="1" applyBorder="1" applyAlignment="1" applyProtection="1">
      <alignment horizontal="right"/>
      <protection locked="0"/>
    </xf>
    <xf numFmtId="0" fontId="16" fillId="23" borderId="1" xfId="16" applyFont="1" applyFill="1" applyBorder="1" applyProtection="1">
      <protection locked="0"/>
    </xf>
    <xf numFmtId="182" fontId="16" fillId="23" borderId="1" xfId="16" applyNumberFormat="1" applyFont="1" applyFill="1" applyBorder="1" applyAlignment="1" applyProtection="1">
      <alignment horizontal="left"/>
      <protection locked="0"/>
    </xf>
    <xf numFmtId="49" fontId="16" fillId="23" borderId="1" xfId="16" applyNumberFormat="1" applyFont="1" applyFill="1" applyBorder="1" applyAlignment="1" applyProtection="1">
      <alignment horizontal="center"/>
      <protection locked="0"/>
    </xf>
    <xf numFmtId="49" fontId="16" fillId="23" borderId="1" xfId="16" applyNumberFormat="1" applyFont="1" applyFill="1" applyBorder="1" applyAlignment="1" applyProtection="1">
      <alignment horizontal="left"/>
      <protection locked="0"/>
    </xf>
    <xf numFmtId="0" fontId="135" fillId="26" borderId="19" xfId="0" applyNumberFormat="1" applyFont="1" applyFill="1" applyBorder="1" applyAlignment="1" applyProtection="1">
      <alignment horizontal="left" vertical="center" wrapText="1"/>
      <protection locked="0"/>
    </xf>
    <xf numFmtId="0" fontId="46" fillId="26" borderId="19" xfId="0" applyNumberFormat="1" applyFont="1" applyFill="1" applyBorder="1" applyAlignment="1" applyProtection="1">
      <alignment horizontal="left" vertical="center" wrapText="1"/>
      <protection locked="0"/>
    </xf>
    <xf numFmtId="0" fontId="268" fillId="0" borderId="0" xfId="0" applyFont="1" applyProtection="1">
      <alignment vertical="center"/>
      <protection locked="0"/>
    </xf>
    <xf numFmtId="0" fontId="269" fillId="0" borderId="32" xfId="0" applyNumberFormat="1" applyFont="1" applyFill="1" applyBorder="1" applyAlignment="1" applyProtection="1">
      <alignment horizontal="left" vertical="center" wrapText="1"/>
      <protection locked="0"/>
    </xf>
    <xf numFmtId="184" fontId="16" fillId="23" borderId="1" xfId="16" applyNumberFormat="1" applyFont="1" applyFill="1" applyBorder="1" applyProtection="1">
      <protection locked="0"/>
    </xf>
    <xf numFmtId="49" fontId="16" fillId="23" borderId="1" xfId="16" applyNumberFormat="1" applyFont="1" applyFill="1" applyBorder="1" applyProtection="1">
      <protection locked="0"/>
    </xf>
    <xf numFmtId="197" fontId="16" fillId="23" borderId="1" xfId="16" applyNumberFormat="1" applyFont="1" applyFill="1" applyBorder="1" applyProtection="1">
      <protection locked="0"/>
    </xf>
    <xf numFmtId="179" fontId="16" fillId="23" borderId="1" xfId="16" applyNumberFormat="1" applyFont="1" applyFill="1" applyBorder="1" applyProtection="1">
      <protection locked="0"/>
    </xf>
    <xf numFmtId="0" fontId="16" fillId="0" borderId="0" xfId="16" applyFont="1" applyProtection="1">
      <protection locked="0"/>
    </xf>
    <xf numFmtId="46" fontId="136" fillId="23" borderId="1" xfId="16" applyNumberFormat="1" applyFont="1" applyFill="1" applyBorder="1" applyAlignment="1" applyProtection="1">
      <alignment horizontal="center"/>
      <protection locked="0"/>
    </xf>
    <xf numFmtId="197" fontId="136" fillId="23" borderId="1" xfId="16" applyNumberFormat="1" applyFont="1" applyFill="1" applyBorder="1" applyAlignment="1" applyProtection="1">
      <alignment horizontal="center"/>
      <protection locked="0"/>
    </xf>
    <xf numFmtId="179" fontId="136" fillId="23" borderId="1" xfId="16" applyNumberFormat="1" applyFont="1" applyFill="1" applyBorder="1" applyAlignment="1" applyProtection="1">
      <alignment horizontal="center"/>
      <protection locked="0"/>
    </xf>
    <xf numFmtId="0" fontId="136" fillId="0" borderId="0" xfId="16" applyFont="1" applyAlignment="1" applyProtection="1">
      <alignment horizontal="center"/>
      <protection locked="0"/>
    </xf>
    <xf numFmtId="0" fontId="16" fillId="0" borderId="1" xfId="16" applyFont="1" applyBorder="1"/>
    <xf numFmtId="0" fontId="16" fillId="0" borderId="1" xfId="16" applyFont="1" applyBorder="1" applyAlignment="1">
      <alignment horizontal="left"/>
    </xf>
    <xf numFmtId="49" fontId="16" fillId="0" borderId="1" xfId="16" applyNumberFormat="1" applyFont="1" applyBorder="1"/>
    <xf numFmtId="0" fontId="16" fillId="0" borderId="1" xfId="16" applyFont="1" applyBorder="1" applyAlignment="1">
      <alignment horizontal="right"/>
    </xf>
    <xf numFmtId="1" fontId="16" fillId="0" borderId="1" xfId="16" applyNumberFormat="1" applyFont="1" applyBorder="1" applyAlignment="1">
      <alignment horizontal="center"/>
    </xf>
    <xf numFmtId="2" fontId="16" fillId="0" borderId="1" xfId="16" applyNumberFormat="1" applyFont="1" applyBorder="1" applyAlignment="1">
      <alignment horizontal="right"/>
    </xf>
    <xf numFmtId="182" fontId="16" fillId="0" borderId="1" xfId="16" applyNumberFormat="1" applyFont="1" applyBorder="1"/>
    <xf numFmtId="9" fontId="16" fillId="0" borderId="1" xfId="16" applyNumberFormat="1" applyFont="1" applyBorder="1" applyAlignment="1">
      <alignment horizontal="right"/>
    </xf>
    <xf numFmtId="182" fontId="16" fillId="0" borderId="1" xfId="16" applyNumberFormat="1" applyFont="1" applyBorder="1" applyAlignment="1">
      <alignment horizontal="right"/>
    </xf>
    <xf numFmtId="0" fontId="16" fillId="0" borderId="1" xfId="16" applyFont="1" applyBorder="1" applyProtection="1">
      <protection locked="0"/>
    </xf>
    <xf numFmtId="184" fontId="16" fillId="0" borderId="1" xfId="16" applyNumberFormat="1" applyFont="1" applyBorder="1" applyAlignment="1">
      <alignment horizontal="right"/>
    </xf>
    <xf numFmtId="196" fontId="16" fillId="0" borderId="1" xfId="16" applyNumberFormat="1" applyFont="1" applyBorder="1" applyAlignment="1">
      <alignment horizontal="left"/>
    </xf>
    <xf numFmtId="0" fontId="16" fillId="0" borderId="1" xfId="16" applyFont="1" applyBorder="1" applyAlignment="1">
      <alignment horizontal="center"/>
    </xf>
    <xf numFmtId="49" fontId="16" fillId="0" borderId="1" xfId="16" applyNumberFormat="1" applyFont="1" applyBorder="1" applyAlignment="1">
      <alignment horizontal="left"/>
    </xf>
    <xf numFmtId="179" fontId="16" fillId="0" borderId="1" xfId="16" applyNumberFormat="1" applyFont="1" applyBorder="1" applyProtection="1">
      <protection locked="0"/>
    </xf>
    <xf numFmtId="49" fontId="16" fillId="0" borderId="1" xfId="16" applyNumberFormat="1" applyFont="1" applyBorder="1" applyAlignment="1">
      <alignment horizontal="right"/>
    </xf>
    <xf numFmtId="184" fontId="16" fillId="0" borderId="1" xfId="16" applyNumberFormat="1" applyFont="1" applyBorder="1" applyProtection="1">
      <protection locked="0"/>
    </xf>
    <xf numFmtId="31" fontId="16" fillId="0" borderId="1" xfId="16" applyNumberFormat="1" applyFont="1" applyBorder="1"/>
    <xf numFmtId="0" fontId="75" fillId="0" borderId="0" xfId="16" applyFont="1"/>
    <xf numFmtId="176" fontId="16" fillId="0" borderId="1" xfId="16" applyNumberFormat="1" applyFont="1" applyBorder="1" applyAlignment="1">
      <alignment horizontal="right"/>
    </xf>
    <xf numFmtId="186" fontId="16" fillId="0" borderId="1" xfId="16" applyNumberFormat="1" applyFont="1" applyBorder="1" applyAlignment="1">
      <alignment horizontal="right"/>
    </xf>
    <xf numFmtId="1" fontId="16" fillId="0" borderId="1" xfId="16" applyNumberFormat="1" applyFont="1" applyBorder="1" applyAlignment="1">
      <alignment horizontal="right"/>
    </xf>
    <xf numFmtId="9" fontId="16" fillId="0" borderId="1" xfId="16" applyNumberFormat="1" applyFont="1" applyBorder="1"/>
    <xf numFmtId="31" fontId="16" fillId="0" borderId="1" xfId="16" applyNumberFormat="1" applyFont="1" applyBorder="1" applyAlignment="1">
      <alignment horizontal="right"/>
    </xf>
    <xf numFmtId="49" fontId="16" fillId="0" borderId="1" xfId="16" applyNumberFormat="1" applyFont="1" applyBorder="1" applyProtection="1">
      <protection locked="0"/>
    </xf>
    <xf numFmtId="197" fontId="16" fillId="0" borderId="1" xfId="16" applyNumberFormat="1" applyFont="1" applyBorder="1" applyProtection="1">
      <protection locked="0"/>
    </xf>
    <xf numFmtId="31" fontId="16" fillId="0" borderId="1" xfId="16" applyNumberFormat="1" applyFont="1" applyBorder="1" applyAlignment="1" applyProtection="1">
      <alignment horizontal="right"/>
      <protection locked="0"/>
    </xf>
    <xf numFmtId="0" fontId="75" fillId="0" borderId="1" xfId="16" applyFont="1" applyBorder="1" applyProtection="1">
      <protection locked="0"/>
    </xf>
    <xf numFmtId="0" fontId="75" fillId="0" borderId="1" xfId="16" applyFont="1" applyBorder="1"/>
    <xf numFmtId="0" fontId="16" fillId="0" borderId="1" xfId="16" applyFont="1" applyBorder="1" applyAlignment="1" applyProtection="1">
      <alignment horizontal="left"/>
      <protection locked="0"/>
    </xf>
    <xf numFmtId="197" fontId="16" fillId="0" borderId="1" xfId="16" applyNumberFormat="1" applyFont="1" applyBorder="1" applyAlignment="1" applyProtection="1">
      <alignment horizontal="left"/>
      <protection locked="0"/>
    </xf>
    <xf numFmtId="197" fontId="16" fillId="0" borderId="1" xfId="16" applyNumberFormat="1" applyFont="1" applyBorder="1" applyAlignment="1" applyProtection="1">
      <alignment horizontal="right"/>
      <protection locked="0"/>
    </xf>
    <xf numFmtId="31" fontId="16" fillId="0" borderId="1" xfId="16" applyNumberFormat="1" applyFont="1" applyBorder="1" applyProtection="1">
      <protection locked="0"/>
    </xf>
    <xf numFmtId="176" fontId="16" fillId="0" borderId="1" xfId="16" applyNumberFormat="1" applyFont="1" applyBorder="1"/>
    <xf numFmtId="0" fontId="16" fillId="0" borderId="1" xfId="23" applyFont="1" applyBorder="1" applyAlignment="1">
      <alignment horizontal="right"/>
    </xf>
    <xf numFmtId="0" fontId="16" fillId="0" borderId="1" xfId="23" applyFont="1" applyBorder="1" applyAlignment="1">
      <alignment horizontal="left"/>
    </xf>
    <xf numFmtId="184" fontId="16" fillId="0" borderId="1" xfId="16" applyNumberFormat="1" applyFont="1" applyBorder="1"/>
    <xf numFmtId="197" fontId="16" fillId="0" borderId="1" xfId="16" applyNumberFormat="1" applyFont="1" applyBorder="1"/>
    <xf numFmtId="179" fontId="16" fillId="0" borderId="1" xfId="16" applyNumberFormat="1" applyFont="1" applyBorder="1"/>
    <xf numFmtId="0" fontId="16" fillId="0" borderId="1" xfId="23" applyFont="1" applyBorder="1" applyAlignment="1">
      <alignment horizontal="left" wrapText="1"/>
    </xf>
    <xf numFmtId="31" fontId="16" fillId="0" borderId="1" xfId="16" applyNumberFormat="1" applyFont="1" applyBorder="1" applyAlignment="1">
      <alignment horizontal="left"/>
    </xf>
    <xf numFmtId="49" fontId="16" fillId="0" borderId="1" xfId="19" applyNumberFormat="1" applyFont="1" applyFill="1" applyBorder="1" applyAlignment="1">
      <alignment horizontal="left"/>
    </xf>
    <xf numFmtId="49" fontId="16" fillId="0" borderId="1" xfId="16" applyNumberFormat="1" applyFont="1" applyBorder="1" applyAlignment="1" applyProtection="1">
      <alignment horizontal="right"/>
      <protection locked="0"/>
    </xf>
    <xf numFmtId="1" fontId="75" fillId="0" borderId="1" xfId="16" applyNumberFormat="1" applyFont="1" applyBorder="1" applyAlignment="1">
      <alignment horizontal="right"/>
    </xf>
    <xf numFmtId="2" fontId="75" fillId="0" borderId="1" xfId="16" applyNumberFormat="1" applyFont="1" applyBorder="1" applyAlignment="1">
      <alignment horizontal="right"/>
    </xf>
    <xf numFmtId="182" fontId="75" fillId="0" borderId="1" xfId="16" applyNumberFormat="1" applyFont="1" applyBorder="1"/>
    <xf numFmtId="57" fontId="16" fillId="0" borderId="1" xfId="16" applyNumberFormat="1" applyFont="1" applyBorder="1" applyAlignment="1">
      <alignment horizontal="left"/>
    </xf>
    <xf numFmtId="0" fontId="16" fillId="0" borderId="1" xfId="16" applyFont="1" applyBorder="1" applyAlignment="1" applyProtection="1">
      <alignment horizontal="center"/>
      <protection locked="0"/>
    </xf>
    <xf numFmtId="31" fontId="75" fillId="0" borderId="1" xfId="16" applyNumberFormat="1" applyFont="1" applyBorder="1"/>
    <xf numFmtId="196" fontId="16" fillId="0" borderId="1" xfId="16" applyNumberFormat="1" applyFont="1" applyBorder="1" applyAlignment="1">
      <alignment horizontal="center"/>
    </xf>
    <xf numFmtId="186" fontId="16" fillId="0" borderId="1" xfId="16" applyNumberFormat="1" applyFont="1" applyBorder="1"/>
    <xf numFmtId="2" fontId="16" fillId="0" borderId="1" xfId="16" applyNumberFormat="1" applyFont="1" applyBorder="1"/>
    <xf numFmtId="0" fontId="75" fillId="0" borderId="1" xfId="23" applyFont="1" applyBorder="1" applyAlignment="1">
      <alignment horizontal="left" wrapText="1"/>
    </xf>
    <xf numFmtId="49" fontId="75" fillId="0" borderId="1" xfId="16" applyNumberFormat="1" applyFont="1" applyBorder="1"/>
    <xf numFmtId="44" fontId="75" fillId="0" borderId="1" xfId="19" applyFont="1" applyFill="1" applyBorder="1" applyAlignment="1">
      <alignment horizontal="left"/>
    </xf>
    <xf numFmtId="0" fontId="75" fillId="0" borderId="1" xfId="16" applyFont="1" applyBorder="1" applyAlignment="1">
      <alignment horizontal="right"/>
    </xf>
    <xf numFmtId="1" fontId="75" fillId="0" borderId="1" xfId="16" applyNumberFormat="1" applyFont="1" applyBorder="1" applyAlignment="1">
      <alignment horizontal="center"/>
    </xf>
    <xf numFmtId="9" fontId="75" fillId="0" borderId="1" xfId="16" applyNumberFormat="1" applyFont="1" applyBorder="1"/>
    <xf numFmtId="182" fontId="75" fillId="0" borderId="1" xfId="16" applyNumberFormat="1" applyFont="1" applyBorder="1" applyAlignment="1">
      <alignment horizontal="right"/>
    </xf>
    <xf numFmtId="0" fontId="75" fillId="0" borderId="1" xfId="16" applyFont="1" applyBorder="1" applyAlignment="1">
      <alignment horizontal="center"/>
    </xf>
    <xf numFmtId="49" fontId="75" fillId="0" borderId="1" xfId="16" applyNumberFormat="1" applyFont="1" applyBorder="1" applyProtection="1">
      <protection locked="0"/>
    </xf>
    <xf numFmtId="197" fontId="75" fillId="0" borderId="1" xfId="16" applyNumberFormat="1" applyFont="1" applyBorder="1" applyProtection="1">
      <protection locked="0"/>
    </xf>
    <xf numFmtId="179" fontId="75" fillId="0" borderId="1" xfId="16" applyNumberFormat="1" applyFont="1" applyBorder="1" applyProtection="1">
      <protection locked="0"/>
    </xf>
    <xf numFmtId="31" fontId="75" fillId="0" borderId="1" xfId="16" applyNumberFormat="1" applyFont="1" applyBorder="1" applyProtection="1">
      <protection locked="0"/>
    </xf>
    <xf numFmtId="184" fontId="75" fillId="0" borderId="1" xfId="16" applyNumberFormat="1" applyFont="1" applyBorder="1" applyProtection="1">
      <protection locked="0"/>
    </xf>
    <xf numFmtId="0" fontId="75" fillId="0" borderId="1" xfId="16" applyFont="1" applyBorder="1" applyAlignment="1">
      <alignment horizontal="left"/>
    </xf>
    <xf numFmtId="176" fontId="75" fillId="0" borderId="1" xfId="16" applyNumberFormat="1" applyFont="1" applyBorder="1" applyAlignment="1">
      <alignment horizontal="right"/>
    </xf>
    <xf numFmtId="9" fontId="75" fillId="0" borderId="1" xfId="16" applyNumberFormat="1" applyFont="1" applyBorder="1" applyAlignment="1">
      <alignment horizontal="right"/>
    </xf>
    <xf numFmtId="31" fontId="75" fillId="0" borderId="1" xfId="16" applyNumberFormat="1" applyFont="1" applyBorder="1" applyAlignment="1">
      <alignment horizontal="right"/>
    </xf>
    <xf numFmtId="184" fontId="75" fillId="0" borderId="1" xfId="16" applyNumberFormat="1" applyFont="1" applyBorder="1" applyAlignment="1">
      <alignment horizontal="right"/>
    </xf>
    <xf numFmtId="49" fontId="75" fillId="0" borderId="1" xfId="16" applyNumberFormat="1" applyFont="1" applyBorder="1" applyAlignment="1">
      <alignment horizontal="left"/>
    </xf>
    <xf numFmtId="31" fontId="75" fillId="0" borderId="1" xfId="16" applyNumberFormat="1" applyFont="1" applyBorder="1" applyAlignment="1">
      <alignment horizontal="left"/>
    </xf>
    <xf numFmtId="186" fontId="75" fillId="0" borderId="1" xfId="16" applyNumberFormat="1" applyFont="1" applyBorder="1" applyAlignment="1">
      <alignment horizontal="right"/>
    </xf>
    <xf numFmtId="31" fontId="75" fillId="0" borderId="1" xfId="16" applyNumberFormat="1" applyFont="1" applyBorder="1" applyAlignment="1" applyProtection="1">
      <alignment horizontal="right"/>
      <protection locked="0"/>
    </xf>
    <xf numFmtId="0" fontId="30" fillId="0" borderId="0" xfId="16"/>
    <xf numFmtId="49" fontId="16" fillId="0" borderId="1" xfId="16" applyNumberFormat="1" applyFont="1" applyBorder="1" applyAlignment="1" applyProtection="1">
      <alignment horizontal="center"/>
      <protection locked="0"/>
    </xf>
    <xf numFmtId="0" fontId="16" fillId="0" borderId="1" xfId="16" applyFont="1" applyBorder="1" applyAlignment="1" applyProtection="1">
      <alignment horizontal="right"/>
      <protection locked="0"/>
    </xf>
    <xf numFmtId="176" fontId="16" fillId="0" borderId="1" xfId="16" applyNumberFormat="1" applyFont="1" applyBorder="1" applyAlignment="1" applyProtection="1">
      <alignment horizontal="right"/>
      <protection locked="0"/>
    </xf>
    <xf numFmtId="31" fontId="16" fillId="0" borderId="1" xfId="16" applyNumberFormat="1" applyFont="1" applyBorder="1" applyAlignment="1">
      <alignment horizontal="center"/>
    </xf>
    <xf numFmtId="0" fontId="224" fillId="0" borderId="1" xfId="16" applyFont="1" applyBorder="1"/>
    <xf numFmtId="0" fontId="16" fillId="0" borderId="0" xfId="16" applyFont="1"/>
    <xf numFmtId="182" fontId="224" fillId="0" borderId="1" xfId="16" applyNumberFormat="1" applyFont="1" applyBorder="1"/>
    <xf numFmtId="2" fontId="224" fillId="0" borderId="1" xfId="16" applyNumberFormat="1" applyFont="1" applyBorder="1" applyAlignment="1">
      <alignment horizontal="right"/>
    </xf>
    <xf numFmtId="182" fontId="224" fillId="0" borderId="1" xfId="16" applyNumberFormat="1" applyFont="1" applyBorder="1" applyAlignment="1">
      <alignment horizontal="right"/>
    </xf>
    <xf numFmtId="199" fontId="16" fillId="0" borderId="1" xfId="16" applyNumberFormat="1" applyFont="1" applyBorder="1" applyAlignment="1">
      <alignment horizontal="right"/>
    </xf>
    <xf numFmtId="0" fontId="16" fillId="0" borderId="1" xfId="19" applyNumberFormat="1" applyFont="1" applyFill="1" applyBorder="1" applyAlignment="1">
      <alignment horizontal="left"/>
    </xf>
    <xf numFmtId="57" fontId="16" fillId="0" borderId="1" xfId="16" applyNumberFormat="1" applyFont="1" applyBorder="1" applyProtection="1">
      <protection locked="0"/>
    </xf>
    <xf numFmtId="58" fontId="16" fillId="0" borderId="1" xfId="16" applyNumberFormat="1" applyFont="1" applyBorder="1"/>
    <xf numFmtId="0" fontId="16" fillId="0" borderId="1" xfId="16" quotePrefix="1" applyFont="1" applyBorder="1"/>
    <xf numFmtId="14" fontId="16" fillId="0" borderId="1" xfId="16" applyNumberFormat="1" applyFont="1" applyBorder="1"/>
    <xf numFmtId="57" fontId="16" fillId="0" borderId="1" xfId="16" applyNumberFormat="1" applyFont="1" applyBorder="1"/>
    <xf numFmtId="49" fontId="75" fillId="0" borderId="1" xfId="16" applyNumberFormat="1" applyFont="1" applyBorder="1" applyAlignment="1">
      <alignment horizontal="right"/>
    </xf>
    <xf numFmtId="196" fontId="75" fillId="0" borderId="1" xfId="16" applyNumberFormat="1" applyFont="1" applyBorder="1" applyAlignment="1">
      <alignment horizontal="left"/>
    </xf>
    <xf numFmtId="0" fontId="75" fillId="0" borderId="0" xfId="16" applyFont="1" applyProtection="1">
      <protection locked="0"/>
    </xf>
    <xf numFmtId="57" fontId="16" fillId="0" borderId="1" xfId="16" applyNumberFormat="1" applyFont="1" applyBorder="1" applyAlignment="1" applyProtection="1">
      <alignment horizontal="right"/>
      <protection locked="0"/>
    </xf>
    <xf numFmtId="200" fontId="16" fillId="0" borderId="1" xfId="16" applyNumberFormat="1" applyFont="1" applyBorder="1"/>
    <xf numFmtId="0" fontId="136" fillId="0" borderId="1" xfId="16" applyFont="1" applyBorder="1"/>
    <xf numFmtId="177" fontId="16" fillId="0" borderId="1" xfId="16" applyNumberFormat="1" applyFont="1" applyBorder="1"/>
    <xf numFmtId="177" fontId="16" fillId="0" borderId="1" xfId="16" applyNumberFormat="1" applyFont="1" applyBorder="1" applyAlignment="1">
      <alignment horizontal="right"/>
    </xf>
    <xf numFmtId="12" fontId="16" fillId="0" borderId="1" xfId="16" applyNumberFormat="1" applyFont="1" applyBorder="1"/>
    <xf numFmtId="1" fontId="16" fillId="0" borderId="1" xfId="16" applyNumberFormat="1" applyFont="1" applyBorder="1"/>
    <xf numFmtId="58" fontId="16" fillId="0" borderId="1" xfId="16" applyNumberFormat="1" applyFont="1" applyBorder="1" applyAlignment="1">
      <alignment horizontal="left"/>
    </xf>
    <xf numFmtId="0" fontId="16" fillId="0" borderId="1" xfId="24" applyFont="1" applyBorder="1" applyAlignment="1">
      <alignment horizontal="left" wrapText="1"/>
    </xf>
    <xf numFmtId="2" fontId="16" fillId="0" borderId="0" xfId="16" applyNumberFormat="1" applyFont="1" applyAlignment="1">
      <alignment horizontal="right"/>
    </xf>
    <xf numFmtId="49" fontId="16" fillId="0" borderId="1" xfId="16" applyNumberFormat="1" applyFont="1" applyBorder="1" applyAlignment="1">
      <alignment horizontal="center"/>
    </xf>
    <xf numFmtId="31" fontId="16" fillId="0" borderId="1" xfId="23" applyNumberFormat="1" applyFont="1" applyBorder="1" applyAlignment="1">
      <alignment horizontal="right" wrapText="1"/>
    </xf>
    <xf numFmtId="197" fontId="16" fillId="0" borderId="1" xfId="16" applyNumberFormat="1" applyFont="1" applyBorder="1" applyAlignment="1">
      <alignment horizontal="left"/>
    </xf>
    <xf numFmtId="12" fontId="16" fillId="0" borderId="1" xfId="16" applyNumberFormat="1" applyFont="1" applyBorder="1" applyAlignment="1">
      <alignment horizontal="left"/>
    </xf>
    <xf numFmtId="31" fontId="16" fillId="0" borderId="0" xfId="16" applyNumberFormat="1" applyFont="1"/>
    <xf numFmtId="196" fontId="16" fillId="0" borderId="1" xfId="16" applyNumberFormat="1" applyFont="1" applyBorder="1"/>
    <xf numFmtId="49" fontId="16" fillId="0" borderId="1" xfId="16" applyNumberFormat="1" applyFont="1" applyBorder="1" applyAlignment="1" applyProtection="1">
      <alignment horizontal="left"/>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25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9" fillId="0" borderId="2" xfId="0" applyNumberFormat="1" applyFont="1" applyFill="1" applyBorder="1" applyAlignment="1" applyProtection="1">
      <alignment horizontal="center" vertical="center" wrapText="1"/>
      <protection locked="0"/>
    </xf>
    <xf numFmtId="49" fontId="259" fillId="0" borderId="51" xfId="0" applyNumberFormat="1" applyFont="1" applyFill="1" applyBorder="1" applyAlignment="1" applyProtection="1">
      <alignment horizontal="center" vertical="center" wrapText="1"/>
      <protection locked="0"/>
    </xf>
    <xf numFmtId="49" fontId="25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23" borderId="1" xfId="16" applyFont="1" applyFill="1" applyBorder="1" applyAlignment="1" applyProtection="1">
      <alignment horizontal="center"/>
      <protection locked="0"/>
    </xf>
    <xf numFmtId="0" fontId="143" fillId="0" borderId="1" xfId="16" applyFont="1" applyBorder="1" applyAlignment="1">
      <alignment horizontal="left"/>
    </xf>
    <xf numFmtId="0" fontId="143" fillId="0" borderId="1" xfId="16" applyFont="1" applyBorder="1"/>
    <xf numFmtId="0" fontId="143" fillId="0" borderId="1" xfId="16" applyFont="1" applyBorder="1" applyProtection="1">
      <protection locked="0"/>
    </xf>
    <xf numFmtId="0" fontId="143" fillId="0" borderId="0" xfId="16" applyFont="1"/>
    <xf numFmtId="0" fontId="95" fillId="0" borderId="0" xfId="0" applyFont="1">
      <alignment vertical="center"/>
    </xf>
    <xf numFmtId="31" fontId="143" fillId="0" borderId="1" xfId="16" applyNumberFormat="1" applyFont="1" applyBorder="1" applyAlignment="1" applyProtection="1">
      <alignment horizontal="right"/>
      <protection locked="0"/>
    </xf>
    <xf numFmtId="0" fontId="143" fillId="6" borderId="1" xfId="16" applyFont="1" applyFill="1" applyBorder="1" applyAlignment="1">
      <alignment horizontal="left"/>
    </xf>
    <xf numFmtId="176" fontId="143" fillId="6" borderId="1" xfId="16" applyNumberFormat="1" applyFont="1" applyFill="1" applyBorder="1"/>
    <xf numFmtId="0" fontId="143" fillId="6" borderId="1" xfId="16" applyFont="1" applyFill="1" applyBorder="1"/>
    <xf numFmtId="1" fontId="143" fillId="6" borderId="1" xfId="16" applyNumberFormat="1" applyFont="1" applyFill="1" applyBorder="1" applyAlignment="1">
      <alignment horizontal="right"/>
    </xf>
    <xf numFmtId="31" fontId="143" fillId="6" borderId="1" xfId="16" applyNumberFormat="1" applyFont="1" applyFill="1" applyBorder="1" applyProtection="1">
      <protection locked="0"/>
    </xf>
    <xf numFmtId="0" fontId="143" fillId="6" borderId="1" xfId="16" applyFont="1" applyFill="1" applyBorder="1" applyProtection="1">
      <protection locked="0"/>
    </xf>
    <xf numFmtId="0" fontId="143" fillId="6" borderId="0" xfId="16" applyFont="1" applyFill="1"/>
    <xf numFmtId="0" fontId="95" fillId="6" borderId="0" xfId="0" applyFont="1" applyFill="1">
      <alignment vertical="center"/>
    </xf>
    <xf numFmtId="31" fontId="143" fillId="6" borderId="1" xfId="16" applyNumberFormat="1" applyFont="1" applyFill="1" applyBorder="1" applyAlignment="1" applyProtection="1">
      <alignment horizontal="right"/>
      <protection locked="0"/>
    </xf>
    <xf numFmtId="1" fontId="70" fillId="3" borderId="47" xfId="0" applyNumberFormat="1" applyFont="1" applyFill="1" applyBorder="1" applyAlignment="1" applyProtection="1">
      <alignment horizontal="left" vertical="center" wrapText="1"/>
      <protection locked="0"/>
    </xf>
  </cellXfs>
  <cellStyles count="25">
    <cellStyle name="百分比" xfId="14" builtinId="5"/>
    <cellStyle name="百分比 2" xfId="15" xr:uid="{00000000-0005-0000-0000-000001000000}"/>
    <cellStyle name="百分比 2 2" xfId="20" xr:uid="{00000000-0005-0000-0000-000002000000}"/>
    <cellStyle name="常规" xfId="0" builtinId="0"/>
    <cellStyle name="常规 16" xfId="8" xr:uid="{00000000-0005-0000-0000-000004000000}"/>
    <cellStyle name="常规 2" xfId="1" xr:uid="{00000000-0005-0000-0000-000005000000}"/>
    <cellStyle name="常规 2 2" xfId="6" xr:uid="{00000000-0005-0000-0000-000006000000}"/>
    <cellStyle name="常规 2 2 2 2 3" xfId="21" xr:uid="{00000000-0005-0000-0000-000007000000}"/>
    <cellStyle name="常规 2 3" xfId="16"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9" xr:uid="{00000000-0005-0000-0000-00000D000000}"/>
    <cellStyle name="常规 6 2" xfId="7" xr:uid="{00000000-0005-0000-0000-00000E000000}"/>
    <cellStyle name="常规 6 2 2" xfId="11" xr:uid="{00000000-0005-0000-0000-00000F000000}"/>
    <cellStyle name="常规 6 3" xfId="22" xr:uid="{00000000-0005-0000-0000-000010000000}"/>
    <cellStyle name="常规 7" xfId="10" xr:uid="{00000000-0005-0000-0000-000011000000}"/>
    <cellStyle name="常规 8" xfId="12" xr:uid="{00000000-0005-0000-0000-000012000000}"/>
    <cellStyle name="常规 9" xfId="13" xr:uid="{00000000-0005-0000-0000-000013000000}"/>
    <cellStyle name="常规_Sheet1" xfId="23" xr:uid="{D0432D75-DF4C-461B-A8AB-039ED4E00121}"/>
    <cellStyle name="常规_贴息" xfId="24" xr:uid="{F9C0F6DA-E03D-4D0D-BAAA-606445344EE8}"/>
    <cellStyle name="货币 2" xfId="17" xr:uid="{00000000-0005-0000-0000-000014000000}"/>
    <cellStyle name="货币 2 2" xfId="19" xr:uid="{00000000-0005-0000-0000-000015000000}"/>
    <cellStyle name="货币 3" xfId="18" xr:uid="{00000000-0005-0000-0000-000016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a:extLst>
            <a:ext uri="{FF2B5EF4-FFF2-40B4-BE49-F238E27FC236}">
              <a16:creationId xmlns:a16="http://schemas.microsoft.com/office/drawing/2014/main" id="{0B0061A5-DFE5-4A96-908C-716E208C8165}"/>
            </a:ext>
          </a:extLst>
        </xdr:cNvPr>
        <xdr:cNvPicPr>
          <a:picLocks noChangeAspect="1"/>
        </xdr:cNvPicPr>
      </xdr:nvPicPr>
      <xdr:blipFill>
        <a:blip xmlns:r="http://schemas.openxmlformats.org/officeDocument/2006/relationships" r:embed="rId1"/>
        <a:stretch>
          <a:fillRect/>
        </a:stretch>
      </xdr:blipFill>
      <xdr:spPr>
        <a:xfrm>
          <a:off x="0" y="1784350"/>
          <a:ext cx="11476190" cy="7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30334;&#23376;&#2828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935;&#24544;&#37324;-2006-&#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row r="1">
          <cell r="B1" t="str">
            <v>估价方法</v>
          </cell>
        </row>
      </sheetData>
      <sheetData sheetId="2"/>
      <sheetData sheetId="3"/>
      <sheetData sheetId="4"/>
      <sheetData sheetId="5"/>
      <sheetData sheetId="6">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7"/>
      <sheetData sheetId="8"/>
      <sheetData sheetId="9">
        <row r="6">
          <cell r="A6" t="str">
            <v>通路</v>
          </cell>
        </row>
      </sheetData>
      <sheetData sheetId="10"/>
      <sheetData sheetId="11">
        <row r="18">
          <cell r="E18">
            <v>154634</v>
          </cell>
        </row>
      </sheetData>
      <sheetData sheetId="12"/>
      <sheetData sheetId="13"/>
      <sheetData sheetId="14"/>
      <sheetData sheetId="15"/>
      <sheetData sheetId="16">
        <row r="61">
          <cell r="A61" t="str">
            <v>交易情况</v>
          </cell>
        </row>
      </sheetData>
      <sheetData sheetId="17"/>
      <sheetData sheetId="18">
        <row r="4">
          <cell r="A4" t="str">
            <v>本行不参与计算</v>
          </cell>
        </row>
        <row r="6">
          <cell r="A6" t="str">
            <v>2020-4</v>
          </cell>
        </row>
        <row r="7">
          <cell r="A7" t="str">
            <v>2020-3</v>
          </cell>
        </row>
        <row r="8">
          <cell r="A8" t="str">
            <v>2020-2</v>
          </cell>
        </row>
        <row r="9">
          <cell r="A9" t="str">
            <v>2020-1</v>
          </cell>
        </row>
        <row r="10">
          <cell r="A10" t="str">
            <v>2019-4</v>
          </cell>
        </row>
        <row r="11">
          <cell r="A11" t="str">
            <v>2019-3</v>
          </cell>
        </row>
        <row r="12">
          <cell r="A12" t="str">
            <v>2019-2</v>
          </cell>
        </row>
        <row r="13">
          <cell r="A13" t="str">
            <v>2019-1</v>
          </cell>
        </row>
        <row r="14">
          <cell r="A14" t="str">
            <v>2018-4</v>
          </cell>
        </row>
        <row r="15">
          <cell r="A15" t="str">
            <v>2018-3</v>
          </cell>
        </row>
        <row r="16">
          <cell r="A16" t="str">
            <v>2018-2</v>
          </cell>
        </row>
        <row r="17">
          <cell r="A17" t="str">
            <v>2018-1</v>
          </cell>
        </row>
        <row r="18">
          <cell r="A18" t="str">
            <v>2017-4</v>
          </cell>
        </row>
        <row r="19">
          <cell r="A19" t="str">
            <v>2017-3</v>
          </cell>
        </row>
        <row r="20">
          <cell r="A20" t="str">
            <v>2017-2</v>
          </cell>
        </row>
        <row r="21">
          <cell r="A21" t="str">
            <v>2017-1</v>
          </cell>
        </row>
        <row r="22">
          <cell r="A22" t="str">
            <v>2016-4</v>
          </cell>
        </row>
        <row r="23">
          <cell r="A23" t="str">
            <v>2016-3</v>
          </cell>
        </row>
        <row r="24">
          <cell r="A24" t="str">
            <v>2016-2</v>
          </cell>
        </row>
        <row r="25">
          <cell r="A25" t="str">
            <v>2016-1</v>
          </cell>
        </row>
        <row r="26">
          <cell r="A26" t="str">
            <v>2015-4</v>
          </cell>
        </row>
        <row r="27">
          <cell r="A27" t="str">
            <v>2015-3</v>
          </cell>
        </row>
        <row r="28">
          <cell r="A28" t="str">
            <v>2015-2</v>
          </cell>
        </row>
        <row r="29">
          <cell r="A29" t="str">
            <v>2015-1</v>
          </cell>
        </row>
        <row r="30">
          <cell r="A30" t="str">
            <v>2014-4</v>
          </cell>
        </row>
        <row r="31">
          <cell r="A31" t="str">
            <v>2014-3</v>
          </cell>
        </row>
        <row r="32">
          <cell r="A32" t="str">
            <v>2014-2</v>
          </cell>
        </row>
        <row r="33">
          <cell r="A33" t="str">
            <v>2014-1</v>
          </cell>
        </row>
      </sheetData>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495241</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估价对象为北京市房地产，为XX所有。根据《》[]，估价对象建筑面积为64.19平方米。根据《》[]，估价对象（分摊）出让国有建设用地使用权面积为平方米。估价对象用途为。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2006年10月14日</v>
      </c>
    </row>
    <row r="10" spans="1:2">
      <c r="A10" s="1210" t="s">
        <v>1103</v>
      </c>
      <c r="B10" s="1197" t="str">
        <f>'预评函-1'!A13</f>
        <v>本次估价的“房地产价值”是指在正常市场情况下，在价值时点2006年10月14日，估价对象规划用途为，假定未设立法定优先受偿款下的房地产市场价值。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64.19</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3" sqref="D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88" t="s">
        <v>1527</v>
      </c>
      <c r="B1" s="2589" t="str">
        <f>IF(B6="北京市","北京市",C6)&amp;IF(E12="房屋所有权证",B29,E29)&amp;D5&amp;"预评估"</f>
        <v>北京市房地产市场价值预评估</v>
      </c>
      <c r="C1" s="823"/>
      <c r="D1" s="823"/>
      <c r="E1" s="823"/>
      <c r="F1" s="1426" t="s">
        <v>1528</v>
      </c>
      <c r="G1" s="1191"/>
      <c r="I1" s="2917" t="str">
        <f>IF(B6="北京市","北京市",C6)&amp;IF(E12="房屋所有权证",B29,E29)&amp;"房地产"</f>
        <v>北京市房地产</v>
      </c>
      <c r="J1" s="800"/>
      <c r="K1" s="2919"/>
      <c r="L1" s="2919"/>
      <c r="M1" s="2919"/>
      <c r="N1" s="800"/>
      <c r="O1" s="800"/>
      <c r="P1" s="800"/>
      <c r="Q1" s="800"/>
    </row>
    <row r="2" spans="1:17" ht="13.5" thickTop="1">
      <c r="A2" s="1427" t="s">
        <v>1529</v>
      </c>
      <c r="B2" s="2590"/>
      <c r="C2" s="2889" t="s">
        <v>1530</v>
      </c>
      <c r="D2" s="2590">
        <v>39004</v>
      </c>
      <c r="E2" s="824"/>
      <c r="F2" s="824"/>
      <c r="G2" s="1192"/>
      <c r="H2" s="2901"/>
    </row>
    <row r="3" spans="1:17" ht="13.5" thickBot="1">
      <c r="A3" s="2591" t="s">
        <v>1531</v>
      </c>
      <c r="B3" s="2592"/>
      <c r="C3" s="2593">
        <f>SUMIF(注册房地产估价师,B3,估价师及机构信息!B3:B16)</f>
        <v>0</v>
      </c>
      <c r="D3" s="2592"/>
      <c r="E3" s="2594">
        <f>SUMIF(注册房地产估价师,D3,估价师及机构信息!B3:B16)</f>
        <v>0</v>
      </c>
      <c r="F3" s="825"/>
      <c r="G3" s="1193"/>
      <c r="H3" s="2901"/>
    </row>
    <row r="4" spans="1:17" ht="13.5" customHeight="1" thickTop="1">
      <c r="A4" s="1427" t="s">
        <v>1532</v>
      </c>
      <c r="B4" s="1428" t="s">
        <v>2719</v>
      </c>
      <c r="C4" s="2890" t="s">
        <v>1533</v>
      </c>
      <c r="D4" s="1429" t="s">
        <v>2889</v>
      </c>
      <c r="E4" s="824"/>
      <c r="F4" s="824"/>
      <c r="G4" s="1192"/>
    </row>
    <row r="5" spans="1:17">
      <c r="A5" s="1430" t="s">
        <v>1534</v>
      </c>
      <c r="B5" s="1431" t="s">
        <v>2720</v>
      </c>
      <c r="C5" s="2891" t="s">
        <v>1535</v>
      </c>
      <c r="D5" s="1433" t="s">
        <v>2890</v>
      </c>
      <c r="E5" s="2892" t="s">
        <v>1536</v>
      </c>
      <c r="F5" s="1433"/>
      <c r="G5" s="1434"/>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5" t="s">
        <v>2888</v>
      </c>
      <c r="C6" s="2596" t="s">
        <v>2721</v>
      </c>
      <c r="D6" s="2597" t="s">
        <v>1538</v>
      </c>
      <c r="E6" s="811"/>
      <c r="F6" s="811"/>
      <c r="G6" s="830"/>
      <c r="I6" s="800" t="str">
        <f>IF(COUNTIF(B5,"*上海银行*"),"上海银行","")</f>
        <v/>
      </c>
      <c r="J6" s="800"/>
      <c r="K6" s="2919"/>
      <c r="L6" s="2919"/>
      <c r="M6" s="2919"/>
      <c r="N6" s="800"/>
      <c r="O6" s="800"/>
      <c r="P6" s="800"/>
      <c r="Q6" s="800"/>
    </row>
    <row r="7" spans="1:17" ht="13.5" thickBot="1">
      <c r="A7" s="2894" t="s">
        <v>1539</v>
      </c>
      <c r="B7" s="2598" t="s">
        <v>2891</v>
      </c>
      <c r="C7" s="1525" t="str">
        <f>IF(B7="自然人","姓名","名称")</f>
        <v>姓名</v>
      </c>
      <c r="D7" s="1438" t="s">
        <v>2720</v>
      </c>
      <c r="E7" s="825"/>
      <c r="F7" s="825"/>
      <c r="G7" s="1193"/>
    </row>
    <row r="8" spans="1:17" ht="13.5" thickTop="1">
      <c r="A8" s="3429" t="s">
        <v>1540</v>
      </c>
      <c r="B8" s="1439" t="s">
        <v>1541</v>
      </c>
      <c r="C8" s="3442"/>
      <c r="D8" s="3443"/>
      <c r="E8" s="2599" t="s">
        <v>1542</v>
      </c>
      <c r="F8" s="2600" t="s">
        <v>1543</v>
      </c>
      <c r="G8" s="2601" t="str">
        <f>C6</f>
        <v>XX</v>
      </c>
    </row>
    <row r="9" spans="1:17">
      <c r="A9" s="3429"/>
      <c r="B9" s="259" t="s">
        <v>1544</v>
      </c>
      <c r="C9" s="1431"/>
      <c r="D9" s="1440"/>
      <c r="E9" s="2895" t="s">
        <v>1545</v>
      </c>
      <c r="F9" s="2602"/>
      <c r="G9" s="2603"/>
    </row>
    <row r="10" spans="1:17" ht="13.5" thickBot="1">
      <c r="A10" s="3429"/>
      <c r="B10" s="259" t="s">
        <v>1546</v>
      </c>
      <c r="C10" s="3444"/>
      <c r="D10" s="3445"/>
      <c r="E10" s="2896" t="s">
        <v>1547</v>
      </c>
      <c r="F10" s="2604"/>
      <c r="G10" s="2605"/>
    </row>
    <row r="11" spans="1:17" ht="13.5" thickBot="1">
      <c r="A11" s="3429"/>
      <c r="B11" s="1442" t="s">
        <v>1548</v>
      </c>
      <c r="C11" s="3446"/>
      <c r="D11" s="3447"/>
      <c r="E11" s="811"/>
      <c r="F11" s="811"/>
      <c r="G11" s="830"/>
    </row>
    <row r="12" spans="1:17" ht="13.5" thickBot="1">
      <c r="A12" s="3433" t="s">
        <v>2828</v>
      </c>
      <c r="B12" s="2897" t="s">
        <v>1549</v>
      </c>
      <c r="C12" s="808">
        <v>64.19</v>
      </c>
      <c r="D12" s="1443" t="s">
        <v>1550</v>
      </c>
      <c r="E12" s="1444"/>
      <c r="F12" s="1445"/>
      <c r="G12" s="830"/>
    </row>
    <row r="13" spans="1:17" ht="21" customHeight="1" thickBot="1">
      <c r="A13" s="3434"/>
      <c r="B13" s="2898" t="s">
        <v>1551</v>
      </c>
      <c r="C13" s="809"/>
      <c r="D13" s="1446" t="s">
        <v>1552</v>
      </c>
      <c r="E13" s="1447"/>
      <c r="F13" s="811"/>
      <c r="G13" s="830"/>
      <c r="I13" s="3452"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6"/>
      <c r="B14" s="2912" t="s">
        <v>2829</v>
      </c>
      <c r="C14" s="2607"/>
      <c r="D14" s="811"/>
      <c r="E14" s="811"/>
      <c r="F14" s="811"/>
      <c r="G14" s="830"/>
      <c r="I14" s="3452"/>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08"/>
      <c r="B15" s="2899" t="s">
        <v>1554</v>
      </c>
      <c r="C15" s="826">
        <v>2</v>
      </c>
      <c r="D15" s="825"/>
      <c r="E15" s="825"/>
      <c r="F15" s="825"/>
      <c r="G15" s="1193"/>
      <c r="I15" s="3452"/>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6" t="s">
        <v>1555</v>
      </c>
      <c r="B16" s="1448" t="s">
        <v>1556</v>
      </c>
      <c r="C16" s="2609"/>
      <c r="D16" s="1441" t="s">
        <v>1557</v>
      </c>
      <c r="E16" s="2610"/>
      <c r="F16" s="1449" t="str">
        <f>IF(AND(C16="是",E16="否"),"是否提供他项权证或相关说明","")</f>
        <v/>
      </c>
      <c r="G16" s="2610"/>
      <c r="J16" s="2901"/>
    </row>
    <row r="17" spans="1:66" ht="13.5" customHeight="1">
      <c r="A17" s="1455" t="s">
        <v>1558</v>
      </c>
      <c r="B17" s="3448" t="s">
        <v>1559</v>
      </c>
      <c r="C17" s="3449"/>
      <c r="D17" s="3450" t="s">
        <v>1560</v>
      </c>
      <c r="E17" s="3451"/>
      <c r="F17" s="1450" t="s">
        <v>1561</v>
      </c>
      <c r="G17" s="1451"/>
      <c r="J17" s="2901"/>
    </row>
    <row r="18" spans="1:66" ht="24">
      <c r="A18" s="1455"/>
      <c r="B18" s="2611"/>
      <c r="C18" s="1434"/>
      <c r="D18" s="1452" t="s">
        <v>1562</v>
      </c>
      <c r="E18" s="1453"/>
      <c r="F18" s="1454"/>
      <c r="G18" s="1317"/>
      <c r="H18" s="2901"/>
      <c r="J18" s="2901"/>
    </row>
    <row r="19" spans="1:66" ht="21.75" customHeight="1" thickBot="1">
      <c r="A19" s="1455"/>
      <c r="B19" s="2612"/>
      <c r="C19" s="1447"/>
      <c r="D19" s="1455"/>
      <c r="E19" s="811"/>
      <c r="F19" s="811"/>
      <c r="G19" s="1317"/>
    </row>
    <row r="20" spans="1:66">
      <c r="A20" s="1451" t="s">
        <v>1563</v>
      </c>
      <c r="B20" s="2613" t="s">
        <v>1564</v>
      </c>
      <c r="C20" s="2614"/>
      <c r="D20" s="2615" t="s">
        <v>1564</v>
      </c>
      <c r="E20" s="2614"/>
      <c r="F20" s="811"/>
      <c r="G20" s="1317"/>
    </row>
    <row r="21" spans="1:66">
      <c r="A21" s="1317"/>
      <c r="B21" s="2616" t="s">
        <v>1565</v>
      </c>
      <c r="C21" s="2884"/>
      <c r="D21" s="1455" t="s">
        <v>1565</v>
      </c>
      <c r="E21" s="2617"/>
      <c r="F21" s="811"/>
      <c r="G21" s="1317"/>
    </row>
    <row r="22" spans="1:66">
      <c r="A22" s="1317"/>
      <c r="B22" s="811" t="s">
        <v>1566</v>
      </c>
      <c r="C22" s="2618"/>
      <c r="D22" s="811" t="s">
        <v>1566</v>
      </c>
      <c r="E22" s="2617"/>
      <c r="F22" s="811"/>
      <c r="G22" s="1317"/>
    </row>
    <row r="23" spans="1:66" s="2883" customFormat="1" ht="16.5" thickBot="1">
      <c r="A23" s="1318"/>
      <c r="B23" s="829" t="s">
        <v>1567</v>
      </c>
      <c r="C23" s="809"/>
      <c r="D23" s="829" t="s">
        <v>1568</v>
      </c>
      <c r="E23" s="2619"/>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461" t="s">
        <v>2827</v>
      </c>
      <c r="B24" s="3461"/>
      <c r="C24" s="3461"/>
      <c r="D24" s="3461"/>
      <c r="E24" s="3461"/>
      <c r="F24" s="3461"/>
      <c r="G24" s="3461"/>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1569</v>
      </c>
      <c r="B25" s="811"/>
      <c r="C25" s="811"/>
      <c r="D25" s="811"/>
      <c r="E25" s="811"/>
      <c r="F25" s="811"/>
      <c r="G25" s="1318"/>
      <c r="K25" s="2902"/>
    </row>
    <row r="26" spans="1:66" s="836" customFormat="1" ht="13.5" thickBot="1">
      <c r="A26" s="2620"/>
      <c r="B26" s="807" t="s">
        <v>1570</v>
      </c>
      <c r="C26" s="2620"/>
      <c r="D26" s="807"/>
      <c r="E26" s="2621" t="s">
        <v>1571</v>
      </c>
      <c r="F26" s="2620"/>
      <c r="G26" s="2622"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0"/>
      <c r="B27" s="2623"/>
      <c r="C27" s="2620"/>
      <c r="D27" s="807"/>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3436" t="s">
        <v>1573</v>
      </c>
      <c r="D28" s="3437"/>
      <c r="E28" s="801"/>
      <c r="F28" s="803" t="s">
        <v>1573</v>
      </c>
      <c r="G28" s="801"/>
      <c r="K28" s="2902"/>
    </row>
    <row r="29" spans="1:66">
      <c r="A29" s="804" t="s">
        <v>1574</v>
      </c>
      <c r="B29" s="798"/>
      <c r="C29" s="3438" t="s">
        <v>1575</v>
      </c>
      <c r="D29" s="3439"/>
      <c r="E29" s="798"/>
      <c r="F29" s="804" t="s">
        <v>1575</v>
      </c>
      <c r="G29" s="798"/>
      <c r="K29" s="2902"/>
    </row>
    <row r="30" spans="1:66">
      <c r="A30" s="804" t="s">
        <v>1576</v>
      </c>
      <c r="B30" s="798"/>
      <c r="C30" s="3438" t="s">
        <v>1576</v>
      </c>
      <c r="D30" s="3439"/>
      <c r="E30" s="798"/>
      <c r="F30" s="804" t="s">
        <v>1577</v>
      </c>
      <c r="G30" s="798"/>
      <c r="K30" s="2902"/>
    </row>
    <row r="31" spans="1:66">
      <c r="A31" s="804" t="s">
        <v>1578</v>
      </c>
      <c r="B31" s="798"/>
      <c r="C31" s="3458" t="s">
        <v>1579</v>
      </c>
      <c r="D31" s="811"/>
      <c r="E31" s="2625" t="str">
        <f>E32&amp;" "&amp;E33&amp;" "&amp;E34&amp;" "&amp;E35</f>
        <v xml:space="preserve">   </v>
      </c>
      <c r="F31" s="804" t="s">
        <v>1580</v>
      </c>
      <c r="G31" s="798"/>
    </row>
    <row r="32" spans="1:66">
      <c r="A32" s="804" t="s">
        <v>1581</v>
      </c>
      <c r="B32" s="798"/>
      <c r="C32" s="3459"/>
      <c r="D32" s="259" t="s">
        <v>1582</v>
      </c>
      <c r="E32" s="798"/>
      <c r="F32" s="804" t="s">
        <v>1583</v>
      </c>
      <c r="G32" s="798"/>
    </row>
    <row r="33" spans="1:7" ht="24.75" thickBot="1">
      <c r="A33" s="805" t="s">
        <v>1584</v>
      </c>
      <c r="B33" s="802"/>
      <c r="C33" s="3459"/>
      <c r="D33" s="259" t="s">
        <v>1585</v>
      </c>
      <c r="E33" s="798"/>
      <c r="F33" s="804" t="s">
        <v>1586</v>
      </c>
      <c r="G33" s="798"/>
    </row>
    <row r="34" spans="1:7">
      <c r="A34" s="803" t="s">
        <v>1587</v>
      </c>
      <c r="B34" s="801"/>
      <c r="C34" s="3459"/>
      <c r="D34" s="259" t="s">
        <v>1588</v>
      </c>
      <c r="E34" s="798"/>
      <c r="F34" s="804" t="s">
        <v>1589</v>
      </c>
      <c r="G34" s="798"/>
    </row>
    <row r="35" spans="1:7" ht="13.5" thickBot="1">
      <c r="A35" s="804" t="s">
        <v>1590</v>
      </c>
      <c r="B35" s="798"/>
      <c r="C35" s="3460"/>
      <c r="D35" s="259" t="s">
        <v>1591</v>
      </c>
      <c r="E35" s="798"/>
      <c r="F35" s="805" t="s">
        <v>1592</v>
      </c>
      <c r="G35" s="2626"/>
    </row>
    <row r="36" spans="1:7">
      <c r="A36" s="804" t="s">
        <v>1549</v>
      </c>
      <c r="B36" s="798"/>
      <c r="C36" s="3438" t="s">
        <v>1593</v>
      </c>
      <c r="D36" s="3439"/>
      <c r="E36" s="798"/>
      <c r="F36" s="2627" t="s">
        <v>1594</v>
      </c>
      <c r="G36" s="801"/>
    </row>
    <row r="37" spans="1:7" ht="13.5" thickBot="1">
      <c r="A37" s="804" t="s">
        <v>1595</v>
      </c>
      <c r="B37" s="798"/>
      <c r="C37" s="3440" t="s">
        <v>1596</v>
      </c>
      <c r="D37" s="3441"/>
      <c r="E37" s="802"/>
      <c r="F37" s="1463" t="s">
        <v>1597</v>
      </c>
      <c r="G37" s="798"/>
    </row>
    <row r="38" spans="1:7" ht="13.5" thickBot="1">
      <c r="A38" s="804" t="s">
        <v>1598</v>
      </c>
      <c r="B38" s="798"/>
      <c r="C38" s="3430" t="s">
        <v>1599</v>
      </c>
      <c r="D38" s="1443" t="s">
        <v>1583</v>
      </c>
      <c r="E38" s="801"/>
      <c r="F38" s="805" t="s">
        <v>1600</v>
      </c>
      <c r="G38" s="802"/>
    </row>
    <row r="39" spans="1:7">
      <c r="A39" s="804" t="s">
        <v>1601</v>
      </c>
      <c r="B39" s="798"/>
      <c r="C39" s="3431"/>
      <c r="D39" s="259" t="s">
        <v>1590</v>
      </c>
      <c r="E39" s="798"/>
      <c r="F39" s="803" t="s">
        <v>1602</v>
      </c>
      <c r="G39" s="801"/>
    </row>
    <row r="40" spans="1:7">
      <c r="A40" s="804" t="s">
        <v>1603</v>
      </c>
      <c r="B40" s="798"/>
      <c r="C40" s="3431" t="s">
        <v>1604</v>
      </c>
      <c r="D40" s="259" t="s">
        <v>1549</v>
      </c>
      <c r="E40" s="798"/>
      <c r="F40" s="804" t="s">
        <v>1605</v>
      </c>
      <c r="G40" s="798"/>
    </row>
    <row r="41" spans="1:7" ht="24.75" customHeight="1" thickBot="1">
      <c r="A41" s="805" t="s">
        <v>1606</v>
      </c>
      <c r="B41" s="802"/>
      <c r="C41" s="3432"/>
      <c r="D41" s="1446" t="s">
        <v>1551</v>
      </c>
      <c r="E41" s="802"/>
      <c r="F41" s="805" t="s">
        <v>1607</v>
      </c>
      <c r="G41" s="802"/>
    </row>
    <row r="42" spans="1:7">
      <c r="A42" s="806" t="s">
        <v>1608</v>
      </c>
      <c r="B42" s="2628"/>
      <c r="C42" s="3453" t="s">
        <v>1608</v>
      </c>
      <c r="D42" s="3454"/>
      <c r="E42" s="2628"/>
      <c r="F42" s="803" t="s">
        <v>1609</v>
      </c>
      <c r="G42" s="2628"/>
    </row>
    <row r="43" spans="1:7">
      <c r="A43" s="821" t="s">
        <v>1610</v>
      </c>
      <c r="B43" s="2629"/>
      <c r="C43" s="1455"/>
      <c r="D43" s="2616"/>
      <c r="E43" s="2629"/>
      <c r="F43" s="821"/>
      <c r="G43" s="2629"/>
    </row>
    <row r="44" spans="1:7">
      <c r="A44" s="821" t="s">
        <v>1564</v>
      </c>
      <c r="B44" s="822"/>
      <c r="C44" s="1455"/>
      <c r="D44" s="1521" t="s">
        <v>1564</v>
      </c>
      <c r="E44" s="822"/>
      <c r="F44" s="821" t="s">
        <v>1564</v>
      </c>
      <c r="G44" s="822"/>
    </row>
    <row r="45" spans="1:7">
      <c r="A45" s="821" t="s">
        <v>1565</v>
      </c>
      <c r="B45" s="822"/>
      <c r="C45" s="1455"/>
      <c r="D45" s="2616" t="s">
        <v>1565</v>
      </c>
      <c r="E45" s="822"/>
      <c r="F45" s="821" t="s">
        <v>1565</v>
      </c>
      <c r="G45" s="822"/>
    </row>
    <row r="46" spans="1:7">
      <c r="A46" s="821" t="s">
        <v>1566</v>
      </c>
      <c r="B46" s="822"/>
      <c r="C46" s="1455"/>
      <c r="D46" s="2616" t="s">
        <v>1566</v>
      </c>
      <c r="E46" s="822"/>
      <c r="F46" s="821" t="s">
        <v>1566</v>
      </c>
      <c r="G46" s="822"/>
    </row>
    <row r="47" spans="1:7">
      <c r="A47" s="821" t="s">
        <v>1567</v>
      </c>
      <c r="B47" s="822"/>
      <c r="C47" s="1455"/>
      <c r="D47" s="2616" t="s">
        <v>1567</v>
      </c>
      <c r="E47" s="822"/>
      <c r="F47" s="821" t="s">
        <v>1567</v>
      </c>
      <c r="G47" s="822"/>
    </row>
    <row r="48" spans="1:7">
      <c r="A48" s="821"/>
      <c r="B48" s="822"/>
      <c r="C48" s="1455"/>
      <c r="D48" s="2616"/>
      <c r="E48" s="822"/>
      <c r="F48" s="821"/>
      <c r="G48" s="822"/>
    </row>
    <row r="49" spans="1:66" ht="13.5" thickBot="1">
      <c r="A49" s="805" t="s">
        <v>1611</v>
      </c>
      <c r="B49" s="802"/>
      <c r="C49" s="3455" t="s">
        <v>1611</v>
      </c>
      <c r="D49" s="3456"/>
      <c r="E49" s="820"/>
      <c r="F49" s="805" t="s">
        <v>1612</v>
      </c>
      <c r="G49" s="802"/>
    </row>
    <row r="50" spans="1:66">
      <c r="A50" s="804" t="s">
        <v>1613</v>
      </c>
      <c r="B50" s="819"/>
      <c r="C50" s="3430" t="s">
        <v>1614</v>
      </c>
      <c r="D50" s="3457"/>
      <c r="E50" s="2630"/>
      <c r="F50" s="837"/>
      <c r="G50" s="838"/>
    </row>
    <row r="51" spans="1:66" ht="13.5" thickBot="1">
      <c r="A51" s="804" t="s">
        <v>1615</v>
      </c>
      <c r="B51" s="819"/>
      <c r="C51" s="3432" t="s">
        <v>1616</v>
      </c>
      <c r="D51" s="3435"/>
      <c r="E51" s="802"/>
      <c r="F51" s="811"/>
      <c r="G51" s="830"/>
    </row>
    <row r="52" spans="1:66">
      <c r="A52" s="804" t="s">
        <v>1594</v>
      </c>
      <c r="B52" s="798"/>
      <c r="C52" s="811"/>
      <c r="D52" s="811"/>
      <c r="E52" s="811"/>
      <c r="F52" s="811"/>
      <c r="G52" s="830"/>
    </row>
    <row r="53" spans="1:66" ht="24.75" thickBot="1">
      <c r="A53" s="805" t="s">
        <v>1617</v>
      </c>
      <c r="B53" s="2626"/>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62" t="s">
        <v>0</v>
      </c>
      <c r="B1" s="3462" t="s">
        <v>2</v>
      </c>
      <c r="C1" s="3462" t="s">
        <v>3</v>
      </c>
      <c r="D1" s="3463" t="s">
        <v>67</v>
      </c>
      <c r="E1" s="3463" t="s">
        <v>68</v>
      </c>
      <c r="F1" s="3463"/>
      <c r="G1" s="3463"/>
      <c r="H1" s="3463"/>
      <c r="I1" s="3463"/>
      <c r="J1" s="3463"/>
      <c r="K1" s="3463"/>
      <c r="L1" s="3463"/>
      <c r="M1" s="3463"/>
    </row>
    <row r="2" spans="1:13" ht="27" customHeight="1">
      <c r="A2" s="3462"/>
      <c r="B2" s="3462"/>
      <c r="C2" s="3462"/>
      <c r="D2" s="3463"/>
      <c r="E2" s="3463" t="s">
        <v>51</v>
      </c>
      <c r="F2" s="3463" t="s">
        <v>52</v>
      </c>
      <c r="G2" s="3463"/>
      <c r="H2" s="3463"/>
      <c r="I2" s="3463"/>
      <c r="J2" s="3463" t="s">
        <v>53</v>
      </c>
      <c r="K2" s="3463"/>
      <c r="L2" s="3463"/>
      <c r="M2" s="3463"/>
    </row>
    <row r="3" spans="1:13" ht="28.5">
      <c r="A3" s="3462"/>
      <c r="B3" s="3462"/>
      <c r="C3" s="3462"/>
      <c r="D3" s="3463"/>
      <c r="E3" s="34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63" t="s">
        <v>69</v>
      </c>
      <c r="B9" s="3463"/>
      <c r="C9" s="34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F26" sqref="F26"/>
    </sheetView>
  </sheetViews>
  <sheetFormatPr defaultColWidth="13.75" defaultRowHeight="12.75"/>
  <cols>
    <col min="1" max="1" width="20.875" style="2687" customWidth="1"/>
    <col min="2" max="2" width="16.75" style="2632" customWidth="1"/>
    <col min="3" max="3" width="18.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2"/>
  </cols>
  <sheetData>
    <row r="1" spans="1:41" ht="19.5" thickBot="1">
      <c r="A1" s="2920" t="s">
        <v>1618</v>
      </c>
      <c r="B1" s="947"/>
      <c r="D1" s="2631"/>
      <c r="E1" s="2631"/>
    </row>
    <row r="2" spans="1:41" s="2635" customFormat="1" ht="15.75" thickBot="1">
      <c r="A2" s="2921" t="s">
        <v>1619</v>
      </c>
      <c r="B2" s="2922">
        <f>项目基本情况!D2</f>
        <v>39004</v>
      </c>
      <c r="C2" s="1685"/>
      <c r="D2" s="3464" t="s">
        <v>1620</v>
      </c>
      <c r="E2" s="2633"/>
      <c r="F2" s="2634"/>
      <c r="G2" s="2967"/>
      <c r="H2" s="2967"/>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5" customFormat="1" ht="15" customHeight="1" thickBot="1">
      <c r="A3" s="2638" t="s">
        <v>1621</v>
      </c>
      <c r="B3" s="2636" t="s">
        <v>2892</v>
      </c>
      <c r="C3" s="1685"/>
      <c r="D3" s="3465"/>
      <c r="E3" s="2637"/>
      <c r="F3" s="2634"/>
      <c r="G3" s="2967"/>
      <c r="H3" s="2967"/>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5" customFormat="1" ht="15" thickBot="1">
      <c r="A4" s="2641" t="s">
        <v>1622</v>
      </c>
      <c r="B4" s="2636" t="s">
        <v>2893</v>
      </c>
      <c r="C4" s="1685"/>
      <c r="D4" s="3465"/>
      <c r="E4" s="2637"/>
      <c r="F4" s="2634"/>
      <c r="G4" s="2967"/>
      <c r="H4" s="2967"/>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5" customFormat="1" ht="15.75" thickBot="1">
      <c r="A5" s="2638" t="s">
        <v>1623</v>
      </c>
      <c r="B5" s="2639">
        <f>项目基本情况!C12</f>
        <v>64.19</v>
      </c>
      <c r="C5" s="1685"/>
      <c r="D5" s="2923" t="s">
        <v>1624</v>
      </c>
      <c r="E5" s="2640"/>
      <c r="F5" s="2634"/>
      <c r="G5" s="2967"/>
      <c r="H5" s="2967"/>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5" customFormat="1" ht="15.75" thickBot="1">
      <c r="A6" s="2641" t="s">
        <v>1625</v>
      </c>
      <c r="B6" s="2642">
        <f>项目基本情况!C13</f>
        <v>0</v>
      </c>
      <c r="C6" s="1685"/>
      <c r="D6" s="2923" t="s">
        <v>1626</v>
      </c>
      <c r="E6" s="2640"/>
      <c r="F6" s="2634"/>
      <c r="G6" s="2967"/>
      <c r="H6" s="2967"/>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69"/>
      <c r="D7" s="2970"/>
      <c r="E7" s="2970"/>
      <c r="F7" s="2967"/>
      <c r="G7" s="2967"/>
      <c r="H7" s="2967"/>
    </row>
    <row r="8" spans="1:41" s="1685" customFormat="1" ht="15" hidden="1">
      <c r="A8" s="2969"/>
      <c r="D8" s="2970"/>
      <c r="E8" s="2970"/>
      <c r="F8" s="2967"/>
      <c r="G8" s="2967"/>
      <c r="H8" s="2967"/>
    </row>
    <row r="9" spans="1:41" s="1685" customFormat="1" ht="15" hidden="1" thickBot="1">
      <c r="C9" s="3089"/>
      <c r="D9" s="2967"/>
      <c r="E9" s="2967"/>
      <c r="F9" s="2967"/>
      <c r="G9" s="2967"/>
      <c r="H9" s="2967"/>
    </row>
    <row r="10" spans="1:41" s="2635" customFormat="1" ht="15" thickBot="1">
      <c r="A10" s="2924" t="s">
        <v>1627</v>
      </c>
      <c r="B10" s="2644" t="s">
        <v>2884</v>
      </c>
      <c r="C10" s="1685"/>
      <c r="D10" s="2921" t="s">
        <v>1628</v>
      </c>
      <c r="E10" s="2925" t="s">
        <v>1629</v>
      </c>
      <c r="F10" s="3090" t="s">
        <v>2838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8" customFormat="1" ht="14.25">
      <c r="A11" s="2926" t="s">
        <v>1630</v>
      </c>
      <c r="B11" s="2646">
        <v>70</v>
      </c>
      <c r="C11" s="1685"/>
      <c r="D11" s="2927" t="s">
        <v>1631</v>
      </c>
      <c r="E11" s="2647">
        <v>160</v>
      </c>
      <c r="F11" s="1312" t="s">
        <v>1632</v>
      </c>
      <c r="G11" s="1685"/>
      <c r="H11" s="1685"/>
      <c r="I11" s="1685"/>
      <c r="J11" s="1685"/>
      <c r="K11" s="1685"/>
      <c r="L11" s="2709"/>
      <c r="M11" s="2709"/>
      <c r="N11" s="2709"/>
      <c r="O11" s="2709"/>
      <c r="P11" s="2709"/>
      <c r="Q11" s="2709"/>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5" customFormat="1" ht="15">
      <c r="A12" s="2928" t="s">
        <v>1633</v>
      </c>
      <c r="B12" s="2649">
        <v>65568</v>
      </c>
      <c r="C12" s="1685"/>
      <c r="D12" s="2928" t="s">
        <v>1634</v>
      </c>
      <c r="E12" s="2650">
        <v>190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5" customFormat="1" ht="15" thickBot="1">
      <c r="A13" s="2929" t="s">
        <v>1635</v>
      </c>
      <c r="B13" s="2930">
        <f>IF(B12="",B11-(YEAR($B$2)-B27+B24),ROUNDDOWN(MIN((B12-$B$2)/365,B11),2))</f>
        <v>70</v>
      </c>
      <c r="C13" s="2965"/>
      <c r="D13" s="2931" t="s">
        <v>1636</v>
      </c>
      <c r="E13" s="2651">
        <f>ROUND(E11*B5,0)</f>
        <v>10270</v>
      </c>
      <c r="F13" s="1310" t="s">
        <v>1637</v>
      </c>
      <c r="G13" s="1685"/>
      <c r="H13" s="3466" t="s">
        <v>2895</v>
      </c>
      <c r="I13" s="3467"/>
      <c r="J13" s="3155"/>
      <c r="K13" s="3156"/>
      <c r="L13" s="3156"/>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5" customFormat="1" ht="24">
      <c r="A14" s="2928" t="s">
        <v>1638</v>
      </c>
      <c r="B14" s="2932">
        <f>IF(ISERROR(ROUND(POWER(1+B15,B11-B13)*(POWER(1+B15,B13)-1)/(POWER(1+B15,B11)-1),3)),0,ROUND(POWER(1+B15,B11-B13)*(POWER(1+B15,B13)-1)/(POWER(1+B15,B11)-1),3))</f>
        <v>1</v>
      </c>
      <c r="C14" s="1685"/>
      <c r="D14" s="2933" t="s">
        <v>1639</v>
      </c>
      <c r="E14" s="2652">
        <v>200</v>
      </c>
      <c r="F14" s="1311"/>
      <c r="G14" s="1685"/>
      <c r="H14" s="3157" t="s">
        <v>2896</v>
      </c>
      <c r="I14" s="3158">
        <v>0.02</v>
      </c>
      <c r="J14" s="3155"/>
      <c r="K14" s="3159"/>
      <c r="L14" s="3159"/>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5" customFormat="1" ht="24">
      <c r="A15" s="2928" t="s">
        <v>1640</v>
      </c>
      <c r="B15" s="2653">
        <v>0.04</v>
      </c>
      <c r="C15" s="2561" t="s">
        <v>2839</v>
      </c>
      <c r="D15" s="2928" t="s">
        <v>1641</v>
      </c>
      <c r="E15" s="2934">
        <f>E14-E16</f>
        <v>200</v>
      </c>
      <c r="F15" s="1311"/>
      <c r="G15" s="1685"/>
      <c r="H15" s="3157" t="s">
        <v>2897</v>
      </c>
      <c r="I15" s="3171">
        <f>2009-B27</f>
        <v>44</v>
      </c>
      <c r="J15" s="3155"/>
      <c r="K15" s="3159"/>
      <c r="L15" s="3161"/>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5" customFormat="1" ht="24.75" thickBot="1">
      <c r="A16" s="2928" t="s">
        <v>1642</v>
      </c>
      <c r="B16" s="2653">
        <v>0.05</v>
      </c>
      <c r="C16" s="2561" t="s">
        <v>2840</v>
      </c>
      <c r="D16" s="2935" t="s">
        <v>1643</v>
      </c>
      <c r="E16" s="2654"/>
      <c r="F16" s="1310"/>
      <c r="G16" s="1685"/>
      <c r="H16" s="3157" t="s">
        <v>2898</v>
      </c>
      <c r="I16" s="3160" t="s">
        <v>3107</v>
      </c>
      <c r="J16" s="3155"/>
      <c r="K16" s="3159"/>
      <c r="L16" s="3159"/>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5" customFormat="1" ht="15" thickBot="1">
      <c r="A17" s="2935" t="s">
        <v>2837</v>
      </c>
      <c r="B17" s="3088">
        <v>7.0000000000000007E-2</v>
      </c>
      <c r="C17" s="2561" t="s">
        <v>2841</v>
      </c>
      <c r="D17" s="2924" t="s">
        <v>1645</v>
      </c>
      <c r="E17" s="2655">
        <v>1800</v>
      </c>
      <c r="F17" s="947"/>
      <c r="G17" s="1685"/>
      <c r="H17" s="3157" t="s">
        <v>2899</v>
      </c>
      <c r="I17" s="3162">
        <f>ROUND(1-(1-I14)*I15/I16,2)</f>
        <v>0.14000000000000001</v>
      </c>
      <c r="J17" s="3155"/>
      <c r="K17" s="3159"/>
      <c r="L17" s="3159"/>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5" customFormat="1" ht="15" thickBot="1">
      <c r="A18" s="2936" t="s">
        <v>1644</v>
      </c>
      <c r="B18" s="3096">
        <v>6.5000000000000002E-2</v>
      </c>
      <c r="C18" s="1685"/>
      <c r="D18" s="2937" t="str">
        <f>IF(B26=0,"建安总额","在建建安")</f>
        <v>建安总额</v>
      </c>
      <c r="E18" s="2938">
        <f>ROUND(B5*E17*IF(B26=0,1,E20),0)</f>
        <v>115542</v>
      </c>
      <c r="F18" s="2656">
        <f>ROUND(E5*E17*IF(B26=0,1,E20),0)</f>
        <v>0</v>
      </c>
      <c r="G18" s="1685"/>
      <c r="H18" s="3163" t="s">
        <v>2900</v>
      </c>
      <c r="I18" s="3164">
        <v>0.5</v>
      </c>
      <c r="J18" s="3155"/>
      <c r="K18" s="3159"/>
      <c r="L18" s="3159"/>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5" customFormat="1" ht="15" thickBot="1">
      <c r="A19" s="1311"/>
      <c r="B19" s="1311"/>
      <c r="C19" s="1685"/>
      <c r="D19" s="2937" t="str">
        <f>IF(B26=0,"——","续建建安")</f>
        <v>——</v>
      </c>
      <c r="E19" s="2938" t="str">
        <f>IF(B26=0,"——",ROUND(B5*E17*(1-E20),0))</f>
        <v>——</v>
      </c>
      <c r="F19" s="2656" t="str">
        <f>IF(B26=0,"——",ROUND(E5*E17*(1-E20),0))</f>
        <v>——</v>
      </c>
      <c r="G19" s="1685"/>
      <c r="H19" s="3468" t="s">
        <v>2901</v>
      </c>
      <c r="I19" s="3469"/>
      <c r="J19" s="3469"/>
      <c r="K19" s="3469"/>
      <c r="L19" s="3470"/>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5" customFormat="1" ht="15" thickBot="1">
      <c r="A20" s="2939" t="s">
        <v>1646</v>
      </c>
      <c r="B20" s="1311"/>
      <c r="C20" s="1685"/>
      <c r="D20" s="2941" t="str">
        <f>IF(B26=0,"成新率","工程进度")</f>
        <v>成新率</v>
      </c>
      <c r="E20" s="2658">
        <v>0.6</v>
      </c>
      <c r="F20" s="947"/>
      <c r="G20" s="1685"/>
      <c r="H20" s="3165" t="s">
        <v>2902</v>
      </c>
      <c r="I20" s="3166" t="s">
        <v>2903</v>
      </c>
      <c r="J20" s="3166" t="s">
        <v>2904</v>
      </c>
      <c r="K20" s="3166" t="s">
        <v>2905</v>
      </c>
      <c r="L20" s="3166" t="s">
        <v>2906</v>
      </c>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5" customFormat="1" ht="14.25">
      <c r="A21" s="2940" t="s">
        <v>1647</v>
      </c>
      <c r="B21" s="2657">
        <v>0</v>
      </c>
      <c r="C21" s="1685"/>
      <c r="D21" s="2928" t="s">
        <v>1649</v>
      </c>
      <c r="E21" s="2660">
        <v>0.03</v>
      </c>
      <c r="F21" s="2671" t="s">
        <v>2847</v>
      </c>
      <c r="G21" s="1685"/>
      <c r="H21" s="3165" t="s">
        <v>2907</v>
      </c>
      <c r="I21" s="3166">
        <v>100</v>
      </c>
      <c r="J21" s="3166" t="s">
        <v>2908</v>
      </c>
      <c r="K21" s="3166">
        <v>95</v>
      </c>
      <c r="L21" s="3167">
        <v>0.3</v>
      </c>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5" customFormat="1" ht="14.25">
      <c r="A22" s="2942" t="s">
        <v>1648</v>
      </c>
      <c r="B22" s="2659">
        <v>1</v>
      </c>
      <c r="C22" s="1685"/>
      <c r="D22" s="2928" t="s">
        <v>1651</v>
      </c>
      <c r="E22" s="2663">
        <v>0.03</v>
      </c>
      <c r="F22" s="2671" t="s">
        <v>2845</v>
      </c>
      <c r="G22" s="1685"/>
      <c r="H22" s="3165" t="s">
        <v>2909</v>
      </c>
      <c r="I22" s="3166">
        <v>100</v>
      </c>
      <c r="J22" s="3166" t="s">
        <v>2908</v>
      </c>
      <c r="K22" s="3166">
        <v>95</v>
      </c>
      <c r="L22" s="3167">
        <v>0.5</v>
      </c>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5" customFormat="1" ht="14.25">
      <c r="A23" s="2943" t="s">
        <v>1650</v>
      </c>
      <c r="B23" s="2662">
        <v>1</v>
      </c>
      <c r="C23" s="1685"/>
      <c r="D23" s="2928" t="s">
        <v>1653</v>
      </c>
      <c r="E23" s="2650">
        <v>200</v>
      </c>
      <c r="F23" s="2671"/>
      <c r="G23" s="1685"/>
      <c r="H23" s="3165" t="s">
        <v>2910</v>
      </c>
      <c r="I23" s="3166">
        <v>100</v>
      </c>
      <c r="J23" s="3166" t="s">
        <v>2908</v>
      </c>
      <c r="K23" s="3166">
        <v>95</v>
      </c>
      <c r="L23" s="3167">
        <f>1-L21-L22</f>
        <v>0.19999999999999996</v>
      </c>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5" customFormat="1" ht="15" thickBot="1">
      <c r="A24" s="2944" t="s">
        <v>1652</v>
      </c>
      <c r="B24" s="2945">
        <f>B21+B22</f>
        <v>1</v>
      </c>
      <c r="C24" s="1685"/>
      <c r="D24" s="2935" t="s">
        <v>1655</v>
      </c>
      <c r="E24" s="2664">
        <v>1.4999999999999999E-2</v>
      </c>
      <c r="F24" s="2671" t="s">
        <v>2848</v>
      </c>
      <c r="G24" s="1685"/>
      <c r="H24" s="3168" t="s">
        <v>2911</v>
      </c>
      <c r="I24" s="3169">
        <f>1-I18</f>
        <v>0.5</v>
      </c>
      <c r="J24" s="3166" t="s">
        <v>2899</v>
      </c>
      <c r="K24" s="3170">
        <f>ROUND((K21*L21+K22*L22+K23*L23)/100,2)</f>
        <v>0.95</v>
      </c>
      <c r="L24" s="3172">
        <f>ROUND(I17*I18+K24*I24,4)</f>
        <v>0.54500000000000004</v>
      </c>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6" t="s">
        <v>1654</v>
      </c>
      <c r="B25" s="2947">
        <f>B21+B23</f>
        <v>1</v>
      </c>
      <c r="C25" s="1685"/>
      <c r="D25" s="2927" t="s">
        <v>1657</v>
      </c>
      <c r="E25" s="2660">
        <v>0.01</v>
      </c>
      <c r="F25" s="2671" t="s">
        <v>2846</v>
      </c>
      <c r="I25" s="2966"/>
    </row>
    <row r="26" spans="1:41" ht="15" thickBot="1">
      <c r="A26" s="2944" t="s">
        <v>1656</v>
      </c>
      <c r="B26" s="2948">
        <f>B22-B23</f>
        <v>0</v>
      </c>
      <c r="D26" s="2928" t="s">
        <v>1659</v>
      </c>
      <c r="E26" s="2663">
        <v>0.01</v>
      </c>
      <c r="F26" s="2671" t="s">
        <v>2846</v>
      </c>
      <c r="G26" s="2967">
        <f>1-(1-2%)*(2009-1987)/50</f>
        <v>0.56879999999999997</v>
      </c>
      <c r="H26" s="2967"/>
      <c r="I26" s="1685"/>
      <c r="J26" s="1685"/>
      <c r="K26" s="1685"/>
      <c r="L26" s="1685"/>
      <c r="M26" s="1685"/>
      <c r="N26" s="1685"/>
    </row>
    <row r="27" spans="1:41" ht="15.75" thickBot="1">
      <c r="A27" s="2949" t="s">
        <v>1658</v>
      </c>
      <c r="B27" s="2665">
        <v>1965</v>
      </c>
      <c r="C27" s="1685"/>
      <c r="D27" s="3153" t="s">
        <v>3108</v>
      </c>
      <c r="E27" s="2950">
        <f ca="1">IF(D27="利息：取LPR",存贷款利率!G1,存贷款利率!G1+F27)</f>
        <v>6.6200000000000009E-2</v>
      </c>
      <c r="F27" s="3154">
        <v>5.0000000000000001E-3</v>
      </c>
      <c r="G27" s="2967">
        <v>0.85</v>
      </c>
      <c r="H27" s="2967">
        <f>G26*0.2+G27*0.8</f>
        <v>0.79376000000000002</v>
      </c>
      <c r="K27" s="1685"/>
      <c r="N27" s="1685"/>
    </row>
    <row r="28" spans="1:41" ht="15" thickBot="1">
      <c r="A28" s="947"/>
      <c r="B28" s="947"/>
      <c r="D28" s="2931" t="s">
        <v>1661</v>
      </c>
      <c r="E28" s="2667">
        <v>0.08</v>
      </c>
      <c r="G28" s="2967"/>
      <c r="H28" s="2967"/>
      <c r="K28" s="1685"/>
      <c r="N28" s="1685"/>
    </row>
    <row r="29" spans="1:41" ht="14.25">
      <c r="A29" s="2951" t="s">
        <v>1660</v>
      </c>
      <c r="B29" s="2666" t="s">
        <v>3205</v>
      </c>
      <c r="D29" s="2933" t="s">
        <v>1662</v>
      </c>
      <c r="E29" s="2952">
        <f>E30+E31</f>
        <v>5.5000000000000007E-2</v>
      </c>
      <c r="F29" s="1310"/>
      <c r="G29" s="2967"/>
      <c r="H29" s="2967"/>
      <c r="K29" s="1685"/>
      <c r="N29" s="1685"/>
    </row>
    <row r="30" spans="1:41" ht="14.25">
      <c r="A30" s="2928" t="str">
        <f>IF(B29="租赁期内按合同租金","合同租金","市场租金")</f>
        <v>市场租金</v>
      </c>
      <c r="B30" s="2668"/>
      <c r="D30" s="2935" t="s">
        <v>1664</v>
      </c>
      <c r="E30" s="2669">
        <v>0.05</v>
      </c>
      <c r="F30" s="2954">
        <f>IF(B2&lt;DATE(2016,5,1),0,E30)</f>
        <v>0</v>
      </c>
      <c r="G30" s="2967"/>
      <c r="H30" s="2967"/>
      <c r="K30" s="1685"/>
      <c r="N30" s="1685"/>
    </row>
    <row r="31" spans="1:41" ht="14.25">
      <c r="A31" s="2928" t="s">
        <v>1663</v>
      </c>
      <c r="B31" s="2953">
        <f ca="1">存贷款利率!I1</f>
        <v>2.52E-2</v>
      </c>
      <c r="D31" s="2935" t="s">
        <v>1666</v>
      </c>
      <c r="E31" s="2955">
        <f>E30*(E32+E33+E34)+E35</f>
        <v>5.000000000000001E-3</v>
      </c>
      <c r="F31" s="1310"/>
      <c r="G31" s="2967"/>
      <c r="H31" s="2967"/>
      <c r="K31" s="1685"/>
      <c r="N31" s="1685"/>
    </row>
    <row r="32" spans="1:41" ht="14.25">
      <c r="A32" s="2928" t="s">
        <v>1665</v>
      </c>
      <c r="B32" s="2653">
        <v>0.03</v>
      </c>
      <c r="D32" s="2935" t="s">
        <v>1668</v>
      </c>
      <c r="E32" s="2670">
        <v>0.05</v>
      </c>
      <c r="F32" s="2671" t="s">
        <v>2732</v>
      </c>
      <c r="G32" s="2967"/>
      <c r="H32" s="2967"/>
      <c r="K32" s="1685"/>
      <c r="L32" s="1685"/>
      <c r="M32" s="1685"/>
      <c r="N32" s="1685"/>
    </row>
    <row r="33" spans="1:14" ht="14.25">
      <c r="A33" s="2928" t="s">
        <v>1667</v>
      </c>
      <c r="B33" s="2653">
        <v>0.05</v>
      </c>
      <c r="D33" s="2935" t="s">
        <v>1670</v>
      </c>
      <c r="E33" s="2669">
        <v>0.03</v>
      </c>
      <c r="F33" s="1309" t="s">
        <v>1671</v>
      </c>
      <c r="G33" s="2967"/>
      <c r="H33" s="2967"/>
      <c r="K33" s="1685"/>
      <c r="L33" s="1685"/>
      <c r="M33" s="1685"/>
      <c r="N33" s="1685"/>
    </row>
    <row r="34" spans="1:14" s="2673" customFormat="1" ht="14.25">
      <c r="A34" s="2928" t="s">
        <v>1669</v>
      </c>
      <c r="B34" s="2956">
        <f>收益法!J54</f>
        <v>70</v>
      </c>
      <c r="D34" s="2935" t="s">
        <v>1672</v>
      </c>
      <c r="E34" s="2669">
        <v>0.02</v>
      </c>
      <c r="F34" s="1309" t="s">
        <v>1673</v>
      </c>
      <c r="G34" s="2967"/>
      <c r="H34" s="2967"/>
      <c r="I34" s="1685"/>
      <c r="J34" s="1685"/>
      <c r="K34" s="1685"/>
      <c r="L34" s="1685"/>
      <c r="M34" s="1685"/>
      <c r="N34" s="1685"/>
    </row>
    <row r="35" spans="1:14" s="2673" customFormat="1" ht="15" thickBot="1">
      <c r="A35" s="2935" t="str">
        <f>IF(B29="租赁期内按合同租金","剩余租赁期","——")</f>
        <v>——</v>
      </c>
      <c r="B35" s="2672"/>
      <c r="D35" s="2931" t="s">
        <v>1675</v>
      </c>
      <c r="E35" s="2675"/>
      <c r="F35" s="1312" t="s">
        <v>1676</v>
      </c>
      <c r="G35" s="2967"/>
      <c r="H35" s="2967"/>
      <c r="I35" s="1685"/>
      <c r="J35" s="1685"/>
      <c r="K35" s="1685"/>
      <c r="L35" s="1685"/>
      <c r="M35" s="1685"/>
      <c r="N35" s="1685"/>
    </row>
    <row r="36" spans="1:14" s="2673" customFormat="1" ht="15">
      <c r="A36" s="2957" t="s">
        <v>1674</v>
      </c>
      <c r="B36" s="2958"/>
      <c r="D36" s="2959" t="s">
        <v>1677</v>
      </c>
      <c r="E36" s="2677">
        <v>0.03</v>
      </c>
      <c r="F36" s="1311" t="s">
        <v>1678</v>
      </c>
      <c r="G36" s="2967"/>
      <c r="H36" s="2967"/>
      <c r="I36" s="1685"/>
      <c r="J36" s="1685"/>
      <c r="K36" s="1685"/>
      <c r="L36" s="1685"/>
      <c r="M36" s="1685"/>
      <c r="N36" s="1685"/>
    </row>
    <row r="37" spans="1:14" s="2673" customFormat="1" ht="15" thickBot="1">
      <c r="A37" s="2933" t="str">
        <f>IF(B29="租赁期内按合同租金","租金","——")</f>
        <v>——</v>
      </c>
      <c r="B37" s="2676"/>
      <c r="D37" s="2935" t="s">
        <v>1679</v>
      </c>
      <c r="E37" s="2669">
        <v>5.0000000000000001E-4</v>
      </c>
      <c r="F37" s="1311" t="s">
        <v>1680</v>
      </c>
      <c r="G37" s="2967"/>
      <c r="H37" s="2967"/>
      <c r="I37" s="1685"/>
      <c r="J37" s="1685"/>
      <c r="K37" s="1685"/>
      <c r="L37" s="1685"/>
      <c r="M37" s="1685"/>
      <c r="N37" s="1685"/>
    </row>
    <row r="38" spans="1:14" s="2673" customFormat="1" ht="14.25">
      <c r="A38" s="2928" t="str">
        <f>IF(B29="租赁期内按合同租金","年租金增长率","——")</f>
        <v>——</v>
      </c>
      <c r="B38" s="2653"/>
      <c r="D38" s="2960" t="s">
        <v>1681</v>
      </c>
      <c r="E38" s="2961">
        <v>1.2E-2</v>
      </c>
      <c r="F38" s="1311"/>
      <c r="G38" s="2966"/>
      <c r="H38" s="2966"/>
      <c r="I38" s="2967"/>
      <c r="J38" s="1685"/>
      <c r="K38" s="1685"/>
      <c r="L38" s="1685"/>
      <c r="M38" s="1685"/>
      <c r="N38" s="1685"/>
    </row>
    <row r="39" spans="1:14" s="2673" customFormat="1" ht="15" thickBot="1">
      <c r="A39" s="2928" t="str">
        <f>IF(B29="租赁期内按合同租金","空置率","——")</f>
        <v>——</v>
      </c>
      <c r="B39" s="2653"/>
      <c r="D39" s="2931" t="s">
        <v>1682</v>
      </c>
      <c r="E39" s="2962">
        <v>0.12</v>
      </c>
      <c r="F39" s="1311"/>
      <c r="G39" s="2967"/>
      <c r="H39" s="2967"/>
      <c r="I39" s="1685"/>
      <c r="J39" s="1685"/>
      <c r="K39" s="1685"/>
      <c r="L39" s="1685"/>
      <c r="M39" s="1685"/>
      <c r="N39" s="1685"/>
    </row>
    <row r="40" spans="1:14" ht="14.25">
      <c r="A40" s="2928" t="str">
        <f>IF(B29="租赁期内按合同租金","成新率","——")</f>
        <v>——</v>
      </c>
      <c r="B40" s="2653"/>
      <c r="D40" s="2960" t="s">
        <v>1683</v>
      </c>
      <c r="E40" s="2964">
        <f>SUMIF(D42:D51,E41,E42:E51)</f>
        <v>1.5</v>
      </c>
      <c r="F40" s="1311"/>
      <c r="G40" s="2967"/>
      <c r="H40" s="2967"/>
      <c r="I40" s="1685"/>
      <c r="J40" s="1685"/>
      <c r="K40" s="1685"/>
      <c r="L40" s="1685"/>
      <c r="M40" s="1685"/>
      <c r="N40" s="1685"/>
    </row>
    <row r="41" spans="1:14" ht="15" thickBot="1">
      <c r="A41" s="2935" t="str">
        <f>IF(B29="租赁期内按合同租金","租赁期外收益期","——")</f>
        <v>——</v>
      </c>
      <c r="B41" s="2963" t="str">
        <f>IF(B29="租赁期内按合同租金",B34-B35,"——")</f>
        <v>——</v>
      </c>
      <c r="D41" s="2928" t="s">
        <v>1685</v>
      </c>
      <c r="E41" s="2679" t="s">
        <v>70</v>
      </c>
      <c r="F41" s="1311" t="s">
        <v>1686</v>
      </c>
      <c r="G41" s="1770" t="s">
        <v>1687</v>
      </c>
      <c r="H41" s="2967"/>
      <c r="I41" s="1685"/>
      <c r="J41" s="1685"/>
      <c r="K41" s="1685"/>
      <c r="L41" s="1685"/>
      <c r="M41" s="1685"/>
      <c r="N41" s="1685"/>
    </row>
    <row r="42" spans="1:14" ht="14.25">
      <c r="A42" s="2927" t="s">
        <v>1684</v>
      </c>
      <c r="B42" s="2678"/>
      <c r="D42" s="2681" t="s">
        <v>1689</v>
      </c>
      <c r="E42" s="2668"/>
      <c r="F42" s="1311">
        <v>30</v>
      </c>
      <c r="G42" s="2967"/>
      <c r="H42" s="2967"/>
      <c r="I42" s="1685"/>
      <c r="J42" s="1685"/>
      <c r="K42" s="1685"/>
      <c r="L42" s="1685"/>
      <c r="M42" s="1685"/>
      <c r="N42" s="1685"/>
    </row>
    <row r="43" spans="1:14" ht="14.25">
      <c r="A43" s="2928" t="s">
        <v>1688</v>
      </c>
      <c r="B43" s="2680"/>
      <c r="D43" s="2681" t="s">
        <v>1691</v>
      </c>
      <c r="E43" s="2668"/>
      <c r="F43" s="1311">
        <v>24</v>
      </c>
      <c r="G43" s="2967"/>
      <c r="H43" s="2967"/>
      <c r="I43" s="1685"/>
      <c r="J43" s="1685"/>
      <c r="K43" s="1685"/>
      <c r="L43" s="1685"/>
      <c r="M43" s="1685"/>
      <c r="N43" s="1685"/>
    </row>
    <row r="44" spans="1:14" ht="14.25">
      <c r="A44" s="2928" t="s">
        <v>1690</v>
      </c>
      <c r="B44" s="2668"/>
      <c r="D44" s="2681" t="s">
        <v>1693</v>
      </c>
      <c r="E44" s="2668"/>
      <c r="F44" s="1311">
        <v>18</v>
      </c>
      <c r="G44" s="2673"/>
      <c r="H44" s="2673"/>
      <c r="I44" s="2967"/>
      <c r="J44" s="1685"/>
      <c r="K44" s="1685"/>
      <c r="L44" s="1685"/>
      <c r="M44" s="1685"/>
      <c r="N44" s="1685"/>
    </row>
    <row r="45" spans="1:14" ht="14.25">
      <c r="A45" s="2928" t="s">
        <v>1692</v>
      </c>
      <c r="B45" s="2682">
        <v>1.4999999999999999E-2</v>
      </c>
      <c r="C45" s="2561" t="s">
        <v>2844</v>
      </c>
      <c r="D45" s="2681" t="s">
        <v>1695</v>
      </c>
      <c r="E45" s="2668"/>
      <c r="F45" s="1311">
        <v>12</v>
      </c>
      <c r="G45" s="2673"/>
      <c r="H45" s="2673"/>
      <c r="M45" s="1685"/>
      <c r="N45" s="1685"/>
    </row>
    <row r="46" spans="1:14" ht="14.25">
      <c r="A46" s="2928" t="s">
        <v>1694</v>
      </c>
      <c r="B46" s="2683">
        <v>1.5E-3</v>
      </c>
      <c r="C46" s="2561" t="s">
        <v>2842</v>
      </c>
      <c r="D46" s="2681" t="s">
        <v>1457</v>
      </c>
      <c r="E46" s="2668"/>
      <c r="F46" s="1311">
        <v>3</v>
      </c>
      <c r="G46" s="2673"/>
      <c r="H46" s="2673"/>
      <c r="M46" s="1685"/>
      <c r="N46" s="1685"/>
    </row>
    <row r="47" spans="1:14" ht="15" thickBot="1">
      <c r="A47" s="2931" t="s">
        <v>1696</v>
      </c>
      <c r="B47" s="2684">
        <v>0.01</v>
      </c>
      <c r="C47" s="2561" t="s">
        <v>2843</v>
      </c>
      <c r="D47" s="2681" t="s">
        <v>1697</v>
      </c>
      <c r="E47" s="2668">
        <v>1.5</v>
      </c>
      <c r="F47" s="1311">
        <v>1.5</v>
      </c>
      <c r="G47" s="2673"/>
      <c r="H47" s="2673"/>
      <c r="M47" s="1685"/>
      <c r="N47" s="1685"/>
    </row>
    <row r="48" spans="1:14" ht="14.25">
      <c r="A48" s="2673"/>
      <c r="B48" s="2673"/>
      <c r="D48" s="2681" t="s">
        <v>1698</v>
      </c>
      <c r="E48" s="2668"/>
      <c r="F48" s="1311"/>
      <c r="G48" s="2673"/>
      <c r="H48" s="2673"/>
      <c r="M48" s="1685"/>
      <c r="N48" s="1685"/>
    </row>
    <row r="49" spans="1:41" ht="14.25">
      <c r="A49" s="2673"/>
      <c r="B49" s="2673"/>
      <c r="D49" s="2681" t="s">
        <v>1699</v>
      </c>
      <c r="E49" s="2668"/>
      <c r="F49" s="1311"/>
      <c r="G49" s="2673"/>
      <c r="H49" s="2673"/>
      <c r="M49" s="1685"/>
      <c r="N49" s="1685"/>
    </row>
    <row r="50" spans="1:41" ht="14.25">
      <c r="A50" s="2673"/>
      <c r="B50" s="2673"/>
      <c r="D50" s="2681" t="s">
        <v>1700</v>
      </c>
      <c r="E50" s="2668"/>
      <c r="F50" s="1311"/>
      <c r="G50" s="2673"/>
      <c r="H50" s="2673"/>
      <c r="M50" s="1685"/>
      <c r="N50" s="1685"/>
    </row>
    <row r="51" spans="1:41" s="947" customFormat="1" ht="15" thickBot="1">
      <c r="A51" s="2673"/>
      <c r="B51" s="2673"/>
      <c r="C51" s="2673"/>
      <c r="D51" s="2685" t="s">
        <v>1701</v>
      </c>
      <c r="E51" s="2686"/>
      <c r="F51" s="1311"/>
      <c r="G51" s="2673"/>
      <c r="H51" s="2673"/>
      <c r="I51" s="2673"/>
      <c r="J51" s="2673"/>
      <c r="K51" s="2673"/>
      <c r="L51" s="2673"/>
      <c r="M51" s="1685"/>
      <c r="N51" s="1685"/>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5"/>
      <c r="J52" s="1685"/>
      <c r="K52" s="1685"/>
      <c r="L52" s="1685"/>
      <c r="M52" s="1685"/>
      <c r="N52" s="1685"/>
    </row>
    <row r="53" spans="1:41" s="2673" customFormat="1" ht="14.25">
      <c r="D53" s="2967"/>
      <c r="E53" s="2967"/>
      <c r="F53" s="2967"/>
      <c r="G53" s="2967"/>
      <c r="H53" s="2967"/>
      <c r="I53" s="1685"/>
      <c r="J53" s="1685"/>
      <c r="K53" s="1685"/>
      <c r="L53" s="1685"/>
      <c r="M53" s="1685"/>
      <c r="N53" s="1685"/>
    </row>
    <row r="54" spans="1:41" s="2673" customFormat="1" ht="14.25">
      <c r="D54" s="2967"/>
      <c r="E54" s="2967"/>
      <c r="F54" s="2967"/>
      <c r="G54" s="2967"/>
      <c r="H54" s="2967"/>
      <c r="I54" s="1685"/>
      <c r="J54" s="1685"/>
      <c r="K54" s="1685"/>
      <c r="L54" s="1685"/>
      <c r="M54" s="1685"/>
      <c r="N54" s="1685"/>
    </row>
    <row r="55" spans="1:41" s="2673" customFormat="1" ht="14.25">
      <c r="D55" s="2967"/>
      <c r="E55" s="2967"/>
      <c r="F55" s="2967"/>
      <c r="G55" s="2967"/>
      <c r="H55" s="2967"/>
      <c r="I55" s="1685"/>
      <c r="J55" s="1685"/>
      <c r="K55" s="1685"/>
      <c r="L55" s="1685"/>
      <c r="M55" s="1685"/>
      <c r="N55" s="1685"/>
    </row>
    <row r="56" spans="1:41" s="2673" customFormat="1" ht="49.5">
      <c r="A56" s="2971" t="s">
        <v>2894</v>
      </c>
      <c r="D56" s="2967"/>
      <c r="E56" s="2967"/>
      <c r="F56" s="2967"/>
      <c r="G56" s="2967"/>
      <c r="H56" s="2967"/>
      <c r="I56" s="1685"/>
      <c r="J56" s="1685"/>
      <c r="K56" s="1685"/>
      <c r="L56" s="1685"/>
      <c r="M56" s="1685"/>
      <c r="N56" s="1685"/>
    </row>
    <row r="57" spans="1:41" s="2673" customFormat="1" ht="14.25">
      <c r="D57" s="2967"/>
      <c r="E57" s="2967"/>
      <c r="F57" s="2967"/>
      <c r="G57" s="2967"/>
      <c r="H57" s="2967"/>
      <c r="I57" s="1685"/>
      <c r="J57" s="1685"/>
      <c r="K57" s="1685"/>
      <c r="L57" s="1685"/>
      <c r="M57" s="1685"/>
      <c r="N57" s="1685"/>
    </row>
    <row r="58" spans="1:41" s="2673" customFormat="1" ht="14.25">
      <c r="D58" s="2967"/>
      <c r="E58" s="2967"/>
      <c r="F58" s="2967"/>
      <c r="G58" s="2967"/>
      <c r="H58" s="2967"/>
      <c r="I58" s="1685"/>
      <c r="J58" s="1685"/>
      <c r="K58" s="1685"/>
      <c r="L58" s="1685"/>
      <c r="M58" s="1685"/>
      <c r="N58" s="1685"/>
    </row>
    <row r="59" spans="1:41" s="2673" customFormat="1" ht="14.25">
      <c r="D59" s="2967"/>
      <c r="E59" s="2967"/>
      <c r="F59" s="2967"/>
      <c r="G59" s="2967"/>
      <c r="H59" s="2967"/>
      <c r="I59" s="1685"/>
      <c r="J59" s="1685"/>
      <c r="K59" s="1685"/>
      <c r="L59" s="1685"/>
      <c r="M59" s="2968"/>
      <c r="N59" s="1685"/>
    </row>
    <row r="60" spans="1:41" s="2673" customFormat="1" ht="14.25">
      <c r="D60" s="2967"/>
      <c r="E60" s="2967"/>
      <c r="F60" s="2967"/>
      <c r="G60" s="2967"/>
      <c r="H60" s="2967"/>
      <c r="I60" s="1685"/>
      <c r="J60" s="1685"/>
      <c r="K60" s="1685"/>
      <c r="L60" s="1685"/>
      <c r="M60" s="1685"/>
      <c r="N60" s="1685"/>
    </row>
    <row r="61" spans="1:41" s="2673" customFormat="1" ht="14.25">
      <c r="D61" s="2967"/>
      <c r="E61" s="2967"/>
      <c r="F61" s="2967"/>
      <c r="G61" s="2967"/>
      <c r="H61" s="2967"/>
      <c r="I61" s="1685"/>
      <c r="J61" s="1685"/>
      <c r="K61" s="1685"/>
      <c r="L61" s="1685"/>
      <c r="M61" s="1685"/>
      <c r="N61" s="1685"/>
    </row>
    <row r="62" spans="1:41" s="2673" customFormat="1" ht="14.25">
      <c r="D62" s="2967"/>
      <c r="E62" s="2967"/>
      <c r="F62" s="2967"/>
      <c r="G62" s="2967"/>
      <c r="H62" s="2967"/>
      <c r="I62" s="1685"/>
      <c r="J62" s="1685"/>
      <c r="K62" s="1685"/>
      <c r="L62" s="1685"/>
      <c r="M62" s="1685"/>
      <c r="N62" s="1685"/>
    </row>
    <row r="63" spans="1:41" s="2673" customFormat="1" ht="14.25">
      <c r="D63" s="2967"/>
      <c r="E63" s="2967"/>
      <c r="F63" s="2967"/>
      <c r="G63" s="2967"/>
      <c r="H63" s="2967"/>
      <c r="I63" s="1685"/>
      <c r="J63" s="1685"/>
      <c r="K63" s="1685"/>
      <c r="L63" s="1685"/>
      <c r="M63" s="1685"/>
      <c r="N63" s="1685"/>
    </row>
    <row r="64" spans="1:41" s="2673" customFormat="1" ht="14.25">
      <c r="D64" s="2967"/>
      <c r="E64" s="2967"/>
      <c r="F64" s="2967"/>
      <c r="G64" s="2967"/>
      <c r="H64" s="2967"/>
      <c r="I64" s="1685"/>
      <c r="J64" s="1685"/>
      <c r="K64" s="1685"/>
      <c r="L64" s="1685"/>
      <c r="M64" s="1685"/>
      <c r="N64" s="1685"/>
    </row>
    <row r="65" spans="1:14" s="2673" customFormat="1" ht="14.25">
      <c r="D65" s="2967"/>
      <c r="E65" s="2967"/>
      <c r="F65" s="2967"/>
      <c r="G65" s="2967"/>
      <c r="H65" s="2967"/>
      <c r="I65" s="1685"/>
      <c r="J65" s="1685"/>
      <c r="K65" s="1685"/>
      <c r="L65" s="1685"/>
      <c r="M65" s="1685"/>
      <c r="N65" s="1685"/>
    </row>
    <row r="66" spans="1:14" s="2673" customFormat="1" ht="14.25">
      <c r="D66" s="2967"/>
      <c r="E66" s="2967"/>
      <c r="F66" s="2967"/>
      <c r="G66" s="2967"/>
      <c r="H66" s="2967"/>
      <c r="I66" s="1685"/>
      <c r="J66" s="1685"/>
      <c r="K66" s="1685"/>
      <c r="L66" s="1685"/>
      <c r="M66" s="1685"/>
      <c r="N66" s="1685"/>
    </row>
    <row r="67" spans="1:14" s="2673" customFormat="1" ht="14.25">
      <c r="A67" s="2971"/>
      <c r="D67" s="2967"/>
      <c r="E67" s="2967"/>
      <c r="F67" s="2967"/>
      <c r="G67" s="2967"/>
      <c r="H67" s="2967"/>
      <c r="I67" s="1685"/>
      <c r="J67" s="1685"/>
      <c r="K67" s="1685"/>
      <c r="L67" s="1685"/>
      <c r="M67" s="1685"/>
      <c r="N67" s="1685"/>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3">
    <mergeCell ref="D2:D4"/>
    <mergeCell ref="H13:I13"/>
    <mergeCell ref="H19:L19"/>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85" zoomScaleNormal="80" zoomScaleSheetLayoutView="85"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75" style="2635" customWidth="1"/>
    <col min="2" max="2" width="24.5" style="2648" customWidth="1"/>
    <col min="3" max="3" width="28.37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5"/>
  </cols>
  <sheetData>
    <row r="1" spans="1:29" s="2694" customFormat="1" ht="19.5" thickBot="1">
      <c r="A1" s="3471" t="s">
        <v>1702</v>
      </c>
      <c r="B1" s="3472"/>
      <c r="C1" s="3472"/>
      <c r="D1" s="3472"/>
      <c r="E1" s="3472"/>
      <c r="F1" s="3472"/>
      <c r="G1" s="3472"/>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2849</v>
      </c>
      <c r="D2" s="3100"/>
      <c r="E2" s="3097"/>
      <c r="F2" s="3101"/>
      <c r="G2" s="3099" t="s">
        <v>2850</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36">
      <c r="A3" s="3103" t="s">
        <v>2851</v>
      </c>
      <c r="B3" s="3104" t="s">
        <v>2852</v>
      </c>
      <c r="C3" s="3175" t="s">
        <v>3206</v>
      </c>
      <c r="D3" s="3105"/>
      <c r="E3" s="3106" t="s">
        <v>2851</v>
      </c>
      <c r="F3" s="3107" t="s">
        <v>2853</v>
      </c>
      <c r="G3" s="3108" t="s">
        <v>2854</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75" hidden="1">
      <c r="A4" s="3106"/>
      <c r="B4" s="3091" t="s">
        <v>2855</v>
      </c>
      <c r="C4" s="3109" t="s">
        <v>3207</v>
      </c>
      <c r="D4" s="3105"/>
      <c r="E4" s="3110"/>
      <c r="F4" s="3093" t="s">
        <v>2856</v>
      </c>
      <c r="G4" s="3111" t="s">
        <v>2857</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24.75" hidden="1">
      <c r="A5" s="3106"/>
      <c r="B5" s="3091" t="s">
        <v>2858</v>
      </c>
      <c r="C5" s="3109" t="s">
        <v>3208</v>
      </c>
      <c r="D5" s="3105"/>
      <c r="E5" s="3110"/>
      <c r="F5" s="3091" t="s">
        <v>2859</v>
      </c>
      <c r="G5" s="3111" t="s">
        <v>2860</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24">
      <c r="A6" s="3106"/>
      <c r="B6" s="3091" t="s">
        <v>2861</v>
      </c>
      <c r="C6" s="3176" t="s">
        <v>3211</v>
      </c>
      <c r="D6" s="3105"/>
      <c r="E6" s="3110"/>
      <c r="F6" s="3091" t="s">
        <v>2862</v>
      </c>
      <c r="G6" s="3111" t="s">
        <v>2863</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132.75" thickBot="1">
      <c r="A7" s="3106"/>
      <c r="B7" s="3091" t="s">
        <v>2859</v>
      </c>
      <c r="C7" s="3176" t="s">
        <v>3212</v>
      </c>
      <c r="D7" s="2980"/>
      <c r="E7" s="3112"/>
      <c r="F7" s="3113" t="s">
        <v>2864</v>
      </c>
      <c r="G7" s="3114" t="s">
        <v>2865</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6"/>
      <c r="B8" s="3091" t="s">
        <v>2862</v>
      </c>
      <c r="C8" s="3176" t="s">
        <v>3209</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36">
      <c r="A9" s="3106"/>
      <c r="B9" s="3091" t="s">
        <v>2866</v>
      </c>
      <c r="C9" s="3177" t="s">
        <v>3213</v>
      </c>
      <c r="D9" s="3105"/>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5"/>
      <c r="B10" s="3095" t="s">
        <v>2867</v>
      </c>
      <c r="C10" s="3256" t="s">
        <v>3210</v>
      </c>
      <c r="D10" s="3105"/>
      <c r="E10" s="3105"/>
      <c r="F10" s="2975"/>
      <c r="G10" s="2975"/>
      <c r="H10" s="1498"/>
      <c r="I10" s="3116"/>
      <c r="J10" s="3117"/>
      <c r="K10" s="1498"/>
      <c r="L10" s="3116"/>
      <c r="M10" s="3117"/>
      <c r="N10" s="1498"/>
      <c r="O10" s="3116"/>
      <c r="P10" s="3117"/>
      <c r="Q10" s="1498"/>
      <c r="R10" s="3116"/>
      <c r="S10" s="3102"/>
      <c r="T10" s="3102"/>
      <c r="U10" s="3102"/>
      <c r="V10" s="3102"/>
      <c r="W10" s="3102"/>
      <c r="X10" s="3102"/>
      <c r="Y10" s="3102"/>
      <c r="Z10" s="3102"/>
      <c r="AA10" s="3102"/>
      <c r="AB10" s="3102"/>
      <c r="AC10" s="3102"/>
    </row>
    <row r="11" spans="1:29" s="2673" customFormat="1" ht="12.75">
      <c r="A11" s="3118"/>
      <c r="B11" s="2980"/>
      <c r="C11" s="3105"/>
      <c r="D11" s="3105"/>
      <c r="E11" s="3105"/>
      <c r="F11" s="2980"/>
      <c r="G11" s="3119"/>
      <c r="H11" s="1498"/>
      <c r="I11" s="3116"/>
      <c r="J11" s="3117"/>
      <c r="K11" s="1498"/>
      <c r="L11" s="3116"/>
      <c r="M11" s="3117"/>
      <c r="N11" s="1498"/>
      <c r="O11" s="3116"/>
      <c r="P11" s="3117"/>
      <c r="Q11" s="1498"/>
      <c r="R11" s="3116"/>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1"/>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1708</v>
      </c>
      <c r="B13" s="2699"/>
      <c r="C13" s="2699"/>
      <c r="D13" s="2695"/>
      <c r="E13" s="2699"/>
      <c r="F13" s="2699"/>
      <c r="G13" s="2699"/>
    </row>
    <row r="14" spans="1:29" s="2632" customFormat="1" ht="13.5" thickBot="1">
      <c r="A14" s="3120"/>
      <c r="B14" s="3120"/>
      <c r="C14" s="3121" t="s">
        <v>2868</v>
      </c>
      <c r="D14" s="3105"/>
      <c r="E14" s="3122"/>
      <c r="F14" s="3122"/>
      <c r="G14" s="3099" t="s">
        <v>2869</v>
      </c>
      <c r="H14" s="3123"/>
      <c r="I14" s="3124"/>
      <c r="J14" s="3123"/>
      <c r="K14" s="3123"/>
      <c r="L14" s="3124"/>
      <c r="M14" s="3123"/>
      <c r="N14" s="3123"/>
      <c r="O14" s="3124"/>
      <c r="P14" s="3123"/>
      <c r="Q14" s="3123"/>
      <c r="R14" s="3125"/>
      <c r="S14" s="3102"/>
      <c r="T14" s="3102"/>
      <c r="U14" s="3102"/>
      <c r="V14" s="3102"/>
      <c r="W14" s="3102"/>
      <c r="X14" s="3102"/>
      <c r="Y14" s="3102"/>
      <c r="Z14" s="3102"/>
      <c r="AA14" s="3102"/>
      <c r="AB14" s="3102"/>
      <c r="AC14" s="3102"/>
    </row>
    <row r="15" spans="1:29" s="2632" customFormat="1" ht="38.25">
      <c r="A15" s="3126" t="s">
        <v>2870</v>
      </c>
      <c r="B15" s="3127" t="s">
        <v>2852</v>
      </c>
      <c r="C15" s="3128" t="str">
        <f>C3</f>
        <v>周边有东关二条、东关南里、燕平家园等住宅小区，综合评价居住社区成熟度好</v>
      </c>
      <c r="D15" s="3105"/>
      <c r="E15" s="3129" t="s">
        <v>2871</v>
      </c>
      <c r="F15" s="3127" t="s">
        <v>2872</v>
      </c>
      <c r="G15" s="3130" t="str">
        <f>G3</f>
        <v>估价对象位于XX开发区，园区建设成熟度XX，产业集聚程度XX</v>
      </c>
      <c r="H15" s="3123"/>
      <c r="I15" s="3124"/>
      <c r="J15" s="3123"/>
      <c r="K15" s="3123"/>
      <c r="L15" s="3124"/>
      <c r="M15" s="3123"/>
      <c r="N15" s="3123"/>
      <c r="O15" s="3124"/>
      <c r="P15" s="3123"/>
      <c r="Q15" s="3123"/>
      <c r="R15" s="3125"/>
      <c r="S15" s="3102"/>
      <c r="T15" s="3102"/>
      <c r="U15" s="3102"/>
      <c r="V15" s="3102"/>
      <c r="W15" s="3102"/>
      <c r="X15" s="3102"/>
      <c r="Y15" s="3102"/>
      <c r="Z15" s="3102"/>
      <c r="AA15" s="3102"/>
      <c r="AB15" s="3102"/>
      <c r="AC15" s="3102"/>
    </row>
    <row r="16" spans="1:29" s="2632" customFormat="1" ht="25.5">
      <c r="A16" s="3131"/>
      <c r="B16" s="2572" t="s">
        <v>2855</v>
      </c>
      <c r="C16" s="3132" t="str">
        <f>C4</f>
        <v>估价对象位于XX商圈，周边商业氛围成熟，人流量大，商业繁华度好</v>
      </c>
      <c r="D16" s="3105"/>
      <c r="E16" s="3133"/>
      <c r="F16" s="3092" t="s">
        <v>2856</v>
      </c>
      <c r="G16" s="3134" t="str">
        <f>G4</f>
        <v>估价对象周边道路状况、公共交通通达情况、停车便捷程度，综合评价交通便捷度较好</v>
      </c>
      <c r="H16" s="3123"/>
      <c r="I16" s="3124"/>
      <c r="J16" s="3123"/>
      <c r="K16" s="3123"/>
      <c r="L16" s="3124"/>
      <c r="M16" s="3123"/>
      <c r="N16" s="3123"/>
      <c r="O16" s="3124"/>
      <c r="P16" s="3123"/>
      <c r="Q16" s="3123"/>
      <c r="R16" s="3125"/>
      <c r="S16" s="3102"/>
      <c r="T16" s="3102"/>
      <c r="U16" s="3102"/>
      <c r="V16" s="3102"/>
      <c r="W16" s="3102"/>
      <c r="X16" s="3102"/>
      <c r="Y16" s="3102"/>
      <c r="Z16" s="3102"/>
      <c r="AA16" s="3102"/>
      <c r="AB16" s="3102"/>
      <c r="AC16" s="3102"/>
    </row>
    <row r="17" spans="1:29" s="2632" customFormat="1" ht="25.5">
      <c r="A17" s="3131"/>
      <c r="B17" s="2572" t="s">
        <v>2858</v>
      </c>
      <c r="C17" s="3132" t="str">
        <f>C5</f>
        <v>估价对象位于XX商圈，周边办公楼项目较多，入驻率高，办公集聚程度较好</v>
      </c>
      <c r="D17" s="2980"/>
      <c r="E17" s="3133"/>
      <c r="F17" s="3092" t="s">
        <v>2873</v>
      </c>
      <c r="G17" s="3135"/>
      <c r="H17" s="3123"/>
      <c r="I17" s="3124"/>
      <c r="J17" s="3123"/>
      <c r="K17" s="3123"/>
      <c r="L17" s="3124"/>
      <c r="M17" s="3123"/>
      <c r="N17" s="3123"/>
      <c r="O17" s="3124"/>
      <c r="P17" s="3123"/>
      <c r="Q17" s="3123"/>
      <c r="R17" s="3125"/>
      <c r="S17" s="3102"/>
      <c r="T17" s="3102"/>
      <c r="U17" s="3102"/>
      <c r="V17" s="3102"/>
      <c r="W17" s="3102"/>
      <c r="X17" s="3102"/>
      <c r="Y17" s="3102"/>
      <c r="Z17" s="3102"/>
      <c r="AA17" s="3102"/>
      <c r="AB17" s="3102"/>
      <c r="AC17" s="3102"/>
    </row>
    <row r="18" spans="1:29" s="2632" customFormat="1" ht="25.5">
      <c r="A18" s="3131"/>
      <c r="B18" s="3092" t="s">
        <v>2861</v>
      </c>
      <c r="C18" s="3134" t="str">
        <f>C6</f>
        <v>估价对象周边有多条公交线路，综合评价交通便捷度较好。</v>
      </c>
      <c r="D18" s="2980"/>
      <c r="E18" s="3133"/>
      <c r="F18" s="3092" t="s">
        <v>2864</v>
      </c>
      <c r="G18" s="3134" t="str">
        <f>G7</f>
        <v>该园区内是否有污染型企业，绿化情况，卫生条件，整体环境状况判断</v>
      </c>
      <c r="H18" s="3123"/>
      <c r="I18" s="3124"/>
      <c r="J18" s="3123"/>
      <c r="K18" s="3123"/>
      <c r="L18" s="3124"/>
      <c r="M18" s="3123"/>
      <c r="N18" s="3123"/>
      <c r="O18" s="3124"/>
      <c r="P18" s="3123"/>
      <c r="Q18" s="3123"/>
      <c r="R18" s="3125"/>
      <c r="S18" s="3102"/>
      <c r="T18" s="3102"/>
      <c r="U18" s="3102"/>
      <c r="V18" s="3102"/>
      <c r="W18" s="3102"/>
      <c r="X18" s="3102"/>
      <c r="Y18" s="3102"/>
      <c r="Z18" s="3102"/>
      <c r="AA18" s="3102"/>
      <c r="AB18" s="3102"/>
      <c r="AC18" s="3102"/>
    </row>
    <row r="19" spans="1:29" s="2632" customFormat="1" ht="12.75">
      <c r="A19" s="3131"/>
      <c r="B19" s="3092" t="s">
        <v>2874</v>
      </c>
      <c r="C19" s="3135"/>
      <c r="D19" s="3105"/>
      <c r="E19" s="3133"/>
      <c r="F19" s="3091" t="s">
        <v>2859</v>
      </c>
      <c r="G19" s="3134" t="str">
        <f>G5</f>
        <v>估价对象所在区域公共配套设施齐备情况</v>
      </c>
      <c r="H19" s="3123"/>
      <c r="I19" s="3124"/>
      <c r="J19" s="3123"/>
      <c r="K19" s="3123"/>
      <c r="L19" s="3124"/>
      <c r="M19" s="3123"/>
      <c r="N19" s="3123"/>
      <c r="O19" s="3124"/>
      <c r="P19" s="3123"/>
      <c r="Q19" s="3123"/>
      <c r="R19" s="3125"/>
      <c r="S19" s="3102"/>
      <c r="T19" s="3102"/>
      <c r="U19" s="3102"/>
      <c r="V19" s="3102"/>
      <c r="W19" s="3102"/>
      <c r="X19" s="3102"/>
      <c r="Y19" s="3102"/>
      <c r="Z19" s="3102"/>
      <c r="AA19" s="3102"/>
      <c r="AB19" s="3102"/>
      <c r="AC19" s="3102"/>
    </row>
    <row r="20" spans="1:29" s="2632" customFormat="1" ht="38.25">
      <c r="A20" s="3131"/>
      <c r="B20" s="3092" t="s">
        <v>2875</v>
      </c>
      <c r="C20" s="3132" t="str">
        <f>C9</f>
        <v xml:space="preserve">自然环境：昌平公园等；
综上，环境状况一般。
</v>
      </c>
      <c r="D20" s="2980"/>
      <c r="E20" s="3133"/>
      <c r="F20" s="3091" t="s">
        <v>2862</v>
      </c>
      <c r="G20" s="3134" t="str">
        <f>G6</f>
        <v>估价对象所在区域基础设施水平</v>
      </c>
      <c r="H20" s="3123"/>
      <c r="I20" s="3124"/>
      <c r="J20" s="3123"/>
      <c r="K20" s="3123"/>
      <c r="L20" s="3124"/>
      <c r="M20" s="3123"/>
      <c r="N20" s="3123"/>
      <c r="O20" s="3124"/>
      <c r="P20" s="3123"/>
      <c r="Q20" s="3123"/>
      <c r="R20" s="3125"/>
      <c r="S20" s="3102"/>
      <c r="T20" s="3102"/>
      <c r="U20" s="3102"/>
      <c r="V20" s="3102"/>
      <c r="W20" s="3102"/>
      <c r="X20" s="3102"/>
      <c r="Y20" s="3102"/>
      <c r="Z20" s="3102"/>
      <c r="AA20" s="3102"/>
      <c r="AB20" s="3102"/>
      <c r="AC20" s="3102"/>
    </row>
    <row r="21" spans="1:29" s="2632" customFormat="1" ht="140.25">
      <c r="A21" s="3131"/>
      <c r="B21" s="3091" t="s">
        <v>2859</v>
      </c>
      <c r="C21" s="3134" t="str">
        <f>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1" s="3105"/>
      <c r="E21" s="3133"/>
      <c r="F21" s="3092" t="s">
        <v>2876</v>
      </c>
      <c r="G21" s="3136"/>
      <c r="H21" s="3123"/>
      <c r="I21" s="3124"/>
      <c r="J21" s="3123"/>
      <c r="K21" s="3123"/>
      <c r="L21" s="3124"/>
      <c r="M21" s="3123"/>
      <c r="N21" s="3123"/>
      <c r="O21" s="3124"/>
      <c r="P21" s="3123"/>
      <c r="Q21" s="3123"/>
      <c r="R21" s="3125"/>
      <c r="S21" s="3102"/>
      <c r="T21" s="3102"/>
      <c r="U21" s="3102"/>
      <c r="V21" s="3102"/>
      <c r="W21" s="3102"/>
      <c r="X21" s="3102"/>
      <c r="Y21" s="3102"/>
      <c r="Z21" s="3102"/>
      <c r="AA21" s="3102"/>
      <c r="AB21" s="3102"/>
      <c r="AC21" s="3102"/>
    </row>
    <row r="22" spans="1:29" s="2632" customFormat="1" ht="12.75">
      <c r="A22" s="3131"/>
      <c r="B22" s="3091" t="s">
        <v>2862</v>
      </c>
      <c r="C22" s="3134" t="str">
        <f>C8</f>
        <v>估价对象所在区域基础设施水平-七通</v>
      </c>
      <c r="D22" s="3105"/>
      <c r="E22" s="3133"/>
      <c r="F22" s="3092" t="s">
        <v>2867</v>
      </c>
      <c r="G22" s="3137"/>
      <c r="H22" s="3123"/>
      <c r="I22" s="3124"/>
      <c r="J22" s="3123"/>
      <c r="K22" s="3123"/>
      <c r="L22" s="3124"/>
      <c r="M22" s="3123"/>
      <c r="N22" s="3123"/>
      <c r="O22" s="3124"/>
      <c r="P22" s="3123"/>
      <c r="Q22" s="3123"/>
      <c r="R22" s="3125"/>
      <c r="S22" s="3102"/>
      <c r="T22" s="3102"/>
      <c r="U22" s="3102"/>
      <c r="V22" s="3102"/>
      <c r="W22" s="3102"/>
      <c r="X22" s="3102"/>
      <c r="Y22" s="3102"/>
      <c r="Z22" s="3102"/>
      <c r="AA22" s="3102"/>
      <c r="AB22" s="3102"/>
      <c r="AC22" s="3102"/>
    </row>
    <row r="23" spans="1:29" s="3102" customFormat="1" ht="13.5" thickBot="1">
      <c r="A23" s="3131"/>
      <c r="B23" s="3092" t="s">
        <v>2876</v>
      </c>
      <c r="C23" s="3136"/>
      <c r="D23" s="3123"/>
      <c r="E23" s="3138"/>
      <c r="F23" s="3094" t="s">
        <v>2877</v>
      </c>
      <c r="G23" s="3139"/>
      <c r="H23" s="3123"/>
      <c r="I23" s="3124"/>
      <c r="J23" s="3123"/>
      <c r="K23" s="3123"/>
      <c r="L23" s="3124"/>
      <c r="M23" s="3123"/>
      <c r="N23" s="3123"/>
      <c r="O23" s="3124"/>
      <c r="P23" s="3123"/>
      <c r="Q23" s="3123"/>
      <c r="R23" s="3125"/>
    </row>
    <row r="24" spans="1:29" s="3102" customFormat="1" ht="13.5" thickBot="1">
      <c r="A24" s="3140"/>
      <c r="B24" s="3094" t="s">
        <v>2878</v>
      </c>
      <c r="C24" s="3141" t="str">
        <f>C10</f>
        <v>城市支路——东关二条</v>
      </c>
      <c r="D24" s="3123"/>
      <c r="E24" s="3142"/>
      <c r="F24" s="3142"/>
      <c r="G24" s="3143"/>
      <c r="H24" s="3123"/>
      <c r="I24" s="3124"/>
      <c r="J24" s="3123"/>
      <c r="K24" s="3123"/>
      <c r="L24" s="3124"/>
      <c r="M24" s="3123"/>
      <c r="N24" s="3123"/>
      <c r="O24" s="3124"/>
      <c r="P24" s="3123"/>
      <c r="Q24" s="3123"/>
      <c r="R24" s="3125"/>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tabSelected="1" view="pageBreakPreview" zoomScale="80" zoomScaleNormal="100" zoomScaleSheetLayoutView="80" workbookViewId="0">
      <selection activeCell="C15" sqref="C15"/>
    </sheetView>
  </sheetViews>
  <sheetFormatPr defaultColWidth="14.625" defaultRowHeight="13.5"/>
  <cols>
    <col min="1" max="1" width="24.375" style="2581" customWidth="1"/>
    <col min="2" max="16384" width="14.625" style="2581"/>
  </cols>
  <sheetData>
    <row r="1" spans="1:9" ht="16.5">
      <c r="A1" s="2579" t="s">
        <v>1212</v>
      </c>
      <c r="B1" s="2579">
        <f>SUM(B14:B23)</f>
        <v>64.19</v>
      </c>
      <c r="C1" s="1634"/>
      <c r="D1" s="1634"/>
      <c r="E1" s="1634"/>
      <c r="F1" s="1634"/>
      <c r="G1" s="2580"/>
    </row>
    <row r="2" spans="1:9" ht="16.5">
      <c r="A2" s="2579" t="s">
        <v>1213</v>
      </c>
      <c r="B2" s="2579">
        <f>SUM(C14:C23)</f>
        <v>0</v>
      </c>
      <c r="C2" s="1634"/>
      <c r="D2" s="1634"/>
      <c r="E2" s="1634"/>
      <c r="F2" s="1634"/>
      <c r="G2" s="2580"/>
    </row>
    <row r="3" spans="1:9" ht="16.5">
      <c r="A3" s="2579" t="s">
        <v>1214</v>
      </c>
      <c r="B3" s="2582">
        <f>项目基本情况!D2</f>
        <v>39004</v>
      </c>
      <c r="C3" s="1634"/>
      <c r="D3" s="1634"/>
      <c r="E3" s="1634"/>
      <c r="F3" s="1634"/>
      <c r="G3" s="2580"/>
    </row>
    <row r="4" spans="1:9" ht="33">
      <c r="A4" s="2579" t="s">
        <v>1215</v>
      </c>
      <c r="B4" s="2579" t="s">
        <v>1216</v>
      </c>
      <c r="C4" s="2579" t="s">
        <v>1217</v>
      </c>
      <c r="D4" s="2579" t="s">
        <v>1218</v>
      </c>
      <c r="E4" s="1634"/>
      <c r="F4" s="2580"/>
      <c r="G4" s="2580"/>
    </row>
    <row r="5" spans="1:9" ht="16.5">
      <c r="A5" s="2579" t="s">
        <v>1219</v>
      </c>
      <c r="B5" s="2579">
        <f ca="1">SUM(D14:D23)</f>
        <v>51.583100000000002</v>
      </c>
      <c r="C5" s="2579">
        <f ca="1">ROUND(B5*10000/$B$1,0)</f>
        <v>8036</v>
      </c>
      <c r="D5" s="2579" t="e">
        <f ca="1">ROUND(B5*10000/$B$2,0)</f>
        <v>#DIV/0!</v>
      </c>
      <c r="E5" s="1634"/>
      <c r="F5" s="2580"/>
      <c r="G5" s="2580"/>
    </row>
    <row r="6" spans="1:9" ht="16.5">
      <c r="A6" s="2579" t="s">
        <v>1220</v>
      </c>
      <c r="B6" s="2579">
        <f ca="1">SUM(G14:G23)</f>
        <v>51.583100000000002</v>
      </c>
      <c r="C6" s="2579">
        <f t="shared" ref="C6:C8" ca="1" si="0">ROUND(B6*10000/$B$1,0)</f>
        <v>8036</v>
      </c>
      <c r="D6" s="2579" t="e">
        <f t="shared" ref="D6:D8" ca="1" si="1">ROUND(B6*10000/$B$2,0)</f>
        <v>#DIV/0!</v>
      </c>
      <c r="E6" s="1634"/>
      <c r="F6" s="2580"/>
      <c r="G6" s="2580"/>
    </row>
    <row r="7" spans="1:9" ht="16.5">
      <c r="A7" s="2579" t="s">
        <v>1221</v>
      </c>
      <c r="B7" s="2579" t="e">
        <f>SUM(H14:H23)</f>
        <v>#VALUE!</v>
      </c>
      <c r="C7" s="2579" t="e">
        <f>ROUND(B7*10000/$B$1,0)</f>
        <v>#VALUE!</v>
      </c>
      <c r="D7" s="2579" t="e">
        <f t="shared" si="1"/>
        <v>#VALUE!</v>
      </c>
      <c r="E7" s="1634"/>
      <c r="F7" s="2580"/>
      <c r="G7" s="2580"/>
    </row>
    <row r="8" spans="1:9" ht="16.5">
      <c r="A8" s="2579" t="s">
        <v>1222</v>
      </c>
      <c r="B8" s="2579" t="e">
        <f>SUM(I14:I23)</f>
        <v>#VALUE!</v>
      </c>
      <c r="C8" s="2579" t="e">
        <f t="shared" si="0"/>
        <v>#VALUE!</v>
      </c>
      <c r="D8" s="2579" t="e">
        <f t="shared" si="1"/>
        <v>#VALUE!</v>
      </c>
      <c r="E8" s="1634"/>
      <c r="F8" s="2580"/>
      <c r="G8" s="2580"/>
    </row>
    <row r="9" spans="1:9" ht="16.5">
      <c r="A9" s="2579" t="s">
        <v>1223</v>
      </c>
      <c r="B9" s="2583"/>
      <c r="C9" s="1634"/>
      <c r="D9" s="1634"/>
      <c r="E9" s="1634"/>
      <c r="F9" s="2580"/>
      <c r="G9" s="2580"/>
    </row>
    <row r="10" spans="1:9" ht="16.5">
      <c r="A10" s="2579" t="s">
        <v>1224</v>
      </c>
      <c r="B10" s="2583"/>
      <c r="C10" s="1634"/>
      <c r="D10" s="1634"/>
      <c r="E10" s="1634"/>
      <c r="F10" s="2580"/>
      <c r="G10" s="2580"/>
    </row>
    <row r="11" spans="1:9" ht="16.5">
      <c r="A11" s="2579" t="s">
        <v>1239</v>
      </c>
      <c r="B11" s="2583"/>
      <c r="C11" s="1634"/>
      <c r="D11" s="1634"/>
      <c r="E11" s="1634"/>
      <c r="F11" s="2580"/>
      <c r="G11" s="2580"/>
    </row>
    <row r="12" spans="1:9" ht="16.5">
      <c r="A12" s="1634"/>
      <c r="B12" s="1634"/>
      <c r="C12" s="1634"/>
      <c r="D12" s="1634"/>
      <c r="E12" s="1634"/>
      <c r="F12" s="2580"/>
      <c r="G12" s="2580"/>
    </row>
    <row r="13" spans="1:9" ht="33">
      <c r="A13" s="2584" t="s">
        <v>1238</v>
      </c>
      <c r="B13" s="2585" t="s">
        <v>1212</v>
      </c>
      <c r="C13" s="2585" t="s">
        <v>1213</v>
      </c>
      <c r="D13" s="2585" t="s">
        <v>1225</v>
      </c>
      <c r="E13" s="2579" t="s">
        <v>1217</v>
      </c>
      <c r="F13" s="2579" t="s">
        <v>1218</v>
      </c>
      <c r="G13" s="2585" t="s">
        <v>1226</v>
      </c>
      <c r="H13" s="2585" t="s">
        <v>1227</v>
      </c>
      <c r="I13" s="2585" t="s">
        <v>1228</v>
      </c>
    </row>
    <row r="14" spans="1:9" ht="16.5">
      <c r="A14" s="2885" t="s">
        <v>2945</v>
      </c>
      <c r="B14" s="2915">
        <f>项目基本情况!C12</f>
        <v>64.19</v>
      </c>
      <c r="C14" s="2915">
        <f>项目基本情况!C13</f>
        <v>0</v>
      </c>
      <c r="D14" s="2915">
        <f ca="1">IF('数据-取费表'!B3="万元",IF(A14="估价对象1（结果表）",结果表!H121,'结果表 (1修多)'!H125),IF(A14="估价对象1（结果表）",结果表!H121,'结果表 (1修多)'!H125)/10000)</f>
        <v>51.583100000000002</v>
      </c>
      <c r="E14" s="2915">
        <f ca="1">ROUND(D14*10000/B14,0)</f>
        <v>8036</v>
      </c>
      <c r="F14" s="2915" t="e">
        <f ca="1">ROUND(D14*10000/C14,0)</f>
        <v>#DIV/0!</v>
      </c>
      <c r="G14" s="2915">
        <f ca="1">IF('数据-取费表'!B3="万元",IF(A14="估价对象1（结果表）",结果表!D125,'结果表 (1修多)'!D129),IF(A14="估价对象1（结果表）",结果表!D125,'结果表 (1修多)'!D129)/10000)</f>
        <v>51.583100000000002</v>
      </c>
      <c r="H14" s="2915" t="e">
        <f>IF('数据-取费表'!B3="万元",IF(A14="估价对象1（结果表）",结果表!D127,'结果表 (1修多)'!D131),IF(A14="估价对象1（结果表）",结果表!D127,'结果表 (1修多)'!D131)/10000)</f>
        <v>#VALUE!</v>
      </c>
      <c r="I14" s="2915" t="e">
        <f>IF('数据-取费表'!B3="万元",IF(A14="估价对象1（结果表）",结果表!D129,'结果表 (1修多)'!D133),IF(A14="估价对象1（结果表）",结果表!D129,'结果表 (1修多)'!D133)/10000)</f>
        <v>#VALUE!</v>
      </c>
    </row>
    <row r="15" spans="1:9" ht="16.5">
      <c r="A15" s="2586" t="s">
        <v>1229</v>
      </c>
      <c r="B15" s="2587"/>
      <c r="C15" s="2587"/>
      <c r="D15" s="2587"/>
      <c r="E15" s="2915" t="e">
        <f t="shared" ref="E15:E23" si="2">ROUND(D15*10000/B15,0)</f>
        <v>#DIV/0!</v>
      </c>
      <c r="F15" s="2915" t="e">
        <f t="shared" ref="F15:F23" si="3">ROUND(D15*10000/C15,0)</f>
        <v>#DIV/0!</v>
      </c>
      <c r="G15" s="1305"/>
      <c r="H15" s="1305"/>
      <c r="I15" s="2587"/>
    </row>
    <row r="16" spans="1:9" ht="16.5">
      <c r="A16" s="2586" t="s">
        <v>1230</v>
      </c>
      <c r="B16" s="2587"/>
      <c r="C16" s="2587"/>
      <c r="D16" s="2587"/>
      <c r="E16" s="2915" t="e">
        <f t="shared" si="2"/>
        <v>#DIV/0!</v>
      </c>
      <c r="F16" s="2915" t="e">
        <f t="shared" si="3"/>
        <v>#DIV/0!</v>
      </c>
      <c r="G16" s="1305"/>
      <c r="H16" s="1305"/>
      <c r="I16" s="2587"/>
    </row>
    <row r="17" spans="1:9" ht="16.5">
      <c r="A17" s="2586" t="s">
        <v>1231</v>
      </c>
      <c r="B17" s="2587"/>
      <c r="C17" s="2587"/>
      <c r="D17" s="2587"/>
      <c r="E17" s="2915" t="e">
        <f t="shared" si="2"/>
        <v>#DIV/0!</v>
      </c>
      <c r="F17" s="2915" t="e">
        <f t="shared" si="3"/>
        <v>#DIV/0!</v>
      </c>
      <c r="G17" s="1305"/>
      <c r="H17" s="1305"/>
      <c r="I17" s="2587"/>
    </row>
    <row r="18" spans="1:9" ht="16.5">
      <c r="A18" s="2586" t="s">
        <v>1232</v>
      </c>
      <c r="B18" s="2587"/>
      <c r="C18" s="2587"/>
      <c r="D18" s="2587"/>
      <c r="E18" s="2915" t="e">
        <f t="shared" si="2"/>
        <v>#DIV/0!</v>
      </c>
      <c r="F18" s="2915" t="e">
        <f t="shared" si="3"/>
        <v>#DIV/0!</v>
      </c>
      <c r="G18" s="2587"/>
      <c r="H18" s="2587"/>
      <c r="I18" s="2587"/>
    </row>
    <row r="19" spans="1:9" ht="16.5">
      <c r="A19" s="2586" t="s">
        <v>1233</v>
      </c>
      <c r="B19" s="2587"/>
      <c r="C19" s="2587"/>
      <c r="D19" s="2587"/>
      <c r="E19" s="2915" t="e">
        <f t="shared" si="2"/>
        <v>#DIV/0!</v>
      </c>
      <c r="F19" s="2915" t="e">
        <f t="shared" si="3"/>
        <v>#DIV/0!</v>
      </c>
      <c r="G19" s="2587"/>
      <c r="H19" s="2587"/>
      <c r="I19" s="2587"/>
    </row>
    <row r="20" spans="1:9" ht="16.5">
      <c r="A20" s="2586" t="s">
        <v>1234</v>
      </c>
      <c r="B20" s="2587"/>
      <c r="C20" s="2587"/>
      <c r="D20" s="2587"/>
      <c r="E20" s="2915" t="e">
        <f t="shared" si="2"/>
        <v>#DIV/0!</v>
      </c>
      <c r="F20" s="2915" t="e">
        <f t="shared" si="3"/>
        <v>#DIV/0!</v>
      </c>
      <c r="G20" s="2587"/>
      <c r="H20" s="2587"/>
      <c r="I20" s="2587"/>
    </row>
    <row r="21" spans="1:9" ht="16.5">
      <c r="A21" s="2586" t="s">
        <v>1235</v>
      </c>
      <c r="B21" s="2587"/>
      <c r="C21" s="2587"/>
      <c r="D21" s="2587"/>
      <c r="E21" s="2915" t="e">
        <f t="shared" si="2"/>
        <v>#DIV/0!</v>
      </c>
      <c r="F21" s="2915" t="e">
        <f t="shared" si="3"/>
        <v>#DIV/0!</v>
      </c>
      <c r="G21" s="2587"/>
      <c r="H21" s="2587"/>
      <c r="I21" s="2587"/>
    </row>
    <row r="22" spans="1:9" ht="16.5">
      <c r="A22" s="2586" t="s">
        <v>1236</v>
      </c>
      <c r="B22" s="2587"/>
      <c r="C22" s="2587"/>
      <c r="D22" s="2587"/>
      <c r="E22" s="2915" t="e">
        <f t="shared" si="2"/>
        <v>#DIV/0!</v>
      </c>
      <c r="F22" s="2915" t="e">
        <f t="shared" si="3"/>
        <v>#DIV/0!</v>
      </c>
      <c r="G22" s="2587"/>
      <c r="H22" s="2587"/>
      <c r="I22" s="2587"/>
    </row>
    <row r="23" spans="1:9" ht="16.5">
      <c r="A23" s="2586" t="s">
        <v>1237</v>
      </c>
      <c r="B23" s="2587"/>
      <c r="C23" s="2587"/>
      <c r="D23" s="2587"/>
      <c r="E23" s="2916" t="e">
        <f t="shared" si="2"/>
        <v>#DIV/0!</v>
      </c>
      <c r="F23" s="2916"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6" zoomScaleNormal="100" zoomScaleSheetLayoutView="100" zoomScalePageLayoutView="80" workbookViewId="0">
      <selection activeCell="I24" sqref="I24"/>
    </sheetView>
  </sheetViews>
  <sheetFormatPr defaultColWidth="12.625" defaultRowHeight="21.75" customHeight="1"/>
  <cols>
    <col min="1" max="2" width="12.625" style="1462"/>
    <col min="3" max="4" width="12.625" style="1462" customWidth="1"/>
    <col min="5" max="9" width="12.625" style="1462"/>
    <col min="10" max="10" width="3.6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544" t="str">
        <f>项目基本情况!B1</f>
        <v>北京市房地产市场价值预评估</v>
      </c>
      <c r="B2" s="3544"/>
      <c r="C2" s="3544"/>
      <c r="D2" s="3544"/>
      <c r="E2" s="3544"/>
      <c r="F2" s="3544"/>
      <c r="G2" s="3544"/>
      <c r="H2" s="3544"/>
      <c r="I2" s="3544"/>
      <c r="J2" s="2842"/>
    </row>
    <row r="3" spans="1:15" ht="12.75">
      <c r="A3" s="3549" t="s">
        <v>1710</v>
      </c>
      <c r="B3" s="3550"/>
      <c r="C3" s="3550"/>
      <c r="D3" s="3550"/>
      <c r="E3" s="3550"/>
      <c r="F3" s="3550"/>
      <c r="G3" s="3550"/>
      <c r="H3" s="3550"/>
      <c r="I3" s="3550"/>
      <c r="J3" s="2843"/>
    </row>
    <row r="4" spans="1:15" ht="14.25">
      <c r="A4" s="2711" t="s">
        <v>1711</v>
      </c>
      <c r="B4" s="2711" t="s">
        <v>1712</v>
      </c>
      <c r="C4" s="2712" t="s">
        <v>2943</v>
      </c>
      <c r="D4" s="2712" t="s">
        <v>2944</v>
      </c>
      <c r="E4" s="3546" t="s">
        <v>1713</v>
      </c>
      <c r="F4" s="3534"/>
      <c r="G4" s="3534"/>
      <c r="H4" s="3534"/>
      <c r="I4" s="3535"/>
      <c r="J4" s="2844"/>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545" t="s">
        <v>1714</v>
      </c>
      <c r="B5" s="3545">
        <v>25</v>
      </c>
      <c r="C5" s="3551">
        <v>4</v>
      </c>
      <c r="D5" s="3548">
        <v>6</v>
      </c>
      <c r="E5" s="12" t="s">
        <v>1715</v>
      </c>
      <c r="F5" s="2087"/>
      <c r="G5" s="2087"/>
      <c r="H5" s="2087"/>
      <c r="I5" s="2082"/>
      <c r="J5" s="2844"/>
    </row>
    <row r="6" spans="1:15" ht="12.75">
      <c r="A6" s="3545"/>
      <c r="B6" s="3545"/>
      <c r="C6" s="3552"/>
      <c r="D6" s="3548"/>
      <c r="E6" s="12" t="s">
        <v>1716</v>
      </c>
      <c r="F6" s="2087"/>
      <c r="G6" s="2087"/>
      <c r="H6" s="2087"/>
      <c r="I6" s="2082"/>
      <c r="J6" s="2844"/>
    </row>
    <row r="7" spans="1:15" ht="12.75">
      <c r="A7" s="3545"/>
      <c r="B7" s="3545"/>
      <c r="C7" s="3553"/>
      <c r="D7" s="3548"/>
      <c r="E7" s="12" t="s">
        <v>1717</v>
      </c>
      <c r="F7" s="2087"/>
      <c r="G7" s="2087"/>
      <c r="H7" s="2087"/>
      <c r="I7" s="2082"/>
      <c r="J7" s="2844"/>
    </row>
    <row r="8" spans="1:15" ht="12.75">
      <c r="A8" s="3545" t="s">
        <v>1718</v>
      </c>
      <c r="B8" s="3545">
        <v>15</v>
      </c>
      <c r="C8" s="3551"/>
      <c r="D8" s="3548"/>
      <c r="E8" s="12" t="s">
        <v>1719</v>
      </c>
      <c r="F8" s="2087"/>
      <c r="G8" s="2087"/>
      <c r="H8" s="2087"/>
      <c r="I8" s="2082"/>
      <c r="J8" s="2844"/>
    </row>
    <row r="9" spans="1:15" ht="12.75">
      <c r="A9" s="3545"/>
      <c r="B9" s="3545"/>
      <c r="C9" s="3553"/>
      <c r="D9" s="3548"/>
      <c r="E9" s="12" t="s">
        <v>1720</v>
      </c>
      <c r="F9" s="2087"/>
      <c r="G9" s="2087"/>
      <c r="H9" s="2087"/>
      <c r="I9" s="2082"/>
      <c r="J9" s="2844"/>
    </row>
    <row r="10" spans="1:15" ht="12.75">
      <c r="A10" s="3545" t="s">
        <v>1721</v>
      </c>
      <c r="B10" s="3545">
        <v>15</v>
      </c>
      <c r="C10" s="3551"/>
      <c r="D10" s="3548"/>
      <c r="E10" s="12" t="s">
        <v>1722</v>
      </c>
      <c r="F10" s="2087"/>
      <c r="G10" s="2087"/>
      <c r="H10" s="2087"/>
      <c r="I10" s="2082"/>
      <c r="J10" s="2844"/>
    </row>
    <row r="11" spans="1:15" ht="12.75">
      <c r="A11" s="3545"/>
      <c r="B11" s="3545"/>
      <c r="C11" s="3553"/>
      <c r="D11" s="3548"/>
      <c r="E11" s="12" t="s">
        <v>1723</v>
      </c>
      <c r="F11" s="2087"/>
      <c r="G11" s="2087"/>
      <c r="H11" s="2087"/>
      <c r="I11" s="2082"/>
      <c r="J11" s="2844"/>
    </row>
    <row r="12" spans="1:15" ht="12.75">
      <c r="A12" s="3545" t="s">
        <v>1724</v>
      </c>
      <c r="B12" s="3545">
        <v>15</v>
      </c>
      <c r="C12" s="3551"/>
      <c r="D12" s="3548"/>
      <c r="E12" s="12" t="s">
        <v>1725</v>
      </c>
      <c r="F12" s="2087"/>
      <c r="G12" s="2087"/>
      <c r="H12" s="2087"/>
      <c r="I12" s="2082"/>
      <c r="J12" s="2844"/>
    </row>
    <row r="13" spans="1:15" ht="12.75">
      <c r="A13" s="3545"/>
      <c r="B13" s="3545"/>
      <c r="C13" s="3553"/>
      <c r="D13" s="3548"/>
      <c r="E13" s="12" t="s">
        <v>1726</v>
      </c>
      <c r="F13" s="2087"/>
      <c r="G13" s="2087"/>
      <c r="H13" s="2087"/>
      <c r="I13" s="2082"/>
      <c r="J13" s="2844"/>
    </row>
    <row r="14" spans="1:15" ht="12.75">
      <c r="A14" s="3545" t="s">
        <v>1727</v>
      </c>
      <c r="B14" s="3545">
        <v>30</v>
      </c>
      <c r="C14" s="3551"/>
      <c r="D14" s="3548"/>
      <c r="E14" s="12" t="s">
        <v>1728</v>
      </c>
      <c r="F14" s="2087"/>
      <c r="G14" s="2087"/>
      <c r="H14" s="2087"/>
      <c r="I14" s="2082"/>
      <c r="J14" s="2844"/>
    </row>
    <row r="15" spans="1:15" ht="12.75">
      <c r="A15" s="3545"/>
      <c r="B15" s="3545"/>
      <c r="C15" s="3552"/>
      <c r="D15" s="3548"/>
      <c r="E15" s="12" t="s">
        <v>1729</v>
      </c>
      <c r="F15" s="2087"/>
      <c r="G15" s="2087"/>
      <c r="H15" s="2087"/>
      <c r="I15" s="2082"/>
      <c r="J15" s="2844"/>
    </row>
    <row r="16" spans="1:15" ht="12.75">
      <c r="A16" s="3545"/>
      <c r="B16" s="3545"/>
      <c r="C16" s="3553"/>
      <c r="D16" s="3548"/>
      <c r="E16" s="12" t="s">
        <v>1730</v>
      </c>
      <c r="F16" s="2087"/>
      <c r="G16" s="2087"/>
      <c r="H16" s="2087"/>
      <c r="I16" s="2082"/>
      <c r="J16" s="2844"/>
    </row>
    <row r="17" spans="1:36" ht="15">
      <c r="A17" s="2713" t="s">
        <v>1731</v>
      </c>
      <c r="B17" s="2092"/>
      <c r="C17" s="2714">
        <f>SUM(C5:C16)</f>
        <v>4</v>
      </c>
      <c r="D17" s="2714">
        <f>SUM(D5:D16)</f>
        <v>6</v>
      </c>
      <c r="E17" s="2561"/>
      <c r="F17" s="2561"/>
      <c r="G17" s="2561"/>
      <c r="H17" s="2561"/>
      <c r="I17" s="2561"/>
      <c r="J17" s="2845"/>
    </row>
    <row r="18" spans="1:36" ht="30" customHeight="1" thickBot="1">
      <c r="A18" s="2715" t="s">
        <v>1732</v>
      </c>
      <c r="B18" s="2716"/>
      <c r="C18" s="2717">
        <f>ROUND(C17/SUM(C17:D17),2)</f>
        <v>0.4</v>
      </c>
      <c r="D18" s="2717">
        <f>1-C18</f>
        <v>0.6</v>
      </c>
      <c r="E18" s="3565" t="s">
        <v>2817</v>
      </c>
      <c r="F18" s="3566"/>
      <c r="G18" s="3566"/>
      <c r="H18" s="3566"/>
      <c r="I18" s="3566"/>
      <c r="J18" s="2845"/>
    </row>
    <row r="19" spans="1:36" ht="15">
      <c r="A19" s="2718" t="s">
        <v>1733</v>
      </c>
      <c r="B19" s="2719" t="s">
        <v>1734</v>
      </c>
      <c r="C19" s="2720">
        <f ca="1">SUMIF(INDIRECT("'"&amp;C4&amp;"'"&amp;"!A:A"),结果表!B19,INDIRECT("'"&amp;C4&amp;"'"&amp;"!B:B"))</f>
        <v>731428</v>
      </c>
      <c r="D19" s="2721">
        <f ca="1">SUMIF(INDIRECT("'"&amp;D4&amp;"'"&amp;"!A:A"),结果表!B19,INDIRECT("'"&amp;D4&amp;"'"&amp;"!B:B"))</f>
        <v>372045</v>
      </c>
      <c r="E19" s="2718" t="s">
        <v>1735</v>
      </c>
      <c r="F19" s="2719" t="s">
        <v>1734</v>
      </c>
      <c r="G19" s="2722">
        <f ca="1">ROUND(C19*$C$18+D19*$D$18,0)</f>
        <v>515798</v>
      </c>
      <c r="H19" s="2723" t="str">
        <f>'数据-取费表'!B3</f>
        <v>元</v>
      </c>
      <c r="I19" s="2771"/>
      <c r="J19" s="2846"/>
    </row>
    <row r="20" spans="1:36" ht="15">
      <c r="A20" s="2724"/>
      <c r="B20" s="1693" t="s">
        <v>1736</v>
      </c>
      <c r="C20" s="1917">
        <f ca="1">SUMIF(INDIRECT("'"&amp;C4&amp;"'"&amp;"!A:A"),结果表!B20,INDIRECT("'"&amp;C4&amp;"'"&amp;"!B:B"))</f>
        <v>11395</v>
      </c>
      <c r="D20" s="1920">
        <f ca="1">SUMIF(INDIRECT("'"&amp;D4&amp;"'"&amp;"!A:A"),结果表!B20,INDIRECT("'"&amp;D4&amp;"'"&amp;"!B:B"))</f>
        <v>5796</v>
      </c>
      <c r="E20" s="2724"/>
      <c r="F20" s="1693" t="s">
        <v>1736</v>
      </c>
      <c r="G20" s="2091">
        <f ca="1">ROUND(C20*$C$18+D20*$D$18,0)</f>
        <v>8036</v>
      </c>
      <c r="H20" s="2725" t="s">
        <v>1737</v>
      </c>
      <c r="I20" s="2561"/>
      <c r="J20" s="2845"/>
      <c r="K20" s="659">
        <v>8000</v>
      </c>
    </row>
    <row r="21" spans="1:36" ht="15" customHeight="1" thickBot="1">
      <c r="A21" s="2726"/>
      <c r="B21" s="2727"/>
      <c r="C21" s="2727"/>
      <c r="D21" s="2728"/>
      <c r="E21" s="2726"/>
      <c r="F21" s="2727"/>
      <c r="G21" s="2729"/>
      <c r="H21" s="2730"/>
      <c r="I21" s="2561"/>
      <c r="J21" s="2845"/>
      <c r="K21" s="659">
        <f ca="1">C20+K20</f>
        <v>19395</v>
      </c>
    </row>
    <row r="22" spans="1:36" ht="15" thickBot="1">
      <c r="A22" s="2731" t="s">
        <v>1738</v>
      </c>
      <c r="B22" s="2732"/>
      <c r="C22" s="2645"/>
      <c r="D22" s="2733">
        <f ca="1">IF(C19&lt;D19,D19/C19-1,C19/D19-1)</f>
        <v>0.96596648254915407</v>
      </c>
      <c r="E22" s="947"/>
      <c r="F22" s="947"/>
      <c r="G22" s="947"/>
      <c r="H22" s="947"/>
      <c r="I22" s="947"/>
      <c r="J22" s="2845"/>
      <c r="K22" s="659">
        <f ca="1">K21/2</f>
        <v>9697.5</v>
      </c>
    </row>
    <row r="23" spans="1:36" ht="13.5" thickBot="1">
      <c r="A23" s="2561"/>
      <c r="B23" s="2561"/>
      <c r="C23" s="2561"/>
      <c r="D23" s="2561"/>
      <c r="E23" s="947"/>
      <c r="F23" s="947"/>
      <c r="G23" s="947"/>
      <c r="H23" s="947"/>
      <c r="I23" s="947"/>
      <c r="J23" s="2845"/>
    </row>
    <row r="24" spans="1:36" ht="21.75" customHeight="1">
      <c r="A24" s="3554" t="s">
        <v>1739</v>
      </c>
      <c r="B24" s="2719" t="s">
        <v>1734</v>
      </c>
      <c r="C24" s="2722">
        <f>D30</f>
        <v>0</v>
      </c>
      <c r="D24" s="2674"/>
      <c r="E24" s="947"/>
      <c r="F24" s="947"/>
      <c r="G24" s="947"/>
      <c r="H24" s="947"/>
      <c r="I24" s="947"/>
      <c r="J24" s="2845"/>
    </row>
    <row r="25" spans="1:36" ht="21.75" customHeight="1">
      <c r="A25" s="3555"/>
      <c r="B25" s="1693"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 t="shared" ref="D28:D29" si="0">ROUND(C28*B28/10000,0)</f>
        <v>0</v>
      </c>
      <c r="E28" s="947"/>
      <c r="F28" s="947"/>
      <c r="G28" s="947"/>
      <c r="H28" s="947"/>
      <c r="I28" s="947"/>
      <c r="J28" s="2845"/>
    </row>
    <row r="29" spans="1:36" ht="14.25">
      <c r="A29" s="2736"/>
      <c r="B29" s="2737"/>
      <c r="C29" s="2737"/>
      <c r="D29" s="2738">
        <f t="shared" si="0"/>
        <v>0</v>
      </c>
      <c r="E29" s="947"/>
      <c r="F29" s="947"/>
      <c r="G29" s="947"/>
      <c r="H29" s="947"/>
      <c r="I29" s="947"/>
      <c r="J29" s="2845"/>
    </row>
    <row r="30" spans="1:36" ht="15" thickBot="1">
      <c r="A30" s="2773" t="s">
        <v>1744</v>
      </c>
      <c r="B30" s="2773"/>
      <c r="C30" s="2773"/>
      <c r="D30" s="2773"/>
      <c r="E30" s="2740" t="s">
        <v>2821</v>
      </c>
      <c r="F30" s="2561"/>
      <c r="G30" s="2561"/>
      <c r="H30" s="2561"/>
      <c r="I30" s="2561"/>
      <c r="J30" s="2845"/>
    </row>
    <row r="31" spans="1:36" s="2838" customFormat="1" ht="26.45" customHeight="1" thickTop="1" thickBot="1">
      <c r="A31" s="2833"/>
      <c r="B31" s="2834"/>
      <c r="C31" s="2834"/>
      <c r="D31" s="2834"/>
      <c r="E31" s="2834"/>
      <c r="F31" s="2834"/>
      <c r="G31" s="2834"/>
      <c r="H31" s="2834"/>
      <c r="I31" s="2835" t="s">
        <v>2822</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1745</v>
      </c>
      <c r="B32" s="2827" t="str">
        <f>'数据-取费表'!B4</f>
        <v>楼面单价</v>
      </c>
      <c r="C32" s="2828">
        <f ca="1">IF(B32="总价",G19-C24,G20-C25)</f>
        <v>8036</v>
      </c>
      <c r="D32" s="2829" t="str">
        <f>IF(B32="楼面单价","元/平方米",H19)</f>
        <v>元/平方米</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1746</v>
      </c>
      <c r="B33" s="255"/>
      <c r="C33" s="2742"/>
      <c r="D33" s="2743"/>
      <c r="E33" s="2744" t="s">
        <v>1747</v>
      </c>
      <c r="F33" s="2745" t="str">
        <f>IF(B32="楼面单价","取值（单价）","取值（总价）")</f>
        <v>取值（单价）</v>
      </c>
      <c r="G33" s="947"/>
      <c r="H33" s="947"/>
      <c r="I33" s="947"/>
      <c r="J33" s="2845"/>
    </row>
    <row r="34" spans="1:17" ht="15">
      <c r="A34" s="1466"/>
      <c r="B34" s="2746" t="s">
        <v>1748</v>
      </c>
      <c r="C34" s="2747">
        <f ca="1">IF(D33="自定义",F34,C32-C35)</f>
        <v>16233</v>
      </c>
      <c r="D34" s="2748">
        <f ca="1">IF(D33="自定义",ROUND(C34/C32,3),1-D35)</f>
        <v>2.02</v>
      </c>
      <c r="E34" s="1435" t="s">
        <v>1749</v>
      </c>
      <c r="F34" s="2749">
        <v>2000</v>
      </c>
      <c r="G34" s="947"/>
      <c r="H34" s="947"/>
      <c r="I34" s="947"/>
      <c r="J34" s="2845"/>
    </row>
    <row r="35" spans="1:17" ht="15.75" thickBot="1">
      <c r="A35" s="1467"/>
      <c r="B35" s="2750" t="s">
        <v>1750</v>
      </c>
      <c r="C35" s="2751">
        <f ca="1">IF(D33="自定义",F35,ROUND(C32*D35,0))</f>
        <v>-8197</v>
      </c>
      <c r="D35" s="2752">
        <f ca="1">IF(D33="自定义",ROUND(C35/C32,3),IF(D33="成本法成本比率",成本法!C56,IF(D33="收益法收益比率",收益法!J38,收益法!J41)))</f>
        <v>-1.02</v>
      </c>
      <c r="E35" s="2753" t="s">
        <v>1751</v>
      </c>
      <c r="F35" s="2754">
        <v>4460</v>
      </c>
      <c r="G35" s="947"/>
      <c r="H35" s="947"/>
      <c r="I35" s="947"/>
      <c r="J35" s="2845"/>
    </row>
    <row r="36" spans="1:17" ht="15.75" thickBot="1">
      <c r="A36" s="3554" t="s">
        <v>1752</v>
      </c>
      <c r="B36" s="1468" t="s">
        <v>1753</v>
      </c>
      <c r="C36" s="2755">
        <v>0</v>
      </c>
      <c r="D36" s="2756"/>
      <c r="E36" s="1680"/>
      <c r="F36" s="1680"/>
      <c r="G36" s="947"/>
      <c r="H36" s="947"/>
      <c r="I36" s="947"/>
      <c r="J36" s="2845"/>
    </row>
    <row r="37" spans="1:17" ht="15.75" thickBot="1">
      <c r="A37" s="3559"/>
      <c r="B37" s="2092" t="s">
        <v>1754</v>
      </c>
      <c r="C37" s="2757">
        <v>0</v>
      </c>
      <c r="D37" s="1311"/>
      <c r="E37" s="1311"/>
      <c r="F37" s="1680"/>
      <c r="G37" s="1311"/>
      <c r="H37" s="1311"/>
      <c r="I37" s="1311"/>
      <c r="J37" s="2849"/>
    </row>
    <row r="38" spans="1:17" ht="15.75" thickBot="1">
      <c r="A38" s="3560"/>
      <c r="B38" s="1469" t="s">
        <v>1755</v>
      </c>
      <c r="C38" s="2758">
        <v>0</v>
      </c>
      <c r="D38" s="2759" t="s">
        <v>1756</v>
      </c>
      <c r="E38" s="1311"/>
      <c r="F38" s="1680"/>
      <c r="G38" s="1311"/>
      <c r="H38" s="1311"/>
      <c r="I38" s="1311"/>
      <c r="J38" s="2849"/>
    </row>
    <row r="39" spans="1:17" ht="15">
      <c r="A39" s="2724" t="s">
        <v>1757</v>
      </c>
      <c r="B39" s="2760" t="s">
        <v>1741</v>
      </c>
      <c r="C39" s="2761" t="s">
        <v>1742</v>
      </c>
      <c r="D39" s="2761" t="s">
        <v>1758</v>
      </c>
      <c r="E39" s="2762" t="s">
        <v>1743</v>
      </c>
      <c r="F39" s="1680"/>
      <c r="G39" s="1311"/>
      <c r="H39" s="1311"/>
      <c r="I39" s="1311"/>
      <c r="J39" s="2849"/>
    </row>
    <row r="40" spans="1:17" ht="14.25">
      <c r="A40" s="2763" t="s">
        <v>1759</v>
      </c>
      <c r="B40" s="2764"/>
      <c r="C40" s="2765"/>
      <c r="D40" s="2765"/>
      <c r="E40" s="2766"/>
      <c r="F40" s="1680"/>
      <c r="G40" s="1311"/>
      <c r="H40" s="1311"/>
      <c r="I40" s="1311"/>
      <c r="J40" s="2849"/>
    </row>
    <row r="41" spans="1:17" ht="14.25">
      <c r="A41" s="2763" t="s">
        <v>1760</v>
      </c>
      <c r="B41" s="2764"/>
      <c r="C41" s="2765"/>
      <c r="D41" s="2765"/>
      <c r="E41" s="2766"/>
      <c r="F41" s="1680"/>
      <c r="G41" s="1311"/>
      <c r="H41" s="1311"/>
      <c r="I41" s="1311"/>
      <c r="J41" s="2849"/>
    </row>
    <row r="42" spans="1:17" ht="15" thickBot="1">
      <c r="A42" s="2767"/>
      <c r="B42" s="2768"/>
      <c r="C42" s="2769"/>
      <c r="D42" s="2769"/>
      <c r="E42" s="2754"/>
      <c r="F42" s="1680"/>
      <c r="G42" s="1311"/>
      <c r="H42" s="1311"/>
      <c r="I42" s="1311"/>
      <c r="J42" s="2849"/>
    </row>
    <row r="43" spans="1:17" ht="12.75">
      <c r="A43" s="2975"/>
      <c r="B43" s="2975"/>
      <c r="C43" s="2975"/>
      <c r="D43" s="2975"/>
      <c r="E43" s="2975"/>
      <c r="F43" s="2974"/>
      <c r="G43" s="2974"/>
      <c r="H43" s="2974"/>
      <c r="I43" s="2661"/>
      <c r="J43" s="2850"/>
    </row>
    <row r="44" spans="1:17" ht="18.75">
      <c r="A44" s="1471" t="s">
        <v>1761</v>
      </c>
      <c r="B44" s="1472"/>
      <c r="C44" s="1472"/>
      <c r="D44" s="1473"/>
      <c r="E44" s="1473"/>
      <c r="F44" s="1474"/>
      <c r="G44" s="1474"/>
      <c r="H44" s="1474"/>
      <c r="I44" s="2839" t="s">
        <v>2816</v>
      </c>
      <c r="J44" s="2851"/>
      <c r="K44" s="1475" t="s">
        <v>1762</v>
      </c>
      <c r="L44" s="1476"/>
      <c r="M44" s="1476"/>
      <c r="N44" s="1476"/>
      <c r="O44" s="1476"/>
      <c r="P44" s="1476"/>
      <c r="Q44" s="1308"/>
    </row>
    <row r="45" spans="1:17" ht="14.25" customHeight="1" thickBot="1">
      <c r="A45" s="3479" t="s">
        <v>1763</v>
      </c>
      <c r="B45" s="3480"/>
      <c r="C45" s="3490"/>
      <c r="D45" s="246">
        <f ca="1">ROUND(I102*F45,0)</f>
        <v>515831</v>
      </c>
      <c r="E45" s="1542" t="s">
        <v>1764</v>
      </c>
      <c r="F45" s="2559">
        <v>1</v>
      </c>
      <c r="G45" s="2560" t="s">
        <v>1765</v>
      </c>
      <c r="H45" s="947"/>
      <c r="I45" s="947"/>
      <c r="J45" s="2845"/>
      <c r="K45" s="3485" t="s">
        <v>2746</v>
      </c>
      <c r="L45" s="3485"/>
      <c r="M45" s="3485"/>
      <c r="N45" s="3485"/>
      <c r="O45" s="3485"/>
      <c r="P45" s="3485"/>
      <c r="Q45" s="1308"/>
    </row>
    <row r="46" spans="1:17" ht="14.25" customHeight="1">
      <c r="A46" s="3556" t="s">
        <v>1767</v>
      </c>
      <c r="B46" s="3557"/>
      <c r="C46" s="3557"/>
      <c r="D46" s="3557"/>
      <c r="E46" s="3557"/>
      <c r="F46" s="3557"/>
      <c r="G46" s="3558"/>
      <c r="H46" s="2977"/>
      <c r="I46" s="947"/>
      <c r="J46" s="2845"/>
      <c r="K46" s="2534">
        <v>1</v>
      </c>
      <c r="L46" s="3486" t="s">
        <v>2747</v>
      </c>
      <c r="M46" s="3486"/>
      <c r="N46" s="3487" t="str">
        <f>项目基本情况!B1</f>
        <v>北京市房地产市场价值预评估</v>
      </c>
      <c r="O46" s="3487"/>
      <c r="P46" s="3487"/>
      <c r="Q46" s="1308"/>
    </row>
    <row r="47" spans="1:17" ht="12" customHeight="1">
      <c r="A47" s="38" t="s">
        <v>1769</v>
      </c>
      <c r="B47" s="39"/>
      <c r="C47" s="40"/>
      <c r="D47" s="1099" t="s">
        <v>1770</v>
      </c>
      <c r="E47" s="235" t="s">
        <v>1771</v>
      </c>
      <c r="F47" s="41" t="s">
        <v>1772</v>
      </c>
      <c r="G47" s="2562" t="s">
        <v>1773</v>
      </c>
      <c r="H47" s="2977"/>
      <c r="I47" s="947"/>
      <c r="J47" s="2845"/>
      <c r="K47" s="2534">
        <v>2</v>
      </c>
      <c r="L47" s="3486" t="s">
        <v>2748</v>
      </c>
      <c r="M47" s="3486"/>
      <c r="N47" s="3488">
        <f>'数据-取费表'!B2</f>
        <v>39004</v>
      </c>
      <c r="O47" s="3488"/>
      <c r="P47" s="3488"/>
      <c r="Q47" s="1308"/>
    </row>
    <row r="48" spans="1:17" ht="25.5">
      <c r="A48" s="3561" t="s">
        <v>1775</v>
      </c>
      <c r="B48" s="3495"/>
      <c r="C48" s="3495"/>
      <c r="D48" s="12">
        <f ca="1">IF(H48="情况1",0,IF(H48="情况2",D52,IF(H48="情况3",D53,IF(H48="情况4",D54))))</f>
        <v>28371</v>
      </c>
      <c r="E48" s="2090" t="str">
        <f>IF(H48="情况4","(销售额-原购置价)×税（费）率","销售额×税（费）率")</f>
        <v>销售额×税（费）率</v>
      </c>
      <c r="F48" s="2563">
        <f>IF(H48="情况1","免征",'数据-取费表'!E29)</f>
        <v>5.5000000000000007E-2</v>
      </c>
      <c r="G48" s="2564" t="s">
        <v>1776</v>
      </c>
      <c r="H48" s="2565" t="s">
        <v>1777</v>
      </c>
      <c r="I48" s="2977"/>
      <c r="J48" s="2852"/>
      <c r="K48" s="2534">
        <v>3</v>
      </c>
      <c r="L48" s="3486" t="s">
        <v>2749</v>
      </c>
      <c r="M48" s="3486"/>
      <c r="N48" s="3487">
        <f ca="1">I102</f>
        <v>515831</v>
      </c>
      <c r="O48" s="3487"/>
      <c r="P48" s="3487"/>
      <c r="Q48" s="1308"/>
    </row>
    <row r="49" spans="1:17" ht="25.5" customHeight="1">
      <c r="A49" s="2089" t="s">
        <v>1779</v>
      </c>
      <c r="B49" s="3534" t="s">
        <v>1780</v>
      </c>
      <c r="C49" s="3534"/>
      <c r="D49" s="2566">
        <v>0</v>
      </c>
      <c r="E49" s="261" t="s">
        <v>1781</v>
      </c>
      <c r="F49" s="2567" t="s">
        <v>48</v>
      </c>
      <c r="G49" s="3476"/>
      <c r="H49" s="2568" t="s">
        <v>2823</v>
      </c>
      <c r="I49" s="2569"/>
      <c r="J49" s="2853"/>
      <c r="K49" s="2534">
        <v>4</v>
      </c>
      <c r="L49" s="3486" t="str">
        <f>IF(项目基本情况!F5="房地产抵押价值","房地产抵押价值","抵押担保权已注销时的房地产抵押价值")</f>
        <v>抵押担保权已注销时的房地产抵押价值</v>
      </c>
      <c r="M49" s="3486"/>
      <c r="N49" s="3487" t="str">
        <f>IF(项目基本情况!F5="房地产抵押价值",I110,I112)</f>
        <v>——</v>
      </c>
      <c r="O49" s="3487"/>
      <c r="P49" s="3487"/>
      <c r="Q49" s="1308"/>
    </row>
    <row r="50" spans="1:17" ht="25.5" customHeight="1">
      <c r="A50" s="2079"/>
      <c r="B50" s="3534" t="s">
        <v>1782</v>
      </c>
      <c r="C50" s="3534"/>
      <c r="D50" s="2570"/>
      <c r="E50" s="269"/>
      <c r="F50" s="2567"/>
      <c r="G50" s="3477"/>
      <c r="H50" s="2571" t="s">
        <v>2742</v>
      </c>
      <c r="I50" s="2569"/>
      <c r="J50" s="2853"/>
      <c r="K50" s="3486" t="s">
        <v>2750</v>
      </c>
      <c r="L50" s="3486"/>
      <c r="M50" s="3486"/>
      <c r="N50" s="3486"/>
      <c r="O50" s="3486"/>
      <c r="P50" s="3486"/>
      <c r="Q50" s="1308"/>
    </row>
    <row r="51" spans="1:17" ht="20.45" customHeight="1">
      <c r="A51" s="2572"/>
      <c r="B51" s="3534" t="s">
        <v>1784</v>
      </c>
      <c r="C51" s="3534"/>
      <c r="D51" s="1099"/>
      <c r="E51" s="264"/>
      <c r="F51" s="2567"/>
      <c r="G51" s="3478"/>
      <c r="H51" s="2571" t="s">
        <v>2743</v>
      </c>
      <c r="I51" s="2569"/>
      <c r="J51" s="2853"/>
      <c r="K51" s="2535" t="s">
        <v>2751</v>
      </c>
      <c r="L51" s="3486" t="s">
        <v>2752</v>
      </c>
      <c r="M51" s="3486"/>
      <c r="N51" s="2535" t="s">
        <v>2753</v>
      </c>
      <c r="O51" s="2535" t="s">
        <v>2754</v>
      </c>
      <c r="P51" s="2535" t="s">
        <v>2755</v>
      </c>
      <c r="Q51" s="1308"/>
    </row>
    <row r="52" spans="1:17" ht="24" customHeight="1">
      <c r="A52" s="2080" t="s">
        <v>1790</v>
      </c>
      <c r="B52" s="3534" t="s">
        <v>1791</v>
      </c>
      <c r="C52" s="3534"/>
      <c r="D52" s="1099">
        <f ca="1">ROUND(D45*'数据-取费表'!E29/(1+'数据-取费表'!F30),0)</f>
        <v>28371</v>
      </c>
      <c r="E52" s="2090" t="s">
        <v>1792</v>
      </c>
      <c r="F52" s="2573">
        <f>'数据-取费表'!E29</f>
        <v>5.5000000000000007E-2</v>
      </c>
      <c r="G52" s="2574"/>
      <c r="H52" s="947"/>
      <c r="I52" s="2978"/>
      <c r="J52" s="2853"/>
      <c r="K52" s="2534">
        <v>1</v>
      </c>
      <c r="L52" s="3475" t="s">
        <v>2756</v>
      </c>
      <c r="M52" s="3475"/>
      <c r="N52" s="2536">
        <f ca="1">D48</f>
        <v>28371</v>
      </c>
      <c r="O52" s="2534" t="str">
        <f>E48</f>
        <v>销售额×税（费）率</v>
      </c>
      <c r="P52" s="2537">
        <f>F48</f>
        <v>5.5000000000000007E-2</v>
      </c>
      <c r="Q52" s="1308"/>
    </row>
    <row r="53" spans="1:17" ht="12" customHeight="1">
      <c r="A53" s="2080" t="s">
        <v>1794</v>
      </c>
      <c r="B53" s="3546" t="s">
        <v>2835</v>
      </c>
      <c r="C53" s="3535"/>
      <c r="D53" s="1099">
        <f ca="1">ROUND(D45*'数据-取费表'!E29/(1+'数据-取费表'!F30),0)</f>
        <v>28371</v>
      </c>
      <c r="E53" s="2090" t="s">
        <v>1792</v>
      </c>
      <c r="F53" s="2573">
        <f>'数据-取费表'!E29</f>
        <v>5.5000000000000007E-2</v>
      </c>
      <c r="G53" s="2574"/>
      <c r="H53" s="947"/>
      <c r="I53" s="2978"/>
      <c r="J53" s="2853"/>
      <c r="K53" s="2534">
        <v>2</v>
      </c>
      <c r="L53" s="3475" t="s">
        <v>2757</v>
      </c>
      <c r="M53" s="3475"/>
      <c r="N53" s="2536">
        <f t="shared" ref="N53:P54" si="1">D55</f>
        <v>0</v>
      </c>
      <c r="O53" s="2534" t="str">
        <f t="shared" si="1"/>
        <v>销售额×税（费）率</v>
      </c>
      <c r="P53" s="2537" t="str">
        <f t="shared" si="1"/>
        <v>免征</v>
      </c>
      <c r="Q53" s="1308"/>
    </row>
    <row r="54" spans="1:17" ht="12" customHeight="1">
      <c r="A54" s="2080" t="s">
        <v>1796</v>
      </c>
      <c r="B54" s="3546" t="s">
        <v>2836</v>
      </c>
      <c r="C54" s="3535"/>
      <c r="D54" s="1099">
        <f ca="1">C68</f>
        <v>28371</v>
      </c>
      <c r="E54" s="264" t="s">
        <v>1797</v>
      </c>
      <c r="F54" s="2573">
        <f>'数据-取费表'!E29</f>
        <v>5.5000000000000007E-2</v>
      </c>
      <c r="G54" s="2574"/>
      <c r="H54" s="2979"/>
      <c r="I54" s="2978"/>
      <c r="J54" s="2853"/>
      <c r="K54" s="2534">
        <v>3</v>
      </c>
      <c r="L54" s="3475" t="s">
        <v>2758</v>
      </c>
      <c r="M54" s="3475"/>
      <c r="N54" s="2536">
        <f t="shared" si="1"/>
        <v>0</v>
      </c>
      <c r="O54" s="2534" t="str">
        <f t="shared" si="1"/>
        <v>增值额×税（费）率</v>
      </c>
      <c r="P54" s="2538" t="str">
        <f t="shared" si="1"/>
        <v>免征</v>
      </c>
      <c r="Q54" s="1308"/>
    </row>
    <row r="55" spans="1:17" ht="24" customHeight="1">
      <c r="A55" s="3499" t="s">
        <v>1799</v>
      </c>
      <c r="B55" s="3495"/>
      <c r="C55" s="3495"/>
      <c r="D55" s="12">
        <f>IF(H55="个人住宅",0,ROUND(D45*I55,0))</f>
        <v>0</v>
      </c>
      <c r="E55" s="2090" t="s">
        <v>1800</v>
      </c>
      <c r="F55" s="2573" t="str">
        <f>IF(H55="正常",I55,"免征")</f>
        <v>免征</v>
      </c>
      <c r="G55" s="2574"/>
      <c r="H55" s="2565" t="s">
        <v>2739</v>
      </c>
      <c r="I55" s="74">
        <f>'数据-取费表'!E37</f>
        <v>5.0000000000000001E-4</v>
      </c>
      <c r="J55" s="2853"/>
      <c r="K55" s="2534" t="str">
        <f>IF(H59="非个人房产","",4)</f>
        <v/>
      </c>
      <c r="L55" s="3475" t="str">
        <f>IF(H59="非个人房产","——","个人所得税")</f>
        <v>——</v>
      </c>
      <c r="M55" s="3475"/>
      <c r="N55" s="2539" t="str">
        <f>D59</f>
        <v>——</v>
      </c>
      <c r="O55" s="2540" t="str">
        <f>E59</f>
        <v>——</v>
      </c>
      <c r="P55" s="2541" t="str">
        <f>F59</f>
        <v>——</v>
      </c>
      <c r="Q55" s="1308"/>
    </row>
    <row r="56" spans="1:17" ht="24.75">
      <c r="A56" s="3499" t="s">
        <v>1802</v>
      </c>
      <c r="B56" s="3495"/>
      <c r="C56" s="3495"/>
      <c r="D56" s="12">
        <f>IF(H56="个人住宅",D57,D58)</f>
        <v>0</v>
      </c>
      <c r="E56" s="2090" t="s">
        <v>1803</v>
      </c>
      <c r="F56" s="2573" t="str">
        <f>IF(H56="正常",F58,"免征")</f>
        <v>免征</v>
      </c>
      <c r="G56" s="2575" t="s">
        <v>1804</v>
      </c>
      <c r="H56" s="2576" t="s">
        <v>2739</v>
      </c>
      <c r="I56" s="2980"/>
      <c r="J56" s="2853"/>
      <c r="K56" s="2534" t="str">
        <f>IF(项目基本情况!I6="上海银行",IF(K55="",4,K55+1),"")</f>
        <v/>
      </c>
      <c r="L56" s="3473" t="str">
        <f>IF(项目基本情况!I6="上海银行","其他处置费用","")</f>
        <v/>
      </c>
      <c r="M56" s="3493"/>
      <c r="N56" s="2536" t="str">
        <f>IF(项目基本情况!I6="上海银行",N69,"")</f>
        <v/>
      </c>
      <c r="O56" s="3473" t="str">
        <f>IF(项目基本情况!I6="上海银行","包含处置中涉及的律师、诉讼、拍卖、评估等费用","")</f>
        <v/>
      </c>
      <c r="P56" s="3474"/>
      <c r="Q56" s="1308"/>
    </row>
    <row r="57" spans="1:17" ht="12.75">
      <c r="A57" s="2080" t="s">
        <v>1779</v>
      </c>
      <c r="B57" s="3546" t="s">
        <v>1805</v>
      </c>
      <c r="C57" s="3535"/>
      <c r="D57" s="2566">
        <v>0</v>
      </c>
      <c r="E57" s="261" t="s">
        <v>1781</v>
      </c>
      <c r="F57" s="235"/>
      <c r="G57" s="2574"/>
      <c r="H57" s="2980"/>
      <c r="I57" s="2980"/>
      <c r="J57" s="2853"/>
      <c r="K57" s="3475">
        <f>IF(AND(K55="",K56=""),4,IF(项目基本情况!I6="上海银行",K56+1,K55+1))</f>
        <v>4</v>
      </c>
      <c r="L57" s="3475" t="s">
        <v>2759</v>
      </c>
      <c r="M57" s="2542" t="s">
        <v>2760</v>
      </c>
      <c r="N57" s="2543"/>
      <c r="O57" s="2544">
        <f ca="1">SUMIF(N52:N56,"&lt;9e307")</f>
        <v>28371</v>
      </c>
      <c r="P57" s="2545"/>
      <c r="Q57" s="1306" t="e">
        <f ca="1">O57/N49</f>
        <v>#VALUE!</v>
      </c>
    </row>
    <row r="58" spans="1:17" ht="24.75">
      <c r="A58" s="2080" t="s">
        <v>1790</v>
      </c>
      <c r="B58" s="3546" t="s">
        <v>1808</v>
      </c>
      <c r="C58" s="3534"/>
      <c r="D58" s="12">
        <f ca="1">IF(H58="转让取得",C81,C97)</f>
        <v>307049</v>
      </c>
      <c r="E58" s="2090" t="s">
        <v>1803</v>
      </c>
      <c r="F58" s="235" t="s">
        <v>48</v>
      </c>
      <c r="G58" s="2574"/>
      <c r="H58" s="2576" t="s">
        <v>1809</v>
      </c>
      <c r="I58" s="2980"/>
      <c r="J58" s="2853"/>
      <c r="K58" s="3475"/>
      <c r="L58" s="3475"/>
      <c r="M58" s="2542" t="s">
        <v>2761</v>
      </c>
      <c r="N58" s="2546"/>
      <c r="O58" s="2547" t="str">
        <f ca="1">IF(H19="元",NUMBERSTRING(INT(O57),2)&amp;"元整",NUMBERSTRING(INT(O57*10000),2)&amp;"元整")</f>
        <v>贰万捌仟叁佰柒拾壹元整</v>
      </c>
      <c r="P58" s="2548"/>
      <c r="Q58" s="1308"/>
    </row>
    <row r="59" spans="1:17" ht="24.75" thickBot="1">
      <c r="A59" s="3562" t="s">
        <v>1811</v>
      </c>
      <c r="B59" s="3563"/>
      <c r="C59" s="3563"/>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3" t="s">
        <v>2814</v>
      </c>
      <c r="H59" s="2094" t="s">
        <v>2824</v>
      </c>
      <c r="I59" s="2882" t="s">
        <v>2825</v>
      </c>
      <c r="J59" s="2853"/>
      <c r="K59" s="3528">
        <f>K57+1</f>
        <v>5</v>
      </c>
      <c r="L59" s="3475" t="s">
        <v>2762</v>
      </c>
      <c r="M59" s="2534" t="s">
        <v>2760</v>
      </c>
      <c r="N59" s="2549"/>
      <c r="O59" s="2550" t="e">
        <f ca="1">N49-O57</f>
        <v>#VALUE!</v>
      </c>
      <c r="P59" s="2551"/>
      <c r="Q59" s="1308"/>
    </row>
    <row r="60" spans="1:17" ht="12" customHeight="1">
      <c r="A60" s="1457"/>
      <c r="B60" s="1461"/>
      <c r="C60" s="1461"/>
      <c r="D60" s="1461"/>
      <c r="E60" s="812"/>
      <c r="F60" s="2981"/>
      <c r="G60" s="2981"/>
      <c r="H60" s="2982"/>
      <c r="I60" s="31"/>
      <c r="K60" s="3529"/>
      <c r="L60" s="3475"/>
      <c r="M60" s="2542" t="s">
        <v>2761</v>
      </c>
      <c r="N60" s="2546"/>
      <c r="O60" s="2547" t="e">
        <f ca="1">IF(H19="元",NUMBERSTRING(INT(O59),2)&amp;"元整",NUMBERSTRING(INT(O59*10000),2)&amp;"元整")</f>
        <v>#VALUE!</v>
      </c>
      <c r="P60" s="2548"/>
      <c r="Q60" s="1308"/>
    </row>
    <row r="61" spans="1:17" ht="13.5" thickBot="1">
      <c r="A61" s="3564" t="s">
        <v>1813</v>
      </c>
      <c r="B61" s="3564"/>
      <c r="C61" s="3564"/>
      <c r="D61" s="3564"/>
      <c r="E61" s="3564"/>
      <c r="F61" s="2981"/>
      <c r="G61" s="2981"/>
      <c r="H61" s="2983"/>
      <c r="I61" s="31"/>
      <c r="K61" s="2534">
        <f>K59+1</f>
        <v>6</v>
      </c>
      <c r="L61" s="3475" t="s">
        <v>2763</v>
      </c>
      <c r="M61" s="3475"/>
      <c r="N61" s="2552"/>
      <c r="O61" s="2553" t="e">
        <f ca="1">IF(H19="元",ROUND(O59/项目基本情况!C12,0),ROUND(O59*10000/项目基本情况!C12,0))</f>
        <v>#VALUE!</v>
      </c>
      <c r="P61" s="2554"/>
      <c r="Q61" s="1308"/>
    </row>
    <row r="62" spans="1:17" ht="12.75">
      <c r="A62" s="3513" t="s">
        <v>1815</v>
      </c>
      <c r="B62" s="3514"/>
      <c r="C62" s="1607"/>
      <c r="D62" s="1607" t="s">
        <v>1816</v>
      </c>
      <c r="E62" s="45" t="s">
        <v>1817</v>
      </c>
      <c r="F62" s="2981"/>
      <c r="G62" s="2981"/>
      <c r="H62" s="2983"/>
      <c r="I62" s="31"/>
      <c r="K62" s="2555"/>
      <c r="L62" s="2555"/>
      <c r="M62" s="2555"/>
      <c r="N62" s="2555"/>
      <c r="O62" s="2555"/>
      <c r="P62" s="2555"/>
      <c r="Q62" s="1308"/>
    </row>
    <row r="63" spans="1:17" ht="12.75">
      <c r="A63" s="46">
        <v>1</v>
      </c>
      <c r="B63" s="47" t="s">
        <v>1818</v>
      </c>
      <c r="C63" s="2784">
        <f ca="1">ROUND((C64+C65)/(1+'数据-取费表'!F30),0)</f>
        <v>515831</v>
      </c>
      <c r="D63" s="47"/>
      <c r="E63" s="48"/>
      <c r="F63" s="2981"/>
      <c r="G63" s="2981"/>
      <c r="H63" s="2983"/>
      <c r="I63" s="31"/>
      <c r="K63" s="3494" t="s">
        <v>2764</v>
      </c>
      <c r="L63" s="2556" t="s">
        <v>2765</v>
      </c>
      <c r="M63" s="2556" t="e">
        <f>IF(N49&gt;10000,N49*0.5%,IF(AND(N49&gt;1000,N49&lt;=10000),N49*1%,IF(AND(N49&gt;100,N49&lt;=1000),N49*3%,IF(AND(N49&gt;10,N49&lt;=100),N49*5%,N49*8%))))</f>
        <v>#VALUE!</v>
      </c>
      <c r="N63" s="2557" t="e">
        <f>ROUND(M63,1)</f>
        <v>#VALUE!</v>
      </c>
      <c r="O63" s="2555"/>
      <c r="P63" s="2555"/>
      <c r="Q63" s="1308"/>
    </row>
    <row r="64" spans="1:17" ht="12.75">
      <c r="A64" s="49" t="s">
        <v>71</v>
      </c>
      <c r="B64" s="50" t="s">
        <v>1821</v>
      </c>
      <c r="C64" s="2785">
        <f ca="1">D45</f>
        <v>515831</v>
      </c>
      <c r="D64" s="50" t="s">
        <v>41</v>
      </c>
      <c r="E64" s="52"/>
      <c r="F64" s="2981"/>
      <c r="G64" s="2981"/>
      <c r="H64" s="2983"/>
      <c r="I64" s="31"/>
      <c r="K64" s="3494"/>
      <c r="L64" s="2556" t="s">
        <v>2766</v>
      </c>
      <c r="M64" s="2556" t="e">
        <f>IF(N49&gt;2000,N49*0.5%,IF(AND(N49&gt;1000,N49&lt;=2000),N49*0.6%,IF(AND(N49&gt;500,N49&lt;=1000),N49*0.7%,IF(AND(N49&gt;200,N49&lt;=500),N49*0.8%,IF(AND(N49&gt;100,N49&lt;=200),N49*0.9%,IF(AND(N49&gt;50,N49&lt;=100),N49*1%,IF(AND(N49&gt;20,N49&lt;=50),N49*1.5%,IF(AND(N49&gt;10,N49&lt;=20),N49*2%,IF(AND(N49&gt;1,N49&lt;=10),N49*2.5%)))))))))</f>
        <v>#VALUE!</v>
      </c>
      <c r="N64" s="2557" t="e">
        <f t="shared" ref="N64:N65" si="2">ROUND(M64,1)</f>
        <v>#VALUE!</v>
      </c>
      <c r="O64" s="2555" t="s">
        <v>2767</v>
      </c>
      <c r="P64" s="2555"/>
      <c r="Q64" s="1308"/>
    </row>
    <row r="65" spans="1:36" ht="12.75">
      <c r="A65" s="49" t="s">
        <v>72</v>
      </c>
      <c r="B65" s="50" t="s">
        <v>1824</v>
      </c>
      <c r="C65" s="2786"/>
      <c r="D65" s="50"/>
      <c r="E65" s="52"/>
      <c r="F65" s="2981"/>
      <c r="G65" s="2981"/>
      <c r="H65" s="2983"/>
      <c r="I65" s="31"/>
      <c r="K65" s="3494"/>
      <c r="L65" s="2556" t="s">
        <v>2768</v>
      </c>
      <c r="M65" s="2556" t="e">
        <f>IF(N49&gt;1000,N49*0.1%,IF(AND(N49&gt;500,N49&lt;=1000),N49*0.5%,IF(AND(N49&gt;50,N49&lt;=500),N49*1%,IF(AND(N49&gt;1,N49&lt;=50),N49*1.5%))))</f>
        <v>#VALUE!</v>
      </c>
      <c r="N65" s="2557" t="e">
        <f t="shared" si="2"/>
        <v>#VALUE!</v>
      </c>
      <c r="O65" s="2555" t="s">
        <v>2767</v>
      </c>
      <c r="P65" s="2555"/>
      <c r="Q65" s="1308"/>
    </row>
    <row r="66" spans="1:36" ht="12.75">
      <c r="A66" s="53" t="s">
        <v>47</v>
      </c>
      <c r="B66" s="54" t="s">
        <v>1826</v>
      </c>
      <c r="C66" s="2787"/>
      <c r="D66" s="54" t="s">
        <v>41</v>
      </c>
      <c r="E66" s="1316" t="s">
        <v>1827</v>
      </c>
      <c r="F66" s="2981"/>
      <c r="G66" s="2981"/>
      <c r="H66" s="2983"/>
      <c r="I66" s="31"/>
      <c r="K66" s="3494"/>
      <c r="L66" s="2556" t="s">
        <v>2769</v>
      </c>
      <c r="M66" s="2556" t="e">
        <f>N49*0.5%</f>
        <v>#VALUE!</v>
      </c>
      <c r="N66" s="2557" t="e">
        <f>IF(M66&gt;0.5,0.5,ROUND(M66,0))</f>
        <v>#VALUE!</v>
      </c>
      <c r="O66" s="2555" t="s">
        <v>2770</v>
      </c>
      <c r="P66" s="2555"/>
      <c r="Q66" s="1308"/>
    </row>
    <row r="67" spans="1:36" ht="12.75">
      <c r="A67" s="53" t="s">
        <v>42</v>
      </c>
      <c r="B67" s="54" t="s">
        <v>1830</v>
      </c>
      <c r="C67" s="2788">
        <f ca="1">C63-C66</f>
        <v>515831</v>
      </c>
      <c r="D67" s="50" t="s">
        <v>41</v>
      </c>
      <c r="E67" s="52"/>
      <c r="F67" s="2981"/>
      <c r="G67" s="2981"/>
      <c r="H67" s="2983"/>
      <c r="I67" s="31"/>
      <c r="K67" s="3494"/>
      <c r="L67" s="2556" t="s">
        <v>2771</v>
      </c>
      <c r="M67" s="2556" t="e">
        <f>IF(N49&gt;=10000,(8.25+(N49-10000)*0.01%),IF(AND(N49&gt;=8000,N49&lt;10000),(7.85+(N49-8000)*0.02%),IF(AND(N49&gt;=5000,N49&lt;8000),(6.65+(N49-5000)*0.04%),IF(AND(N49&gt;=2000,N49&lt;5000),(4.25+(PN49-2000)*0.08%),IF(AND(N49&gt;=1000,N49&lt;2000),(2.75+(N49-1000)*0.15%),IF(AND(N49&gt;=100,N49&lt;1000),(0.5+(N49-100)*0.25%),IF(AND(N49&gt;0,N49&lt;100),N49*0.5%)))))))</f>
        <v>#VALUE!</v>
      </c>
      <c r="N67" s="2557" t="e">
        <f>ROUND(M67*0.9,1)</f>
        <v>#VALUE!</v>
      </c>
      <c r="O67" s="2555"/>
      <c r="P67" s="2555"/>
      <c r="Q67" s="1308"/>
    </row>
    <row r="68" spans="1:36" ht="13.5" thickBot="1">
      <c r="A68" s="55" t="s">
        <v>46</v>
      </c>
      <c r="B68" s="56" t="s">
        <v>1832</v>
      </c>
      <c r="C68" s="2789">
        <f ca="1">IF(C67&lt;=0,0,ROUND(C67*D68,0))</f>
        <v>28371</v>
      </c>
      <c r="D68" s="2240">
        <f>'数据-取费表'!E29</f>
        <v>5.5000000000000007E-2</v>
      </c>
      <c r="E68" s="57"/>
      <c r="F68" s="2981"/>
      <c r="G68" s="2981"/>
      <c r="H68" s="2983"/>
      <c r="I68" s="31"/>
      <c r="K68" s="3494"/>
      <c r="L68" s="2556" t="s">
        <v>2772</v>
      </c>
      <c r="M68" s="2556" t="e">
        <f>IF(N49&gt;10000,N49*0.5%,IF(AND(N49&gt;5000,N49&lt;=10000),N49*1%,IF(AND(N49&gt;1000,N49&lt;=5000),N49*2%,IF(AND(N49&gt;200,N49&lt;=1000),N49*3%,N49*5%))))</f>
        <v>#VALUE!</v>
      </c>
      <c r="N68" s="2557" t="e">
        <f>ROUND(M68,1)</f>
        <v>#VALUE!</v>
      </c>
      <c r="O68" s="2555"/>
      <c r="P68" s="2555"/>
      <c r="Q68" s="1308"/>
    </row>
    <row r="69" spans="1:36" s="1465" customFormat="1" ht="7.5" customHeight="1">
      <c r="A69" s="1477"/>
      <c r="B69" s="1478"/>
      <c r="C69" s="1479"/>
      <c r="D69" s="1480"/>
      <c r="E69" s="1481"/>
      <c r="F69" s="812"/>
      <c r="G69" s="812"/>
      <c r="H69" s="1470"/>
      <c r="I69" s="1461"/>
      <c r="J69" s="2841"/>
      <c r="K69" s="3494"/>
      <c r="L69" s="2556" t="s">
        <v>54</v>
      </c>
      <c r="M69" s="2556"/>
      <c r="N69" s="2557" t="e">
        <f>ROUND(SUM(N63:N68),0)</f>
        <v>#VALUE!</v>
      </c>
      <c r="O69" s="2558" t="e">
        <f>N69/N49</f>
        <v>#VALUE!</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515" t="s">
        <v>1835</v>
      </c>
      <c r="B70" s="3516"/>
      <c r="C70" s="3516"/>
      <c r="D70" s="3516"/>
      <c r="E70" s="3516"/>
      <c r="F70" s="3516"/>
      <c r="G70" s="3516"/>
      <c r="H70" s="3516"/>
      <c r="I70" s="1482"/>
      <c r="J70" s="2854"/>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513" t="s">
        <v>1815</v>
      </c>
      <c r="B71" s="3514"/>
      <c r="C71" s="1607"/>
      <c r="D71" s="1607" t="s">
        <v>1816</v>
      </c>
      <c r="E71" s="58" t="s">
        <v>1817</v>
      </c>
      <c r="F71" s="59"/>
      <c r="G71" s="59"/>
      <c r="H71" s="60"/>
      <c r="I71" s="1485"/>
      <c r="J71" s="2855"/>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88">
        <f ca="1">ROUND(D45/(1+'数据-取费表'!F30),0)</f>
        <v>515831</v>
      </c>
      <c r="D72" s="50" t="s">
        <v>41</v>
      </c>
      <c r="E72" s="12" t="s">
        <v>1837</v>
      </c>
      <c r="F72" s="2087"/>
      <c r="G72" s="2087"/>
      <c r="H72" s="62"/>
      <c r="I72" s="1485"/>
      <c r="J72" s="2855"/>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88">
        <f ca="1">C74+C78</f>
        <v>2579</v>
      </c>
      <c r="D73" s="50" t="s">
        <v>41</v>
      </c>
      <c r="E73" s="2086"/>
      <c r="F73" s="2087"/>
      <c r="G73" s="2087"/>
      <c r="H73" s="62"/>
      <c r="I73" s="1485"/>
      <c r="J73" s="2855"/>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6"/>
      <c r="F74" s="2087"/>
      <c r="G74" s="2087"/>
      <c r="H74" s="62"/>
      <c r="I74" s="1485"/>
      <c r="J74" s="2855"/>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6"/>
      <c r="D75" s="50" t="s">
        <v>41</v>
      </c>
      <c r="E75" s="64" t="s">
        <v>1841</v>
      </c>
      <c r="F75" s="2792" t="s">
        <v>1842</v>
      </c>
      <c r="G75" s="64" t="s">
        <v>1843</v>
      </c>
      <c r="H75" s="2793"/>
      <c r="I75" s="9"/>
      <c r="J75" s="285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4">
        <v>0.05</v>
      </c>
      <c r="E76" s="3546" t="s">
        <v>1845</v>
      </c>
      <c r="F76" s="3534"/>
      <c r="G76" s="3534"/>
      <c r="H76" s="3547"/>
      <c r="I76" s="1485"/>
      <c r="J76" s="2855"/>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5">
        <f>'数据-取费表'!E36+'数据-取费表'!E37</f>
        <v>3.0499999999999999E-2</v>
      </c>
      <c r="E77" s="12" t="s">
        <v>1847</v>
      </c>
      <c r="F77" s="2093"/>
      <c r="G77" s="1486" t="s">
        <v>1848</v>
      </c>
      <c r="H77" s="2088" t="str">
        <f>IF(G77="个人买卖住房","免征印花税"," ")</f>
        <v xml:space="preserve"> </v>
      </c>
      <c r="I77" s="1485"/>
      <c r="J77" s="2855"/>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6">
        <f ca="1">ROUND(D45*D78/(1+'数据-取费表'!F30),0)</f>
        <v>2579</v>
      </c>
      <c r="D78" s="2797">
        <f>'数据-取费表'!E31</f>
        <v>5.000000000000001E-3</v>
      </c>
      <c r="E78" s="3482" t="s">
        <v>1850</v>
      </c>
      <c r="F78" s="3483"/>
      <c r="G78" s="3483"/>
      <c r="H78" s="3503"/>
      <c r="I78" s="1487"/>
      <c r="J78" s="285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88">
        <f ca="1">C72-C73</f>
        <v>513252</v>
      </c>
      <c r="D79" s="50" t="s">
        <v>41</v>
      </c>
      <c r="E79" s="2086"/>
      <c r="F79" s="2087"/>
      <c r="G79" s="2087"/>
      <c r="H79" s="62"/>
      <c r="I79" s="1485"/>
      <c r="J79" s="285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8">
        <f ca="1">IF(C79&lt;=0,0,C79/C73)</f>
        <v>199.01202016285382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5"/>
      <c r="J80" s="2855"/>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799">
        <f ca="1">ROUND(IF(C79&lt;=0,0,IF(C80&gt;=200%,C79*60%-C73*35%,IF(C80&gt;=100%,C79*50%-C73*15%,IF(C80&gt;=50%,C79*40%-C73*5%,IF(C80&lt;50%,C79*30%,0))))),0)</f>
        <v>307049</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515" t="s">
        <v>1854</v>
      </c>
      <c r="B83" s="3516"/>
      <c r="C83" s="3516"/>
      <c r="D83" s="3516"/>
      <c r="E83" s="3516"/>
      <c r="F83" s="3516"/>
      <c r="G83" s="3516"/>
      <c r="H83" s="3516"/>
      <c r="I83" s="9"/>
      <c r="J83" s="285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513" t="s">
        <v>1815</v>
      </c>
      <c r="B84" s="3514"/>
      <c r="C84" s="1607"/>
      <c r="D84" s="1607" t="s">
        <v>1816</v>
      </c>
      <c r="E84" s="58" t="s">
        <v>1817</v>
      </c>
      <c r="F84" s="59"/>
      <c r="G84" s="59"/>
      <c r="H84" s="72"/>
      <c r="I84" s="9"/>
      <c r="J84" s="2856"/>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8">
        <f ca="1">ROUND(D45/(1+'数据-取费表'!F30),0)</f>
        <v>515831</v>
      </c>
      <c r="D85" s="50" t="s">
        <v>41</v>
      </c>
      <c r="E85" s="2086" t="s">
        <v>1837</v>
      </c>
      <c r="F85" s="2087"/>
      <c r="G85" s="2087"/>
      <c r="H85" s="73"/>
      <c r="I85" s="9"/>
      <c r="J85" s="285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88">
        <f ca="1">IF(H88="仅含出让金",C87+C90+C91+C92+C93+C94,C87+C91+C92+C93+C94)</f>
        <v>2579</v>
      </c>
      <c r="D86" s="2800"/>
      <c r="E86" s="2086"/>
      <c r="F86" s="2087"/>
      <c r="G86" s="2087"/>
      <c r="H86" s="73"/>
      <c r="I86" s="9"/>
      <c r="J86" s="285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6">
        <f>C88+C89</f>
        <v>0</v>
      </c>
      <c r="D87" s="2797"/>
      <c r="E87" s="2083"/>
      <c r="F87" s="2084"/>
      <c r="G87" s="2084"/>
      <c r="H87" s="2085"/>
      <c r="I87" s="9"/>
      <c r="J87" s="285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1"/>
      <c r="D88" s="2797"/>
      <c r="E88" s="74" t="s">
        <v>1857</v>
      </c>
      <c r="F88" s="2084"/>
      <c r="G88" s="75" t="s">
        <v>1858</v>
      </c>
      <c r="H88" s="1488"/>
      <c r="I88" s="9"/>
      <c r="J88" s="2856"/>
      <c r="K88" s="2972" t="s">
        <v>2818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6">
        <f>ROUND(C88*D89,0)</f>
        <v>0</v>
      </c>
      <c r="D89" s="2797">
        <f>'数据-取费表'!E36+'数据-取费表'!E37</f>
        <v>3.0499999999999999E-2</v>
      </c>
      <c r="E89" s="74" t="s">
        <v>1859</v>
      </c>
      <c r="F89" s="2084"/>
      <c r="G89" s="2084"/>
      <c r="H89" s="2085"/>
      <c r="I89" s="9"/>
      <c r="J89" s="285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1"/>
      <c r="D90" s="2797"/>
      <c r="E90" s="74" t="str">
        <f>IF(H88="-","土地取得成本中已包含该笔费用"," ")</f>
        <v xml:space="preserve"> </v>
      </c>
      <c r="F90" s="2084"/>
      <c r="G90" s="3522" t="s">
        <v>2734</v>
      </c>
      <c r="H90" s="3522"/>
      <c r="I90" s="9"/>
      <c r="J90" s="2856"/>
      <c r="K90" s="2972" t="s">
        <v>2819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6">
        <f>IF(H91="——",成本法!C33,I91)</f>
        <v>0</v>
      </c>
      <c r="D91" s="2797"/>
      <c r="E91" s="3482" t="s">
        <v>1862</v>
      </c>
      <c r="F91" s="3483"/>
      <c r="G91" s="3483"/>
      <c r="H91" s="1489" t="s">
        <v>1863</v>
      </c>
      <c r="I91" s="1490"/>
      <c r="J91" s="285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6">
        <f>ROUND((C87+C90+C91)*D92,0)</f>
        <v>0</v>
      </c>
      <c r="D92" s="2840">
        <v>0.1</v>
      </c>
      <c r="E92" s="3482" t="s">
        <v>1865</v>
      </c>
      <c r="F92" s="3483"/>
      <c r="G92" s="3483"/>
      <c r="H92" s="3503"/>
      <c r="I92" s="9"/>
      <c r="J92" s="2856"/>
      <c r="K92" s="2973" t="s">
        <v>2820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6">
        <f ca="1">ROUND(D45*D93/(1+'数据-取费表'!F30),0)</f>
        <v>2579</v>
      </c>
      <c r="D93" s="2797">
        <f>'数据-取费表'!E31</f>
        <v>5.000000000000001E-3</v>
      </c>
      <c r="E93" s="3482" t="s">
        <v>1850</v>
      </c>
      <c r="F93" s="3483"/>
      <c r="G93" s="3483"/>
      <c r="H93" s="3503"/>
      <c r="I93" s="9"/>
      <c r="J93" s="2856"/>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6">
        <f>ROUND((C87+C90+C91)*D94,0)</f>
        <v>0</v>
      </c>
      <c r="D94" s="2797">
        <v>0.2</v>
      </c>
      <c r="E94" s="3482" t="s">
        <v>1867</v>
      </c>
      <c r="F94" s="3483"/>
      <c r="G94" s="3483"/>
      <c r="H94" s="3503"/>
      <c r="I94" s="9"/>
      <c r="J94" s="2856"/>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88">
        <f ca="1">ROUND(C85-C86,0)</f>
        <v>513252</v>
      </c>
      <c r="D95" s="50" t="s">
        <v>41</v>
      </c>
      <c r="E95" s="2086"/>
      <c r="F95" s="2087"/>
      <c r="G95" s="2087"/>
      <c r="H95" s="73"/>
      <c r="I95" s="9"/>
      <c r="J95" s="285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8">
        <f ca="1">IF(C95&lt;=0,0,C95/C86)</f>
        <v>199.01202016285382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799">
        <f ca="1">ROUND(IF(C95&lt;=0,0,IF(C96&gt;=200%,C95*60%-C86*35%,IF(C96&gt;=100%,C95*50%-C86*15%,IF(C96&gt;=50%,C95*40%-C86*5%,IF(C96&lt;50%,C95*30%,0))))),0)</f>
        <v>307049</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500" t="s">
        <v>1869</v>
      </c>
      <c r="B99" s="3501"/>
      <c r="C99" s="3501"/>
      <c r="D99" s="3502"/>
      <c r="E99" s="1461"/>
      <c r="F99" s="3510" t="s">
        <v>1870</v>
      </c>
      <c r="G99" s="3511"/>
      <c r="H99" s="3511"/>
      <c r="I99" s="3512"/>
      <c r="J99" s="2859"/>
    </row>
    <row r="100" spans="1:36" ht="15">
      <c r="A100" s="3517" t="s">
        <v>1871</v>
      </c>
      <c r="B100" s="3518"/>
      <c r="C100" s="1307" t="str">
        <f>C4</f>
        <v>成本法</v>
      </c>
      <c r="D100" s="2807" t="str">
        <f>D4</f>
        <v>比较法-住宅</v>
      </c>
      <c r="E100" s="1461"/>
      <c r="F100" s="3519" t="s">
        <v>2778</v>
      </c>
      <c r="G100" s="3521"/>
      <c r="H100" s="3519" t="s">
        <v>2779</v>
      </c>
      <c r="I100" s="3520"/>
      <c r="J100" s="2860"/>
    </row>
    <row r="101" spans="1:36" ht="12.75">
      <c r="A101" s="3536" t="s">
        <v>2811</v>
      </c>
      <c r="B101" s="2305" t="str">
        <f>IF(H19="元","总价（元）","总价（万元）")</f>
        <v>总价（元）</v>
      </c>
      <c r="C101" s="1307">
        <f ca="1">C19</f>
        <v>731428</v>
      </c>
      <c r="D101" s="2807">
        <f ca="1">D19</f>
        <v>372045</v>
      </c>
      <c r="E101" s="1461"/>
      <c r="F101" s="3519" t="str">
        <f>项目基本情况!I1</f>
        <v>北京市房地产</v>
      </c>
      <c r="G101" s="3521"/>
      <c r="H101" s="3523">
        <f>项目基本情况!C12</f>
        <v>64.19</v>
      </c>
      <c r="I101" s="3520"/>
      <c r="J101" s="2860"/>
    </row>
    <row r="102" spans="1:36" ht="12.75">
      <c r="A102" s="3536"/>
      <c r="B102" s="2305" t="s">
        <v>2812</v>
      </c>
      <c r="C102" s="2808">
        <f ca="1">C20</f>
        <v>11395</v>
      </c>
      <c r="D102" s="2809">
        <f ca="1">D20</f>
        <v>5796</v>
      </c>
      <c r="E102" s="1461"/>
      <c r="F102" s="3506" t="s">
        <v>2808</v>
      </c>
      <c r="G102" s="3507"/>
      <c r="H102" s="2817" t="str">
        <f>C106</f>
        <v>总价（元）</v>
      </c>
      <c r="I102" s="2818">
        <f ca="1">H121</f>
        <v>515831</v>
      </c>
      <c r="J102" s="2860"/>
    </row>
    <row r="103" spans="1:36" ht="12.75">
      <c r="A103" s="3536" t="s">
        <v>2813</v>
      </c>
      <c r="B103" s="2243" t="str">
        <f>B101</f>
        <v>总价（元）</v>
      </c>
      <c r="C103" s="2812">
        <f ca="1">H121</f>
        <v>515831</v>
      </c>
      <c r="D103" s="2810"/>
      <c r="E103" s="1461"/>
      <c r="F103" s="3506"/>
      <c r="G103" s="3507"/>
      <c r="H103" s="2817" t="s">
        <v>2781</v>
      </c>
      <c r="I103" s="52">
        <f ca="1">I121</f>
        <v>8036</v>
      </c>
      <c r="J103" s="2844"/>
    </row>
    <row r="104" spans="1:36" ht="13.5" thickBot="1">
      <c r="A104" s="3537"/>
      <c r="B104" s="2814" t="s">
        <v>2812</v>
      </c>
      <c r="C104" s="2815">
        <f ca="1">I121</f>
        <v>8036</v>
      </c>
      <c r="D104" s="2816"/>
      <c r="E104" s="1461"/>
      <c r="F104" s="3506"/>
      <c r="G104" s="3507"/>
      <c r="H104" s="3538"/>
      <c r="I104" s="3539"/>
      <c r="J104" s="2861"/>
    </row>
    <row r="105" spans="1:36" ht="15">
      <c r="A105" s="3500" t="s">
        <v>1872</v>
      </c>
      <c r="B105" s="3501"/>
      <c r="C105" s="3501"/>
      <c r="D105" s="3502"/>
      <c r="E105" s="1461"/>
      <c r="F105" s="3542" t="s">
        <v>2782</v>
      </c>
      <c r="G105" s="3543"/>
      <c r="H105" s="2819" t="str">
        <f>C108</f>
        <v>总额（元）</v>
      </c>
      <c r="I105" s="2818">
        <f>SUMIF(I106:I108,"&lt;9E307")</f>
        <v>0</v>
      </c>
      <c r="J105" s="2860"/>
    </row>
    <row r="106" spans="1:36" ht="14.25">
      <c r="A106" s="3506" t="s">
        <v>2805</v>
      </c>
      <c r="B106" s="3507"/>
      <c r="C106" s="2817" t="str">
        <f>B101</f>
        <v>总价（元）</v>
      </c>
      <c r="D106" s="2818">
        <f ca="1">H121</f>
        <v>515831</v>
      </c>
      <c r="E106" s="1461"/>
      <c r="F106" s="3508" t="s">
        <v>2783</v>
      </c>
      <c r="G106" s="3509"/>
      <c r="H106" s="2819" t="str">
        <f>C109</f>
        <v>总额（元）</v>
      </c>
      <c r="I106" s="2820">
        <f>IF(D36="同一抵押权人同一抵押物续贷",C36&amp;"（续贷，未扣减，详见特别提示）",C36)</f>
        <v>0</v>
      </c>
      <c r="J106" s="2844"/>
      <c r="L106" s="1464" t="str">
        <f>IF(D123=0,"本次评估不存在"&amp;A123&amp;"。","本次评估"&amp;A123&amp;"为"&amp;D123&amp;"元人民币。")</f>
        <v>本次评估不存在——。</v>
      </c>
      <c r="M106" s="1461"/>
      <c r="N106" s="1461"/>
      <c r="O106" s="1461"/>
      <c r="P106" s="1461"/>
      <c r="Q106" s="1461"/>
    </row>
    <row r="107" spans="1:36" ht="12.75">
      <c r="A107" s="3506"/>
      <c r="B107" s="3507"/>
      <c r="C107" s="2817" t="s">
        <v>2806</v>
      </c>
      <c r="D107" s="52">
        <f ca="1">I121</f>
        <v>8036</v>
      </c>
      <c r="E107" s="1461"/>
      <c r="F107" s="3508" t="s">
        <v>2784</v>
      </c>
      <c r="G107" s="3509"/>
      <c r="H107" s="2819" t="str">
        <f>C110</f>
        <v>总额（元）</v>
      </c>
      <c r="I107" s="52">
        <f>C37</f>
        <v>0</v>
      </c>
      <c r="J107" s="2844"/>
    </row>
    <row r="108" spans="1:36" ht="12.75">
      <c r="A108" s="3577" t="s">
        <v>2782</v>
      </c>
      <c r="B108" s="3578"/>
      <c r="C108" s="2819" t="str">
        <f>IF(H19="元","总额（元）","总额（万元）")</f>
        <v>总额（元）</v>
      </c>
      <c r="D108" s="2818">
        <f>IF(D36="正常操作",I106+I107+I108,I107+I108)</f>
        <v>0</v>
      </c>
      <c r="E108" s="1461"/>
      <c r="F108" s="3508" t="s">
        <v>2809</v>
      </c>
      <c r="G108" s="3509"/>
      <c r="H108" s="2819" t="str">
        <f>C111</f>
        <v>总额（元）</v>
      </c>
      <c r="I108" s="52">
        <f>C38</f>
        <v>0</v>
      </c>
      <c r="J108" s="2844"/>
    </row>
    <row r="109" spans="1:36" ht="12.75">
      <c r="A109" s="3508" t="s">
        <v>2783</v>
      </c>
      <c r="B109" s="3509"/>
      <c r="C109" s="2819" t="str">
        <f>C108</f>
        <v>总额（元）</v>
      </c>
      <c r="D109" s="52">
        <f>IF(D36="同一抵押权人同一抵押物续贷",C36&amp;"（未扣减，详见特别提示）",C36)</f>
        <v>0</v>
      </c>
      <c r="E109" s="1461"/>
      <c r="F109" s="3506"/>
      <c r="G109" s="3507"/>
      <c r="H109" s="3540"/>
      <c r="I109" s="3541"/>
      <c r="J109" s="2862"/>
    </row>
    <row r="110" spans="1:36" ht="28.5" customHeight="1">
      <c r="A110" s="3508" t="s">
        <v>2807</v>
      </c>
      <c r="B110" s="3509"/>
      <c r="C110" s="2819" t="str">
        <f>C108</f>
        <v>总额（元）</v>
      </c>
      <c r="D110" s="52">
        <f>C37</f>
        <v>0</v>
      </c>
      <c r="E110" s="1461"/>
      <c r="F110" s="3489" t="str">
        <f>IF(项目基本情况!F5="已注销","——","3.房地产抵押价值")</f>
        <v>3.房地产抵押价值</v>
      </c>
      <c r="G110" s="3490"/>
      <c r="H110" s="2805" t="str">
        <f>C112</f>
        <v>总价（元）</v>
      </c>
      <c r="I110" s="2818">
        <f ca="1">IF(F110="——","——",I102-I105)</f>
        <v>515831</v>
      </c>
      <c r="J110" s="2860"/>
    </row>
    <row r="111" spans="1:36" ht="12.75">
      <c r="A111" s="3508" t="s">
        <v>2786</v>
      </c>
      <c r="B111" s="3509"/>
      <c r="C111" s="2819" t="str">
        <f>C108</f>
        <v>总额（元）</v>
      </c>
      <c r="D111" s="52">
        <f>C38</f>
        <v>0</v>
      </c>
      <c r="E111" s="1461"/>
      <c r="F111" s="3491"/>
      <c r="G111" s="3492"/>
      <c r="H111" s="2817" t="s">
        <v>2781</v>
      </c>
      <c r="I111" s="2821">
        <f ca="1">D113</f>
        <v>8036</v>
      </c>
      <c r="J111" s="2863"/>
    </row>
    <row r="112" spans="1:36" ht="26.25" customHeight="1">
      <c r="A112" s="3506" t="str">
        <f>IF(项目基本情况!F5="已注销","——","3.房地产抵押价值")</f>
        <v>3.房地产抵押价值</v>
      </c>
      <c r="B112" s="3507"/>
      <c r="C112" s="2817" t="str">
        <f>B101</f>
        <v>总价（元）</v>
      </c>
      <c r="D112" s="2818">
        <f ca="1">IF(A112="——","——",D106-D108)</f>
        <v>515831</v>
      </c>
      <c r="E112" s="1461"/>
      <c r="F112" s="3489" t="str">
        <f>IF(项目基本情况!F5="已注销及未注销","4.抵押担保权已注销时的房地产抵押价值",IF(项目基本情况!F5="已注销","3.抵押担保权已注销时的房地产抵押价值","——"))</f>
        <v>——</v>
      </c>
      <c r="G112" s="3490"/>
      <c r="H112" s="2805" t="str">
        <f>C114</f>
        <v>总价（元）</v>
      </c>
      <c r="I112" s="2818" t="str">
        <f>IF(F112="——","——",I102-I107-I108)</f>
        <v>——</v>
      </c>
      <c r="J112" s="2860"/>
    </row>
    <row r="113" spans="1:16" ht="12.75">
      <c r="A113" s="3506"/>
      <c r="B113" s="3507"/>
      <c r="C113" s="2817" t="s">
        <v>2774</v>
      </c>
      <c r="D113" s="52">
        <f ca="1">ROUND(IF(D112=D106,D107,IF(H19="元",D112/项目基本情况!C12,D112*10000/项目基本情况!C12)),0)</f>
        <v>8036</v>
      </c>
      <c r="E113" s="1461"/>
      <c r="F113" s="3491"/>
      <c r="G113" s="3492"/>
      <c r="H113" s="2817" t="s">
        <v>2810</v>
      </c>
      <c r="I113" s="52" t="str">
        <f>D115</f>
        <v>——</v>
      </c>
      <c r="J113" s="2844"/>
    </row>
    <row r="114" spans="1:16" ht="12.75">
      <c r="A114" s="3506" t="str">
        <f>IF(项目基本情况!F5="已注销及未注销","4.抵押担保权已注销时的房地产抵押价值",IF(项目基本情况!F5="已注销","3.抵押担保权已注销时的房地产抵押价值","——"))</f>
        <v>——</v>
      </c>
      <c r="B114" s="3507"/>
      <c r="C114" s="2817" t="str">
        <f>B101</f>
        <v>总价（元）</v>
      </c>
      <c r="D114" s="2818" t="str">
        <f>IF(A114="——","——",D106-D110-D111)</f>
        <v>——</v>
      </c>
      <c r="E114" s="1461"/>
      <c r="F114" s="3489" t="str">
        <f>IF(项目基本情况!G5="抵押净值",IF(OR(项目基本情况!F5="已注销",项目基本情况!F5="房地产抵押价值"),"4.抵押净值","5.抵押净值"),"——")</f>
        <v>——</v>
      </c>
      <c r="G114" s="3490"/>
      <c r="H114" s="2817" t="str">
        <f>C116</f>
        <v>总价（元）</v>
      </c>
      <c r="I114" s="2818" t="str">
        <f>IF(F114="——","——",O59)</f>
        <v>——</v>
      </c>
      <c r="J114" s="2860"/>
    </row>
    <row r="115" spans="1:16" ht="13.5" thickBot="1">
      <c r="A115" s="3506"/>
      <c r="B115" s="3507"/>
      <c r="C115" s="2817" t="s">
        <v>2774</v>
      </c>
      <c r="D115" s="52" t="str">
        <f>IF(A114="——","——",ROUND(IF(D114=D106,D107,IF(H19="元",D114/项目基本情况!C12,D114*10000/项目基本情况!C12)),0))</f>
        <v>——</v>
      </c>
      <c r="E115" s="1461"/>
      <c r="F115" s="3569"/>
      <c r="G115" s="3570"/>
      <c r="H115" s="2822" t="s">
        <v>2774</v>
      </c>
      <c r="I115" s="2806" t="str">
        <f ca="1">D117</f>
        <v>——</v>
      </c>
      <c r="J115" s="2844"/>
    </row>
    <row r="116" spans="1:16" ht="15.75">
      <c r="A116" s="3506" t="str">
        <f>IF(项目基本情况!G5="抵押净值",IF(OR(项目基本情况!F5="已注销",项目基本情况!F5="房地产抵押价值"),"4.抵押净值","5.抵押净值"),"——")</f>
        <v>——</v>
      </c>
      <c r="B116" s="3507"/>
      <c r="C116" s="2817" t="str">
        <f>B101</f>
        <v>总价（元）</v>
      </c>
      <c r="D116" s="2818" t="str">
        <f>IF(A116="——","——",O59)</f>
        <v>——</v>
      </c>
      <c r="E116" s="1461"/>
      <c r="F116" s="3484"/>
      <c r="G116" s="3484"/>
      <c r="H116" s="3525"/>
      <c r="I116" s="3525"/>
      <c r="J116" s="2864"/>
      <c r="O116" s="32"/>
      <c r="P116" s="32"/>
    </row>
    <row r="117" spans="1:16" ht="13.5" thickBot="1">
      <c r="A117" s="3575"/>
      <c r="B117" s="3576"/>
      <c r="C117" s="2822" t="s">
        <v>2774</v>
      </c>
      <c r="D117" s="2806" t="str">
        <f ca="1">IF(D116=D112,D113,IF(A116="——","——",O61))</f>
        <v>——</v>
      </c>
      <c r="E117" s="1461"/>
      <c r="F117" s="3568" t="str">
        <f>IF(B32="总价","（以上估价结果中单价为总价除以建筑面积得出）","（以上估价结果中总价为楼面单价乘以建筑面积得出）")</f>
        <v>（以上估价结果中总价为楼面单价乘以建筑面积得出）</v>
      </c>
      <c r="G117" s="3568"/>
      <c r="H117" s="3568"/>
      <c r="I117" s="3568"/>
      <c r="J117" s="2865"/>
      <c r="O117" s="32"/>
      <c r="P117" s="32"/>
    </row>
    <row r="118" spans="1:16" ht="15">
      <c r="A118" s="3526" t="s">
        <v>1873</v>
      </c>
      <c r="B118" s="3527"/>
      <c r="C118" s="3527"/>
      <c r="D118" s="3527"/>
      <c r="E118" s="3527"/>
      <c r="F118" s="3527"/>
      <c r="G118" s="3527"/>
      <c r="H118" s="3527"/>
      <c r="I118" s="3527"/>
      <c r="J118" s="2866"/>
    </row>
    <row r="119" spans="1:16" ht="12.75">
      <c r="A119" s="3499" t="s">
        <v>2792</v>
      </c>
      <c r="B119" s="3497" t="s">
        <v>2802</v>
      </c>
      <c r="C119" s="3497" t="s">
        <v>2803</v>
      </c>
      <c r="D119" s="3504" t="s">
        <v>2794</v>
      </c>
      <c r="E119" s="3505"/>
      <c r="F119" s="3495" t="s">
        <v>2804</v>
      </c>
      <c r="G119" s="3495"/>
      <c r="H119" s="3495" t="s">
        <v>2795</v>
      </c>
      <c r="I119" s="3496"/>
      <c r="J119" s="2844"/>
    </row>
    <row r="120" spans="1:16" ht="12.75">
      <c r="A120" s="3499"/>
      <c r="B120" s="3498"/>
      <c r="C120" s="3498"/>
      <c r="D120" s="2090" t="s">
        <v>2796</v>
      </c>
      <c r="E120" s="2090" t="s">
        <v>2801</v>
      </c>
      <c r="F120" s="2090" t="s">
        <v>2796</v>
      </c>
      <c r="G120" s="2090" t="s">
        <v>2797</v>
      </c>
      <c r="H120" s="2090" t="s">
        <v>2796</v>
      </c>
      <c r="I120" s="52" t="s">
        <v>2797</v>
      </c>
      <c r="J120" s="2844"/>
    </row>
    <row r="121" spans="1:16" ht="12.75">
      <c r="A121" s="2080" t="str">
        <f>项目基本情况!I1</f>
        <v>北京市房地产</v>
      </c>
      <c r="B121" s="2090">
        <f>项目基本情况!C12</f>
        <v>64.19</v>
      </c>
      <c r="C121" s="2090">
        <f>项目基本情况!C13</f>
        <v>0</v>
      </c>
      <c r="D121" s="2090">
        <f ca="1">ROUND(IF(B32="总价",C34,IF('数据-取费表'!B3="万元",E121*B121/10000,E121*B121)),0)</f>
        <v>1041996</v>
      </c>
      <c r="E121" s="2090">
        <f ca="1">ROUND(IF(B32="楼面单价",C34,IF(H19="元",D121/B121,D121*10000/B121)),0)</f>
        <v>16233</v>
      </c>
      <c r="F121" s="2090">
        <f ca="1">ROUND(IF(B32="总价",C35,IF('数据-取费表'!B3="万元",G121*B121/10000,G121*B121)),0)</f>
        <v>-526165</v>
      </c>
      <c r="G121" s="2090">
        <f ca="1">ROUND(IF(B32="楼面单价",C35,IF(H19="元",F121/B121,F121*10000/B121)),0)</f>
        <v>-8197</v>
      </c>
      <c r="H121" s="2090">
        <f ca="1">ROUND(IF(B32="总价",C32,IF('数据-取费表'!B3="万元",I121*B121/10000,I121*B121)),0)</f>
        <v>515831</v>
      </c>
      <c r="I121" s="52">
        <f ca="1">ROUND(IF(B32="楼面单价",C32,IF(H19="元",H121/B121,H121*10000/B121)),0)</f>
        <v>8036</v>
      </c>
      <c r="J121" s="2844"/>
    </row>
    <row r="122" spans="1:16" ht="12.75">
      <c r="A122" s="3499" t="s">
        <v>2798</v>
      </c>
      <c r="B122" s="3495"/>
      <c r="C122" s="3495"/>
      <c r="D122" s="3530" t="str">
        <f ca="1">IF(H19="元",NUMBERSTRING(INT(D121),2)&amp;"元整",NUMBERSTRING(INT(D121*10000),2)&amp;"元整")</f>
        <v>壹佰零肆万壹仟玖佰玖拾陆元整</v>
      </c>
      <c r="E122" s="3531"/>
      <c r="F122" s="3530" t="e">
        <f ca="1">IF(H19="元",NUMBERSTRING(INT(F121),2)&amp;"元整",NUMBERSTRING(INT(F121*10000),2)&amp;"元整")</f>
        <v>#NUM!</v>
      </c>
      <c r="G122" s="3531"/>
      <c r="H122" s="3530" t="str">
        <f ca="1">IF(H19="元",NUMBERSTRING(INT(H121),2)&amp;"元整",NUMBERSTRING(INT(H121*10000),2)&amp;"元整")</f>
        <v>伍拾壹万伍仟捌佰叁拾壹元整</v>
      </c>
      <c r="I122" s="3579"/>
      <c r="J122" s="2867"/>
    </row>
    <row r="123" spans="1:16" ht="12.75">
      <c r="A123" s="3519" t="str">
        <f>IF(项目基本情况!D5="房地产市场价值","——",MID(A108,3,LEN(A108)-2))</f>
        <v>——</v>
      </c>
      <c r="B123" s="3532"/>
      <c r="C123" s="3521"/>
      <c r="D123" s="3523">
        <f>I105</f>
        <v>0</v>
      </c>
      <c r="E123" s="3532"/>
      <c r="F123" s="3532"/>
      <c r="G123" s="3532"/>
      <c r="H123" s="3532"/>
      <c r="I123" s="3520"/>
      <c r="J123" s="2860"/>
    </row>
    <row r="124" spans="1:16" ht="12.75">
      <c r="A124" s="3533" t="s">
        <v>2798</v>
      </c>
      <c r="B124" s="3534"/>
      <c r="C124" s="3535"/>
      <c r="D124" s="3571">
        <f>H109</f>
        <v>0</v>
      </c>
      <c r="E124" s="3572"/>
      <c r="F124" s="3572"/>
      <c r="G124" s="3572"/>
      <c r="H124" s="3572"/>
      <c r="I124" s="3573"/>
      <c r="J124" s="2868"/>
    </row>
    <row r="125" spans="1:16" ht="12.75">
      <c r="A125" s="3506" t="str">
        <f>IF(项目基本情况!D5="房地产市场价值","——",MID(A112,3,LEN(A112)-2))</f>
        <v>——</v>
      </c>
      <c r="B125" s="3507"/>
      <c r="C125" s="3507"/>
      <c r="D125" s="3523">
        <f ca="1">I110</f>
        <v>515831</v>
      </c>
      <c r="E125" s="3532"/>
      <c r="F125" s="3532"/>
      <c r="G125" s="3532"/>
      <c r="H125" s="3532"/>
      <c r="I125" s="3520"/>
      <c r="J125" s="2860"/>
    </row>
    <row r="126" spans="1:16" ht="12.75">
      <c r="A126" s="3499" t="s">
        <v>2798</v>
      </c>
      <c r="B126" s="3495"/>
      <c r="C126" s="3495"/>
      <c r="D126" s="3571">
        <f ca="1">I111</f>
        <v>8036</v>
      </c>
      <c r="E126" s="3572"/>
      <c r="F126" s="3572"/>
      <c r="G126" s="3572"/>
      <c r="H126" s="3572"/>
      <c r="I126" s="3573"/>
      <c r="J126" s="2868"/>
    </row>
    <row r="127" spans="1:16" ht="13.5" thickBot="1">
      <c r="A127" s="3506" t="str">
        <f>IF(项目基本情况!D5="房地产市场价值","——",MID(A114,3,LEN(A114)-2))</f>
        <v>——</v>
      </c>
      <c r="B127" s="3507"/>
      <c r="C127" s="3507"/>
      <c r="D127" s="3479" t="str">
        <f>I112</f>
        <v>——</v>
      </c>
      <c r="E127" s="3480"/>
      <c r="F127" s="3480"/>
      <c r="G127" s="3480"/>
      <c r="H127" s="3480"/>
      <c r="I127" s="3481"/>
      <c r="J127" s="2860"/>
    </row>
    <row r="128" spans="1:16" ht="14.25" thickTop="1" thickBot="1">
      <c r="A128" s="3499" t="s">
        <v>2798</v>
      </c>
      <c r="B128" s="3495"/>
      <c r="C128" s="3546"/>
      <c r="D128" s="3524" t="str">
        <f>I113</f>
        <v>——</v>
      </c>
      <c r="E128" s="3524"/>
      <c r="F128" s="3524"/>
      <c r="G128" s="3524"/>
      <c r="H128" s="3524"/>
      <c r="I128" s="3524"/>
      <c r="J128" s="2868"/>
    </row>
    <row r="129" spans="1:10" ht="14.25" thickTop="1" thickBot="1">
      <c r="A129" s="3506" t="str">
        <f>IF(项目基本情况!D5="房地产市场价值","——",MID(F114,3,LEN(F114)-2))</f>
        <v>——</v>
      </c>
      <c r="B129" s="3507"/>
      <c r="C129" s="3523"/>
      <c r="D129" s="3574" t="str">
        <f>I114</f>
        <v>——</v>
      </c>
      <c r="E129" s="3574"/>
      <c r="F129" s="3574"/>
      <c r="G129" s="3574"/>
      <c r="H129" s="3574"/>
      <c r="I129" s="3574"/>
      <c r="J129" s="2860"/>
    </row>
    <row r="130" spans="1:10" ht="14.25" thickTop="1" thickBot="1">
      <c r="A130" s="3562" t="s">
        <v>2798</v>
      </c>
      <c r="B130" s="3563"/>
      <c r="C130" s="3563"/>
      <c r="D130" s="3580">
        <f>H116</f>
        <v>0</v>
      </c>
      <c r="E130" s="3581"/>
      <c r="F130" s="3581"/>
      <c r="G130" s="3581"/>
      <c r="H130" s="3581"/>
      <c r="I130" s="3582"/>
      <c r="J130" s="2868"/>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69"/>
    </row>
    <row r="132" spans="1:10" ht="13.5" thickBot="1">
      <c r="A132" s="3567" t="str">
        <f>IF(B32="总价","（以上估价结果中楼面单价为总价除以建筑面积得出）","（以上估价结果中总价为楼面单价乘以建筑面积得出）")</f>
        <v>（以上估价结果中总价为楼面单价乘以建筑面积得出）</v>
      </c>
      <c r="B132" s="3567"/>
      <c r="C132" s="3567"/>
      <c r="D132" s="3567"/>
      <c r="E132" s="3567"/>
      <c r="F132" s="3567"/>
      <c r="G132" s="3567"/>
      <c r="H132" s="3567"/>
      <c r="I132" s="3567"/>
      <c r="J132" s="2862"/>
    </row>
    <row r="133" spans="1:10" ht="21.75" customHeight="1">
      <c r="A133" s="1491" t="s">
        <v>1874</v>
      </c>
      <c r="B133" s="1492"/>
      <c r="C133" s="1493" t="s">
        <v>1875</v>
      </c>
      <c r="D133" s="1494"/>
      <c r="E133" s="1494"/>
      <c r="F133" s="1494"/>
      <c r="G133" s="1494"/>
      <c r="H133" s="1495"/>
      <c r="I133" s="1496"/>
      <c r="J133" s="2870"/>
    </row>
    <row r="134" spans="1:10" ht="21.75" customHeight="1">
      <c r="A134" s="1497">
        <v>1</v>
      </c>
      <c r="B134" s="1498"/>
      <c r="C134" s="1498"/>
      <c r="D134" s="1494"/>
      <c r="E134" s="1494"/>
      <c r="F134" s="1494"/>
      <c r="G134" s="1494"/>
      <c r="H134" s="1495"/>
      <c r="I134" s="1496"/>
      <c r="J134" s="2870"/>
    </row>
    <row r="135" spans="1:10" ht="21.75" customHeight="1">
      <c r="A135" s="1497">
        <v>2</v>
      </c>
      <c r="B135" s="1498"/>
      <c r="C135" s="1498"/>
      <c r="D135" s="1494"/>
      <c r="E135" s="1494"/>
      <c r="F135" s="1494"/>
      <c r="G135" s="1494"/>
      <c r="H135" s="1495"/>
      <c r="I135" s="1496"/>
      <c r="J135" s="2870"/>
    </row>
    <row r="136" spans="1:10" ht="21.75" customHeight="1">
      <c r="A136" s="1497">
        <v>3</v>
      </c>
      <c r="B136" s="1498"/>
      <c r="C136" s="1498"/>
      <c r="D136" s="1494"/>
      <c r="E136" s="1494"/>
      <c r="F136" s="32"/>
      <c r="G136" s="32"/>
      <c r="H136" s="32"/>
      <c r="I136" s="32"/>
      <c r="J136" s="2871"/>
    </row>
    <row r="137" spans="1:10" ht="21.75" customHeight="1">
      <c r="A137" s="1499"/>
      <c r="B137" s="1500"/>
      <c r="C137" s="1500"/>
      <c r="D137" s="1501"/>
      <c r="E137" s="1501"/>
      <c r="F137" s="1501"/>
      <c r="G137" s="1501"/>
      <c r="H137" s="1502"/>
      <c r="I137" s="1503"/>
      <c r="J137" s="2870"/>
    </row>
    <row r="138" spans="1:10" ht="21.75" customHeight="1">
      <c r="A138" s="1498"/>
      <c r="B138" s="1498"/>
      <c r="C138" s="1498"/>
      <c r="D138" s="1494"/>
      <c r="E138" s="1494"/>
      <c r="F138" s="1494"/>
      <c r="G138" s="1494"/>
      <c r="H138" s="1495"/>
      <c r="I138" s="659"/>
      <c r="J138" s="2871"/>
    </row>
    <row r="139" spans="1:10" ht="21.75" customHeight="1">
      <c r="A139" s="659"/>
      <c r="B139" s="659"/>
      <c r="C139" s="659"/>
      <c r="D139" s="659"/>
      <c r="E139" s="659"/>
      <c r="F139" s="1504" t="s">
        <v>1876</v>
      </c>
      <c r="G139" s="1505"/>
      <c r="H139" s="1505"/>
      <c r="I139" s="1506" t="s">
        <v>1877</v>
      </c>
      <c r="J139" s="2872"/>
    </row>
    <row r="140" spans="1:10" ht="21.75" customHeight="1">
      <c r="A140" s="659"/>
      <c r="B140" s="1507" t="s">
        <v>1878</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5"/>
      <c r="C142" s="1505"/>
      <c r="D142" s="1505"/>
      <c r="E142" s="1505"/>
      <c r="F142" s="1505"/>
      <c r="G142" s="1505"/>
      <c r="H142" s="1505"/>
      <c r="I142" s="1506" t="s">
        <v>1879</v>
      </c>
      <c r="J142" s="2872"/>
    </row>
    <row r="143" spans="1:10" ht="21.75" customHeight="1">
      <c r="A143" s="659"/>
      <c r="B143" s="1507" t="s">
        <v>1880</v>
      </c>
      <c r="C143" s="659"/>
      <c r="D143" s="659"/>
      <c r="E143" s="659"/>
      <c r="F143" s="659"/>
      <c r="G143" s="659"/>
      <c r="H143" s="659"/>
      <c r="I143" s="659"/>
      <c r="J143" s="2871"/>
    </row>
    <row r="144" spans="1:10" ht="21.75" customHeight="1">
      <c r="A144" s="659"/>
      <c r="B144" s="1507"/>
      <c r="C144" s="659"/>
      <c r="D144" s="659"/>
      <c r="E144" s="659"/>
      <c r="F144" s="659"/>
      <c r="G144" s="659"/>
      <c r="H144" s="659"/>
      <c r="I144" s="659"/>
      <c r="J144" s="2871"/>
    </row>
    <row r="145" spans="1:36" ht="21.75" customHeight="1">
      <c r="A145" s="659"/>
      <c r="B145" s="1505"/>
      <c r="C145" s="1505"/>
      <c r="D145" s="1505"/>
      <c r="E145" s="1505"/>
      <c r="F145" s="1505"/>
      <c r="G145" s="1505"/>
      <c r="H145" s="1505"/>
      <c r="I145" s="1506" t="s">
        <v>1879</v>
      </c>
      <c r="J145" s="2872"/>
    </row>
    <row r="146" spans="1:36" ht="21.75" customHeight="1">
      <c r="A146" s="659"/>
      <c r="B146" s="1507"/>
      <c r="C146" s="1508"/>
      <c r="D146" s="1509"/>
      <c r="E146" s="1509"/>
      <c r="F146" s="1510"/>
      <c r="G146" s="659"/>
      <c r="H146" s="659"/>
      <c r="I146" s="659"/>
      <c r="J146" s="2871"/>
    </row>
    <row r="147" spans="1:36" s="32" customFormat="1" ht="21.75" customHeight="1">
      <c r="A147" s="659"/>
      <c r="B147" s="1507"/>
      <c r="C147" s="1508"/>
      <c r="D147" s="1509"/>
      <c r="E147" s="150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589" t="s">
        <v>1882</v>
      </c>
      <c r="B2" s="3589"/>
      <c r="C2" s="3589"/>
      <c r="D2" s="3589"/>
      <c r="E2" s="3589"/>
      <c r="F2" s="3589"/>
      <c r="G2" s="3589"/>
      <c r="H2" s="3589"/>
      <c r="I2" s="3589"/>
      <c r="J2" s="2873"/>
    </row>
    <row r="3" spans="1:15" ht="12.75">
      <c r="A3" s="3549" t="s">
        <v>1710</v>
      </c>
      <c r="B3" s="3550"/>
      <c r="C3" s="3550"/>
      <c r="D3" s="3550"/>
      <c r="E3" s="3550"/>
      <c r="F3" s="3550"/>
      <c r="G3" s="3550"/>
      <c r="H3" s="3550"/>
      <c r="I3" s="3550"/>
      <c r="J3" s="2843"/>
    </row>
    <row r="4" spans="1:15" ht="14.25">
      <c r="A4" s="2711" t="s">
        <v>1711</v>
      </c>
      <c r="B4" s="2711" t="s">
        <v>1712</v>
      </c>
      <c r="C4" s="2712"/>
      <c r="D4" s="2712"/>
      <c r="E4" s="3546" t="s">
        <v>1883</v>
      </c>
      <c r="F4" s="3534"/>
      <c r="G4" s="3534"/>
      <c r="H4" s="3534"/>
      <c r="I4" s="3535"/>
      <c r="J4" s="2844"/>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545" t="s">
        <v>1714</v>
      </c>
      <c r="B5" s="3545">
        <v>25</v>
      </c>
      <c r="C5" s="3551"/>
      <c r="D5" s="3548"/>
      <c r="E5" s="12" t="s">
        <v>1715</v>
      </c>
      <c r="F5" s="2087"/>
      <c r="G5" s="2087"/>
      <c r="H5" s="2087"/>
      <c r="I5" s="2082"/>
      <c r="J5" s="2844"/>
    </row>
    <row r="6" spans="1:15" ht="12.75">
      <c r="A6" s="3545"/>
      <c r="B6" s="3545"/>
      <c r="C6" s="3552"/>
      <c r="D6" s="3548"/>
      <c r="E6" s="12" t="s">
        <v>1716</v>
      </c>
      <c r="F6" s="2087"/>
      <c r="G6" s="2087"/>
      <c r="H6" s="2087"/>
      <c r="I6" s="2082"/>
      <c r="J6" s="2844"/>
    </row>
    <row r="7" spans="1:15" ht="12.75">
      <c r="A7" s="3545"/>
      <c r="B7" s="3545"/>
      <c r="C7" s="3553"/>
      <c r="D7" s="3548"/>
      <c r="E7" s="12" t="s">
        <v>1717</v>
      </c>
      <c r="F7" s="2087"/>
      <c r="G7" s="2087"/>
      <c r="H7" s="2087"/>
      <c r="I7" s="2082"/>
      <c r="J7" s="2844"/>
    </row>
    <row r="8" spans="1:15" ht="12.75">
      <c r="A8" s="3545" t="s">
        <v>1718</v>
      </c>
      <c r="B8" s="3545">
        <v>15</v>
      </c>
      <c r="C8" s="3551"/>
      <c r="D8" s="3548"/>
      <c r="E8" s="12" t="s">
        <v>1719</v>
      </c>
      <c r="F8" s="2087"/>
      <c r="G8" s="2087"/>
      <c r="H8" s="2087"/>
      <c r="I8" s="2082"/>
      <c r="J8" s="2844"/>
    </row>
    <row r="9" spans="1:15" ht="12.75">
      <c r="A9" s="3545"/>
      <c r="B9" s="3545"/>
      <c r="C9" s="3553"/>
      <c r="D9" s="3548"/>
      <c r="E9" s="12" t="s">
        <v>1720</v>
      </c>
      <c r="F9" s="2087"/>
      <c r="G9" s="2087"/>
      <c r="H9" s="2087"/>
      <c r="I9" s="2082"/>
      <c r="J9" s="2844"/>
    </row>
    <row r="10" spans="1:15" ht="12.75">
      <c r="A10" s="3545" t="s">
        <v>1721</v>
      </c>
      <c r="B10" s="3545">
        <v>15</v>
      </c>
      <c r="C10" s="3551"/>
      <c r="D10" s="3548"/>
      <c r="E10" s="12" t="s">
        <v>1722</v>
      </c>
      <c r="F10" s="2087"/>
      <c r="G10" s="2087"/>
      <c r="H10" s="2087"/>
      <c r="I10" s="2082"/>
      <c r="J10" s="2844"/>
    </row>
    <row r="11" spans="1:15" ht="12.75">
      <c r="A11" s="3545"/>
      <c r="B11" s="3545"/>
      <c r="C11" s="3553"/>
      <c r="D11" s="3548"/>
      <c r="E11" s="12" t="s">
        <v>1723</v>
      </c>
      <c r="F11" s="2087"/>
      <c r="G11" s="2087"/>
      <c r="H11" s="2087"/>
      <c r="I11" s="2082"/>
      <c r="J11" s="2844"/>
    </row>
    <row r="12" spans="1:15" ht="12.75">
      <c r="A12" s="3545" t="s">
        <v>1724</v>
      </c>
      <c r="B12" s="3545">
        <v>15</v>
      </c>
      <c r="C12" s="3551"/>
      <c r="D12" s="3548"/>
      <c r="E12" s="12" t="s">
        <v>1725</v>
      </c>
      <c r="F12" s="2087"/>
      <c r="G12" s="2087"/>
      <c r="H12" s="2087"/>
      <c r="I12" s="2082"/>
      <c r="J12" s="2844"/>
    </row>
    <row r="13" spans="1:15" ht="12.75">
      <c r="A13" s="3545"/>
      <c r="B13" s="3545"/>
      <c r="C13" s="3553"/>
      <c r="D13" s="3548"/>
      <c r="E13" s="12" t="s">
        <v>1726</v>
      </c>
      <c r="F13" s="2087"/>
      <c r="G13" s="2087"/>
      <c r="H13" s="2087"/>
      <c r="I13" s="2082"/>
      <c r="J13" s="2844"/>
    </row>
    <row r="14" spans="1:15" ht="12.75">
      <c r="A14" s="3545" t="s">
        <v>1727</v>
      </c>
      <c r="B14" s="3545">
        <v>30</v>
      </c>
      <c r="C14" s="3551"/>
      <c r="D14" s="3548"/>
      <c r="E14" s="12" t="s">
        <v>1728</v>
      </c>
      <c r="F14" s="2087"/>
      <c r="G14" s="2087"/>
      <c r="H14" s="2087"/>
      <c r="I14" s="2082"/>
      <c r="J14" s="2844"/>
    </row>
    <row r="15" spans="1:15" ht="12.75">
      <c r="A15" s="3545"/>
      <c r="B15" s="3545"/>
      <c r="C15" s="3552"/>
      <c r="D15" s="3548"/>
      <c r="E15" s="12" t="s">
        <v>1729</v>
      </c>
      <c r="F15" s="2087"/>
      <c r="G15" s="2087"/>
      <c r="H15" s="2087"/>
      <c r="I15" s="2082"/>
      <c r="J15" s="2844"/>
    </row>
    <row r="16" spans="1:15" ht="12.75">
      <c r="A16" s="3545"/>
      <c r="B16" s="3545"/>
      <c r="C16" s="3553"/>
      <c r="D16" s="3548"/>
      <c r="E16" s="12" t="s">
        <v>1730</v>
      </c>
      <c r="F16" s="2087"/>
      <c r="G16" s="2087"/>
      <c r="H16" s="2087"/>
      <c r="I16" s="2082"/>
      <c r="J16" s="2844"/>
    </row>
    <row r="17" spans="1:36" ht="15">
      <c r="A17" s="2713" t="s">
        <v>1731</v>
      </c>
      <c r="B17" s="2092"/>
      <c r="C17" s="2714">
        <f>SUM(C5:C16)</f>
        <v>0</v>
      </c>
      <c r="D17" s="2714">
        <f>SUM(D5:D16)</f>
        <v>0</v>
      </c>
      <c r="E17" s="2561"/>
      <c r="F17" s="2561"/>
      <c r="G17" s="2561"/>
      <c r="H17" s="2561"/>
      <c r="I17" s="2561"/>
      <c r="J17" s="2845"/>
    </row>
    <row r="18" spans="1:36" ht="32.450000000000003" customHeight="1" thickBot="1">
      <c r="A18" s="2715" t="s">
        <v>1732</v>
      </c>
      <c r="B18" s="2716"/>
      <c r="C18" s="2717" t="e">
        <f>ROUND(C17/SUM(C17:D17),2)</f>
        <v>#DIV/0!</v>
      </c>
      <c r="D18" s="2717" t="e">
        <f>1-C18</f>
        <v>#DIV/0!</v>
      </c>
      <c r="E18" s="3565" t="s">
        <v>2817</v>
      </c>
      <c r="F18" s="3566"/>
      <c r="G18" s="3566"/>
      <c r="H18" s="3566"/>
      <c r="I18" s="3566"/>
      <c r="J18" s="2845"/>
    </row>
    <row r="19" spans="1:36" ht="15">
      <c r="A19" s="2718" t="s">
        <v>1733</v>
      </c>
      <c r="B19" s="2719" t="s">
        <v>1734</v>
      </c>
      <c r="C19" s="2720" t="e">
        <f ca="1">SUMIF(INDIRECT("'"&amp;C4&amp;"'"&amp;"!A:A"),'结果表 (1修多)'!B19,INDIRECT("'"&amp;C4&amp;"'"&amp;"!B:B"))</f>
        <v>#REF!</v>
      </c>
      <c r="D19" s="2721" t="e">
        <f ca="1">SUMIF(INDIRECT("'"&amp;D4&amp;"'"&amp;"!A:A"),'结果表 (1修多)'!B19,INDIRECT("'"&amp;D4&amp;"'"&amp;"!B:B"))</f>
        <v>#REF!</v>
      </c>
      <c r="E19" s="2718" t="s">
        <v>1735</v>
      </c>
      <c r="F19" s="2719" t="s">
        <v>1734</v>
      </c>
      <c r="G19" s="2722" t="e">
        <f ca="1">ROUND(C19*$C$18+D19*$D$18,0)</f>
        <v>#REF!</v>
      </c>
      <c r="H19" s="2723" t="str">
        <f>'数据-取费表'!B3</f>
        <v>元</v>
      </c>
      <c r="I19" s="2561"/>
      <c r="J19" s="2845"/>
    </row>
    <row r="20" spans="1:36" ht="15">
      <c r="A20" s="2724"/>
      <c r="B20" s="1693" t="s">
        <v>1736</v>
      </c>
      <c r="C20" s="1917" t="e">
        <f ca="1">SUMIF(INDIRECT("'"&amp;C4&amp;"'"&amp;"!A:A"),'结果表 (1修多)'!B20,INDIRECT("'"&amp;C4&amp;"'"&amp;"!B:B"))</f>
        <v>#REF!</v>
      </c>
      <c r="D20" s="1920" t="e">
        <f ca="1">SUMIF(INDIRECT("'"&amp;D4&amp;"'"&amp;"!A:A"),'结果表 (1修多)'!B20,INDIRECT("'"&amp;D4&amp;"'"&amp;"!B:B"))</f>
        <v>#REF!</v>
      </c>
      <c r="E20" s="2724"/>
      <c r="F20" s="1693" t="s">
        <v>1736</v>
      </c>
      <c r="G20" s="2091" t="e">
        <f ca="1">ROUND(C20*$C$18+D20*$D$18,0)</f>
        <v>#REF!</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t="e">
        <f ca="1">IF(C19&lt;D19,D19/C19-1,C19/D19-1)</f>
        <v>#REF!</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3554" t="s">
        <v>1739</v>
      </c>
      <c r="B24" s="2719" t="s">
        <v>1734</v>
      </c>
      <c r="C24" s="2722">
        <f>D30</f>
        <v>0</v>
      </c>
      <c r="D24" s="2674"/>
      <c r="E24" s="947"/>
      <c r="F24" s="947"/>
      <c r="G24" s="947"/>
      <c r="H24" s="947"/>
      <c r="I24" s="947"/>
      <c r="J24" s="2845"/>
    </row>
    <row r="25" spans="1:36" ht="21.75" customHeight="1">
      <c r="A25" s="3555"/>
      <c r="B25" s="1693"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t="s">
        <v>1884</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 t="shared" ref="D29" si="0">ROUND(C29*B29/10000,0)</f>
        <v>0</v>
      </c>
      <c r="E29" s="947"/>
      <c r="F29" s="947"/>
      <c r="G29" s="947"/>
      <c r="H29" s="947"/>
      <c r="I29" s="947"/>
      <c r="J29" s="2845"/>
    </row>
    <row r="30" spans="1:36" ht="15" thickBot="1">
      <c r="A30" s="2772" t="s">
        <v>1885</v>
      </c>
      <c r="B30" s="2773"/>
      <c r="C30" s="2773"/>
      <c r="D30" s="2773"/>
      <c r="E30" s="2740" t="s">
        <v>2821</v>
      </c>
      <c r="F30" s="2561"/>
      <c r="G30" s="2561"/>
      <c r="H30" s="2561"/>
      <c r="I30" s="2561"/>
      <c r="J30" s="2845"/>
    </row>
    <row r="31" spans="1:36" s="2838" customFormat="1" ht="27.6" customHeight="1" thickTop="1" thickBot="1">
      <c r="A31" s="2833"/>
      <c r="B31" s="2834"/>
      <c r="C31" s="2834"/>
      <c r="D31" s="2834"/>
      <c r="E31" s="2834"/>
      <c r="F31" s="2834"/>
      <c r="G31" s="2834"/>
      <c r="H31" s="2834"/>
      <c r="I31" s="2835" t="s">
        <v>2822</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5" customFormat="1" ht="16.5" thickTop="1" thickBot="1">
      <c r="A32" s="3611" t="s">
        <v>1886</v>
      </c>
      <c r="B32" s="3611"/>
      <c r="C32" s="3611"/>
      <c r="D32" s="3611"/>
      <c r="E32" s="3611"/>
      <c r="F32" s="3611"/>
      <c r="G32" s="3611"/>
      <c r="H32" s="3611"/>
      <c r="I32" s="3611"/>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4" t="s">
        <v>1887</v>
      </c>
      <c r="C33" s="2775">
        <f>典型户型修正!R27</f>
        <v>0</v>
      </c>
      <c r="D33" s="2561" t="s">
        <v>1888</v>
      </c>
      <c r="E33" s="947"/>
      <c r="F33" s="947"/>
      <c r="G33" s="947"/>
      <c r="H33" s="947"/>
      <c r="I33" s="947"/>
      <c r="J33" s="2845"/>
    </row>
    <row r="34" spans="1:16" ht="15">
      <c r="A34" s="1512" t="s">
        <v>1889</v>
      </c>
      <c r="B34" s="2776" t="s">
        <v>1890</v>
      </c>
      <c r="C34" s="2777">
        <f>典型户型修正!B2</f>
        <v>0</v>
      </c>
      <c r="D34" s="2778" t="str">
        <f>IF('数据-取费表'!B3="万元","万元","元")</f>
        <v>元</v>
      </c>
      <c r="E34" s="947"/>
      <c r="F34" s="947"/>
      <c r="G34" s="947"/>
      <c r="H34" s="947"/>
      <c r="I34" s="947"/>
      <c r="J34" s="2845"/>
    </row>
    <row r="35" spans="1:16" ht="15.75" thickBot="1">
      <c r="A35" s="1513"/>
      <c r="B35" s="2779" t="s">
        <v>1891</v>
      </c>
      <c r="C35" s="2728" t="e">
        <f>典型户型修正!B3</f>
        <v>#DIV/0!</v>
      </c>
      <c r="D35" s="2561" t="s">
        <v>1892</v>
      </c>
      <c r="E35" s="947"/>
      <c r="F35" s="947"/>
      <c r="G35" s="947"/>
      <c r="H35" s="947"/>
      <c r="I35" s="947"/>
      <c r="J35" s="2845"/>
    </row>
    <row r="36" spans="1:16" ht="15">
      <c r="A36" s="1514"/>
      <c r="B36" s="1468" t="s">
        <v>1893</v>
      </c>
      <c r="C36" s="2780">
        <f>IF('数据-取费表'!B3="万元",典型户型修正!V25,典型户型修正!U25)</f>
        <v>0</v>
      </c>
      <c r="D36" s="2561" t="str">
        <f>D34</f>
        <v>元</v>
      </c>
      <c r="E36" s="947"/>
      <c r="F36" s="947"/>
      <c r="G36" s="947"/>
      <c r="H36" s="947"/>
      <c r="I36" s="947"/>
      <c r="J36" s="2845"/>
    </row>
    <row r="37" spans="1:16" ht="15.75" thickBot="1">
      <c r="A37" s="1467"/>
      <c r="B37" s="1469" t="s">
        <v>1894</v>
      </c>
      <c r="C37" s="2781">
        <f>IF('数据-取费表'!B3="万元",典型户型修正!Y25,典型户型修正!X25)</f>
        <v>0</v>
      </c>
      <c r="D37" s="2561" t="str">
        <f>D34</f>
        <v>元</v>
      </c>
      <c r="E37" s="947"/>
      <c r="F37" s="947"/>
      <c r="G37" s="947"/>
      <c r="H37" s="947"/>
      <c r="I37" s="947"/>
      <c r="J37" s="2845"/>
    </row>
    <row r="38" spans="1:16" ht="15.75" thickBot="1">
      <c r="A38" s="3554" t="s">
        <v>1895</v>
      </c>
      <c r="B38" s="1468" t="s">
        <v>1896</v>
      </c>
      <c r="C38" s="2755"/>
      <c r="D38" s="2756"/>
      <c r="E38" s="1680"/>
      <c r="F38" s="1680"/>
      <c r="G38" s="947"/>
      <c r="H38" s="947"/>
      <c r="I38" s="947"/>
      <c r="J38" s="2845"/>
    </row>
    <row r="39" spans="1:16" ht="15.75" thickBot="1">
      <c r="A39" s="3559"/>
      <c r="B39" s="2092" t="s">
        <v>1897</v>
      </c>
      <c r="C39" s="2757"/>
      <c r="D39" s="1311"/>
      <c r="E39" s="1311"/>
      <c r="F39" s="1680"/>
      <c r="G39" s="1311"/>
      <c r="H39" s="1311"/>
      <c r="I39" s="1311"/>
      <c r="J39" s="2849"/>
    </row>
    <row r="40" spans="1:16" ht="15.75" thickBot="1">
      <c r="A40" s="3560"/>
      <c r="B40" s="1469" t="s">
        <v>1898</v>
      </c>
      <c r="C40" s="2758"/>
      <c r="D40" s="2759" t="s">
        <v>1899</v>
      </c>
      <c r="E40" s="1311"/>
      <c r="F40" s="1680"/>
      <c r="G40" s="1311"/>
      <c r="H40" s="1311"/>
      <c r="I40" s="1311"/>
      <c r="J40" s="2849"/>
    </row>
    <row r="41" spans="1:16" ht="15">
      <c r="A41" s="2724" t="s">
        <v>1900</v>
      </c>
      <c r="B41" s="2760" t="s">
        <v>1901</v>
      </c>
      <c r="C41" s="2761" t="s">
        <v>1902</v>
      </c>
      <c r="D41" s="2761" t="s">
        <v>1903</v>
      </c>
      <c r="E41" s="2762" t="s">
        <v>1904</v>
      </c>
      <c r="F41" s="1680"/>
      <c r="G41" s="1311"/>
      <c r="H41" s="1311"/>
      <c r="I41" s="1311"/>
      <c r="J41" s="2849"/>
    </row>
    <row r="42" spans="1:16" ht="14.25">
      <c r="A42" s="2763" t="s">
        <v>1905</v>
      </c>
      <c r="B42" s="2764"/>
      <c r="C42" s="2765"/>
      <c r="D42" s="2765"/>
      <c r="E42" s="2766"/>
      <c r="F42" s="1680"/>
      <c r="G42" s="1311"/>
      <c r="H42" s="1311"/>
      <c r="I42" s="1311"/>
      <c r="J42" s="2849"/>
    </row>
    <row r="43" spans="1:16" ht="14.25">
      <c r="A43" s="2763" t="s">
        <v>1906</v>
      </c>
      <c r="B43" s="2764"/>
      <c r="C43" s="2765"/>
      <c r="D43" s="2765"/>
      <c r="E43" s="2766"/>
      <c r="F43" s="1680"/>
      <c r="G43" s="1311"/>
      <c r="H43" s="1311"/>
      <c r="I43" s="1311"/>
      <c r="J43" s="2849"/>
    </row>
    <row r="44" spans="1:16" ht="15" thickBot="1">
      <c r="A44" s="2767"/>
      <c r="B44" s="2768"/>
      <c r="C44" s="2769"/>
      <c r="D44" s="2769"/>
      <c r="E44" s="2754"/>
      <c r="F44" s="1680"/>
      <c r="G44" s="1311"/>
      <c r="H44" s="1311"/>
      <c r="I44" s="1311"/>
      <c r="J44" s="2849"/>
    </row>
    <row r="45" spans="1:16" ht="12.75">
      <c r="A45" s="1481"/>
      <c r="B45" s="1481"/>
      <c r="C45" s="1481"/>
      <c r="D45" s="1481"/>
      <c r="E45" s="1481"/>
      <c r="F45" s="1437"/>
      <c r="G45" s="1437"/>
      <c r="H45" s="1437"/>
      <c r="I45" s="2770"/>
      <c r="J45" s="2850"/>
    </row>
    <row r="46" spans="1:16" ht="18.75">
      <c r="A46" s="1471" t="s">
        <v>1907</v>
      </c>
      <c r="B46" s="1472"/>
      <c r="C46" s="1472"/>
      <c r="D46" s="2782"/>
      <c r="E46" s="2782"/>
      <c r="F46" s="2782"/>
      <c r="G46" s="2782"/>
      <c r="H46" s="2782"/>
      <c r="I46" s="2839" t="s">
        <v>2816</v>
      </c>
      <c r="J46" s="2875"/>
      <c r="K46" s="1475" t="s">
        <v>1762</v>
      </c>
      <c r="L46" s="1476"/>
      <c r="M46" s="1476"/>
      <c r="N46" s="1476"/>
      <c r="O46" s="1476"/>
      <c r="P46" s="1476"/>
    </row>
    <row r="47" spans="1:16" ht="14.25" customHeight="1" thickBot="1">
      <c r="A47" s="3479" t="s">
        <v>1908</v>
      </c>
      <c r="B47" s="3480"/>
      <c r="C47" s="3490"/>
      <c r="D47" s="246">
        <f>ROUND(I104*F47,0)</f>
        <v>0</v>
      </c>
      <c r="E47" s="1542" t="s">
        <v>1909</v>
      </c>
      <c r="F47" s="2559">
        <v>1</v>
      </c>
      <c r="G47" s="2560" t="s">
        <v>1910</v>
      </c>
      <c r="H47" s="947"/>
      <c r="I47" s="947"/>
      <c r="J47" s="2845"/>
      <c r="K47" s="3584" t="s">
        <v>1766</v>
      </c>
      <c r="L47" s="3584"/>
      <c r="M47" s="3584"/>
      <c r="N47" s="3584"/>
      <c r="O47" s="3584"/>
      <c r="P47" s="3584"/>
    </row>
    <row r="48" spans="1:16" ht="14.25" customHeight="1">
      <c r="A48" s="3556" t="s">
        <v>1767</v>
      </c>
      <c r="B48" s="3557"/>
      <c r="C48" s="3557"/>
      <c r="D48" s="3557"/>
      <c r="E48" s="3557"/>
      <c r="F48" s="3557"/>
      <c r="G48" s="3558"/>
      <c r="H48" s="2977"/>
      <c r="I48" s="947"/>
      <c r="J48" s="2845"/>
      <c r="K48" s="2511">
        <v>1</v>
      </c>
      <c r="L48" s="3585" t="s">
        <v>1768</v>
      </c>
      <c r="M48" s="3585"/>
      <c r="N48" s="3586"/>
      <c r="O48" s="3586"/>
      <c r="P48" s="3586"/>
    </row>
    <row r="49" spans="1:17" ht="12" customHeight="1">
      <c r="A49" s="38" t="s">
        <v>1769</v>
      </c>
      <c r="B49" s="39"/>
      <c r="C49" s="40"/>
      <c r="D49" s="1099" t="s">
        <v>1770</v>
      </c>
      <c r="E49" s="235" t="s">
        <v>1771</v>
      </c>
      <c r="F49" s="41" t="s">
        <v>1772</v>
      </c>
      <c r="G49" s="2562" t="s">
        <v>1773</v>
      </c>
      <c r="H49" s="2977"/>
      <c r="I49" s="947"/>
      <c r="J49" s="2845"/>
      <c r="K49" s="2511">
        <v>2</v>
      </c>
      <c r="L49" s="3585" t="s">
        <v>1774</v>
      </c>
      <c r="M49" s="3585"/>
      <c r="N49" s="3588">
        <f>'数据-取费表'!B2</f>
        <v>39004</v>
      </c>
      <c r="O49" s="3588"/>
      <c r="P49" s="3588"/>
    </row>
    <row r="50" spans="1:17" ht="25.5">
      <c r="A50" s="3561" t="s">
        <v>1775</v>
      </c>
      <c r="B50" s="3495"/>
      <c r="C50" s="3495"/>
      <c r="D50" s="12">
        <f>IF(H50="情况1",0,IF(H50="情况2",D54,IF(H50="情况3",D55,IF(H50="情况4",D56))))</f>
        <v>0</v>
      </c>
      <c r="E50" s="2090" t="str">
        <f>IF(H50="情况4","(销售额-原购置价)×税（费）率","销售额×税（费）率")</f>
        <v>销售额×税（费）率</v>
      </c>
      <c r="F50" s="2563">
        <f>IF(H50="情况1","免征",'数据-取费表'!E29)</f>
        <v>5.5000000000000007E-2</v>
      </c>
      <c r="G50" s="2564" t="s">
        <v>1776</v>
      </c>
      <c r="H50" s="2565" t="s">
        <v>1777</v>
      </c>
      <c r="I50" s="2977"/>
      <c r="J50" s="2852"/>
      <c r="K50" s="2511">
        <v>3</v>
      </c>
      <c r="L50" s="3585" t="s">
        <v>1778</v>
      </c>
      <c r="M50" s="3585"/>
      <c r="N50" s="3590">
        <f>I104</f>
        <v>0</v>
      </c>
      <c r="O50" s="3590"/>
      <c r="P50" s="3590"/>
    </row>
    <row r="51" spans="1:17" ht="25.5" customHeight="1">
      <c r="A51" s="2089" t="s">
        <v>1779</v>
      </c>
      <c r="B51" s="3534" t="s">
        <v>1780</v>
      </c>
      <c r="C51" s="3534"/>
      <c r="D51" s="2566">
        <v>0</v>
      </c>
      <c r="E51" s="261" t="s">
        <v>1781</v>
      </c>
      <c r="F51" s="2567" t="s">
        <v>48</v>
      </c>
      <c r="G51" s="3476"/>
      <c r="H51" s="2568" t="s">
        <v>2741</v>
      </c>
      <c r="I51" s="2569"/>
      <c r="J51" s="2853"/>
      <c r="K51" s="2511">
        <v>4</v>
      </c>
      <c r="L51" s="3585" t="str">
        <f>IF(项目基本情况!F5="房地产抵押价值","房地产抵押价值","抵押担保权已注销时的房地产抵押价值")</f>
        <v>抵押担保权已注销时的房地产抵押价值</v>
      </c>
      <c r="M51" s="3585"/>
      <c r="N51" s="3590" t="str">
        <f>IF(项目基本情况!F5="房地产抵押价值",I112,I114)</f>
        <v>——</v>
      </c>
      <c r="O51" s="3590"/>
      <c r="P51" s="3590"/>
    </row>
    <row r="52" spans="1:17" ht="25.5" customHeight="1">
      <c r="A52" s="2079"/>
      <c r="B52" s="3534" t="s">
        <v>1782</v>
      </c>
      <c r="C52" s="3534"/>
      <c r="D52" s="2570"/>
      <c r="E52" s="269"/>
      <c r="F52" s="2567"/>
      <c r="G52" s="3477"/>
      <c r="H52" s="2571" t="s">
        <v>2742</v>
      </c>
      <c r="I52" s="2569"/>
      <c r="J52" s="2853"/>
      <c r="K52" s="3585" t="s">
        <v>1783</v>
      </c>
      <c r="L52" s="3585"/>
      <c r="M52" s="3585"/>
      <c r="N52" s="3585"/>
      <c r="O52" s="3585"/>
      <c r="P52" s="3585"/>
    </row>
    <row r="53" spans="1:17" ht="20.45" customHeight="1">
      <c r="A53" s="2572"/>
      <c r="B53" s="3534" t="s">
        <v>1784</v>
      </c>
      <c r="C53" s="3534"/>
      <c r="D53" s="1099"/>
      <c r="E53" s="264"/>
      <c r="F53" s="2567"/>
      <c r="G53" s="3478"/>
      <c r="H53" s="2571" t="s">
        <v>2743</v>
      </c>
      <c r="I53" s="2569"/>
      <c r="J53" s="2853"/>
      <c r="K53" s="2512" t="s">
        <v>1785</v>
      </c>
      <c r="L53" s="3585" t="s">
        <v>1786</v>
      </c>
      <c r="M53" s="3585"/>
      <c r="N53" s="2512" t="s">
        <v>1787</v>
      </c>
      <c r="O53" s="2512" t="s">
        <v>1788</v>
      </c>
      <c r="P53" s="2512" t="s">
        <v>1789</v>
      </c>
    </row>
    <row r="54" spans="1:17" ht="24" customHeight="1">
      <c r="A54" s="2080" t="s">
        <v>1790</v>
      </c>
      <c r="B54" s="3534" t="s">
        <v>1791</v>
      </c>
      <c r="C54" s="3534"/>
      <c r="D54" s="1099">
        <f>ROUND(D47*'数据-取费表'!E29/(1+'数据-取费表'!F30),0)</f>
        <v>0</v>
      </c>
      <c r="E54" s="2090" t="s">
        <v>1792</v>
      </c>
      <c r="F54" s="2573">
        <f>'数据-取费表'!E29</f>
        <v>5.5000000000000007E-2</v>
      </c>
      <c r="G54" s="2574"/>
      <c r="H54" s="947"/>
      <c r="I54" s="2978"/>
      <c r="J54" s="2853"/>
      <c r="K54" s="2511">
        <v>1</v>
      </c>
      <c r="L54" s="3587" t="s">
        <v>1793</v>
      </c>
      <c r="M54" s="3587"/>
      <c r="N54" s="2513">
        <f>D50</f>
        <v>0</v>
      </c>
      <c r="O54" s="2511" t="str">
        <f>E50</f>
        <v>销售额×税（费）率</v>
      </c>
      <c r="P54" s="2514">
        <f>F50</f>
        <v>5.5000000000000007E-2</v>
      </c>
    </row>
    <row r="55" spans="1:17" ht="12" customHeight="1">
      <c r="A55" s="2080" t="s">
        <v>1794</v>
      </c>
      <c r="B55" s="3546" t="s">
        <v>2835</v>
      </c>
      <c r="C55" s="3535"/>
      <c r="D55" s="1099">
        <f>ROUND(D47*'数据-取费表'!E29/(1+'数据-取费表'!F30),0)</f>
        <v>0</v>
      </c>
      <c r="E55" s="2090" t="s">
        <v>1792</v>
      </c>
      <c r="F55" s="2573">
        <f>'数据-取费表'!E29</f>
        <v>5.5000000000000007E-2</v>
      </c>
      <c r="G55" s="2574"/>
      <c r="H55" s="947"/>
      <c r="I55" s="2978"/>
      <c r="J55" s="2853"/>
      <c r="K55" s="2511">
        <v>2</v>
      </c>
      <c r="L55" s="3587" t="s">
        <v>1795</v>
      </c>
      <c r="M55" s="3587"/>
      <c r="N55" s="2513">
        <f t="shared" ref="N55:P56" si="1">D57</f>
        <v>0</v>
      </c>
      <c r="O55" s="2511" t="str">
        <f t="shared" si="1"/>
        <v>销售额×税（费）率</v>
      </c>
      <c r="P55" s="2514">
        <f t="shared" si="1"/>
        <v>5.0000000000000001E-4</v>
      </c>
    </row>
    <row r="56" spans="1:17" ht="12" customHeight="1">
      <c r="A56" s="2080" t="s">
        <v>1796</v>
      </c>
      <c r="B56" s="3546" t="s">
        <v>2836</v>
      </c>
      <c r="C56" s="3535"/>
      <c r="D56" s="1099">
        <f>C70</f>
        <v>0</v>
      </c>
      <c r="E56" s="264" t="s">
        <v>1797</v>
      </c>
      <c r="F56" s="2573">
        <f>'数据-取费表'!E29</f>
        <v>5.5000000000000007E-2</v>
      </c>
      <c r="G56" s="2574"/>
      <c r="H56" s="2979"/>
      <c r="I56" s="2978"/>
      <c r="J56" s="2853"/>
      <c r="K56" s="2511">
        <v>3</v>
      </c>
      <c r="L56" s="3587" t="s">
        <v>1798</v>
      </c>
      <c r="M56" s="3587"/>
      <c r="N56" s="2513">
        <f t="shared" si="1"/>
        <v>0</v>
      </c>
      <c r="O56" s="2511" t="str">
        <f t="shared" si="1"/>
        <v>增值额×税（费）率</v>
      </c>
      <c r="P56" s="2515" t="str">
        <f t="shared" si="1"/>
        <v>——</v>
      </c>
    </row>
    <row r="57" spans="1:17" ht="24" customHeight="1">
      <c r="A57" s="3499" t="s">
        <v>1799</v>
      </c>
      <c r="B57" s="3495"/>
      <c r="C57" s="3495"/>
      <c r="D57" s="12">
        <f>IF(H57="个人住宅",0,ROUND(D47*I57,0))</f>
        <v>0</v>
      </c>
      <c r="E57" s="2090" t="s">
        <v>1800</v>
      </c>
      <c r="F57" s="2573">
        <f>IF(H57="正常",I57,"免征")</f>
        <v>5.0000000000000001E-4</v>
      </c>
      <c r="G57" s="2574"/>
      <c r="H57" s="2565" t="s">
        <v>1801</v>
      </c>
      <c r="I57" s="74">
        <f>'数据-取费表'!E37</f>
        <v>5.0000000000000001E-4</v>
      </c>
      <c r="J57" s="2853"/>
      <c r="K57" s="2511">
        <f>IF(H61="非个人房产","",4)</f>
        <v>4</v>
      </c>
      <c r="L57" s="3587" t="str">
        <f>IF(H61="非个人房产","——","个人所得税")</f>
        <v>个人所得税</v>
      </c>
      <c r="M57" s="3587"/>
      <c r="N57" s="2516">
        <f>D61</f>
        <v>0</v>
      </c>
      <c r="O57" s="2517" t="str">
        <f>E61</f>
        <v>销售额×税（费）率</v>
      </c>
      <c r="P57" s="2518">
        <f>F61</f>
        <v>0.01</v>
      </c>
    </row>
    <row r="58" spans="1:17" ht="24.75">
      <c r="A58" s="3499" t="s">
        <v>1802</v>
      </c>
      <c r="B58" s="3495"/>
      <c r="C58" s="3495"/>
      <c r="D58" s="12">
        <f>IF(H58="个人住宅",D59,D60)</f>
        <v>0</v>
      </c>
      <c r="E58" s="2090" t="s">
        <v>1803</v>
      </c>
      <c r="F58" s="2573" t="str">
        <f>IF(H58="正常",F60,"免征")</f>
        <v>——</v>
      </c>
      <c r="G58" s="2575" t="s">
        <v>1804</v>
      </c>
      <c r="H58" s="2576" t="s">
        <v>1801</v>
      </c>
      <c r="I58" s="2980"/>
      <c r="J58" s="2853"/>
      <c r="K58" s="2511" t="str">
        <f>IF(项目基本情况!I6="上海银行",IF(K57="",4,K57+1),"")</f>
        <v/>
      </c>
      <c r="L58" s="3591" t="str">
        <f>IF(项目基本情况!I6="上海银行","其他处置费用","")</f>
        <v/>
      </c>
      <c r="M58" s="3596"/>
      <c r="N58" s="2513" t="str">
        <f>IF(项目基本情况!I6="上海银行",N71,"")</f>
        <v/>
      </c>
      <c r="O58" s="3591" t="str">
        <f>IF(项目基本情况!I6="上海银行","包含处置中涉及的律师、诉讼、拍卖、评估等费用","")</f>
        <v/>
      </c>
      <c r="P58" s="3592"/>
    </row>
    <row r="59" spans="1:17" ht="12.75">
      <c r="A59" s="2080" t="s">
        <v>1779</v>
      </c>
      <c r="B59" s="3546" t="s">
        <v>1805</v>
      </c>
      <c r="C59" s="3535"/>
      <c r="D59" s="2566">
        <v>0</v>
      </c>
      <c r="E59" s="261" t="s">
        <v>1781</v>
      </c>
      <c r="F59" s="235"/>
      <c r="G59" s="2574"/>
      <c r="H59" s="2980"/>
      <c r="I59" s="2980"/>
      <c r="J59" s="2853"/>
      <c r="K59" s="3587">
        <f>IF(AND(K57="",K58=""),4,IF(项目基本情况!I6="上海银行",K58+1,K57+1))</f>
        <v>5</v>
      </c>
      <c r="L59" s="3587" t="s">
        <v>1806</v>
      </c>
      <c r="M59" s="2519" t="s">
        <v>1807</v>
      </c>
      <c r="N59" s="2520"/>
      <c r="O59" s="2521">
        <f>SUMIF(N54:N58,"&lt;9e307")</f>
        <v>0</v>
      </c>
      <c r="P59" s="2522"/>
      <c r="Q59" s="1306" t="e">
        <f>O59/N51</f>
        <v>#VALUE!</v>
      </c>
    </row>
    <row r="60" spans="1:17" ht="24.75">
      <c r="A60" s="2080" t="s">
        <v>1790</v>
      </c>
      <c r="B60" s="3546" t="s">
        <v>1808</v>
      </c>
      <c r="C60" s="3534"/>
      <c r="D60" s="12">
        <f>IF(H60="转让取得",C83,C99)</f>
        <v>0</v>
      </c>
      <c r="E60" s="2090" t="s">
        <v>1803</v>
      </c>
      <c r="F60" s="235" t="s">
        <v>48</v>
      </c>
      <c r="G60" s="2574"/>
      <c r="H60" s="2576" t="s">
        <v>1809</v>
      </c>
      <c r="I60" s="2980"/>
      <c r="J60" s="2853"/>
      <c r="K60" s="3587"/>
      <c r="L60" s="3587"/>
      <c r="M60" s="2519" t="s">
        <v>1810</v>
      </c>
      <c r="N60" s="2523"/>
      <c r="O60" s="2524" t="str">
        <f>IF(H19="元",NUMBERSTRING(INT(O59),2)&amp;"元整",NUMBERSTRING(INT(O59*10000),2)&amp;"元整")</f>
        <v>零元整</v>
      </c>
      <c r="P60" s="2525"/>
    </row>
    <row r="61" spans="1:17" ht="26.25" thickBot="1">
      <c r="A61" s="3562" t="s">
        <v>1811</v>
      </c>
      <c r="B61" s="3563"/>
      <c r="C61" s="3563"/>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2814</v>
      </c>
      <c r="H61" s="2094" t="s">
        <v>2740</v>
      </c>
      <c r="I61" s="2881" t="s">
        <v>2826</v>
      </c>
      <c r="J61" s="2853"/>
      <c r="K61" s="3593">
        <f>K59+1</f>
        <v>6</v>
      </c>
      <c r="L61" s="3587" t="s">
        <v>1812</v>
      </c>
      <c r="M61" s="2511" t="s">
        <v>1807</v>
      </c>
      <c r="N61" s="2526"/>
      <c r="O61" s="2527" t="e">
        <f>N51-O59</f>
        <v>#VALUE!</v>
      </c>
      <c r="P61" s="2528"/>
    </row>
    <row r="62" spans="1:17" ht="12" customHeight="1">
      <c r="A62" s="1457"/>
      <c r="B62" s="2561"/>
      <c r="C62" s="2561"/>
      <c r="D62" s="2561"/>
      <c r="E62" s="1457"/>
      <c r="F62" s="2980"/>
      <c r="G62" s="2980"/>
      <c r="H62" s="2975"/>
      <c r="I62" s="947"/>
      <c r="J62" s="2853"/>
      <c r="K62" s="3594"/>
      <c r="L62" s="3587"/>
      <c r="M62" s="2519" t="s">
        <v>1810</v>
      </c>
      <c r="N62" s="2523"/>
      <c r="O62" s="2524" t="e">
        <f>IF(H19="元",NUMBERSTRING(INT(O61),2)&amp;"元整",NUMBERSTRING(INT(O61*10000),2)&amp;"元整")</f>
        <v>#VALUE!</v>
      </c>
      <c r="P62" s="2525"/>
    </row>
    <row r="63" spans="1:17" ht="13.5" thickBot="1">
      <c r="A63" s="3595" t="s">
        <v>1813</v>
      </c>
      <c r="B63" s="3595"/>
      <c r="C63" s="3595"/>
      <c r="D63" s="3595"/>
      <c r="E63" s="3595"/>
      <c r="F63" s="2980"/>
      <c r="G63" s="2980"/>
      <c r="H63" s="2975"/>
      <c r="I63" s="947"/>
      <c r="J63" s="2845"/>
      <c r="K63" s="2511">
        <f>K61+1</f>
        <v>7</v>
      </c>
      <c r="L63" s="3587" t="s">
        <v>1814</v>
      </c>
      <c r="M63" s="3587"/>
      <c r="N63" s="2529"/>
      <c r="O63" s="2530" t="e">
        <f>IF(H19="元",ROUND(O61/项目基本情况!C12,0),ROUND(O61*10000/项目基本情况!C12,0))</f>
        <v>#VALUE!</v>
      </c>
      <c r="P63" s="2531"/>
    </row>
    <row r="64" spans="1:17" ht="12.75">
      <c r="A64" s="3513" t="s">
        <v>1815</v>
      </c>
      <c r="B64" s="3514"/>
      <c r="C64" s="1607"/>
      <c r="D64" s="1607" t="s">
        <v>1816</v>
      </c>
      <c r="E64" s="45" t="s">
        <v>1817</v>
      </c>
      <c r="F64" s="2980"/>
      <c r="G64" s="2980"/>
      <c r="H64" s="2975"/>
      <c r="I64" s="947"/>
      <c r="J64" s="2845"/>
      <c r="K64" s="1308"/>
      <c r="L64" s="1308"/>
      <c r="M64" s="1308"/>
      <c r="N64" s="1308"/>
      <c r="O64" s="1308"/>
    </row>
    <row r="65" spans="1:36" ht="12.75">
      <c r="A65" s="46">
        <v>1</v>
      </c>
      <c r="B65" s="47" t="s">
        <v>1818</v>
      </c>
      <c r="C65" s="2784">
        <f>ROUND((C66+C67)/(1+'数据-取费表'!F30),0)</f>
        <v>0</v>
      </c>
      <c r="D65" s="47"/>
      <c r="E65" s="48"/>
      <c r="F65" s="2980"/>
      <c r="G65" s="2980"/>
      <c r="H65" s="2975"/>
      <c r="I65" s="947"/>
      <c r="J65" s="2845"/>
      <c r="K65" s="3583" t="s">
        <v>1819</v>
      </c>
      <c r="L65" s="1307" t="s">
        <v>1820</v>
      </c>
      <c r="M65" s="1307" t="e">
        <f>IF(N51&gt;10000,N51*0.5%,IF(AND(N51&gt;1000,N51&lt;=10000),N51*1%,IF(AND(N51&gt;100,N51&lt;=1000),N51*3%,IF(AND(N51&gt;10,N51&lt;=100),N51*5%,N51*8%))))</f>
        <v>#VALUE!</v>
      </c>
      <c r="N65" s="235" t="e">
        <f>ROUND(M65,1)</f>
        <v>#VALUE!</v>
      </c>
      <c r="O65" s="2532"/>
    </row>
    <row r="66" spans="1:36" ht="12.75">
      <c r="A66" s="49" t="s">
        <v>71</v>
      </c>
      <c r="B66" s="50" t="s">
        <v>1821</v>
      </c>
      <c r="C66" s="2785">
        <f>D47</f>
        <v>0</v>
      </c>
      <c r="D66" s="50" t="s">
        <v>41</v>
      </c>
      <c r="E66" s="52"/>
      <c r="F66" s="2980"/>
      <c r="G66" s="2980"/>
      <c r="H66" s="2975"/>
      <c r="I66" s="947"/>
      <c r="J66" s="2845"/>
      <c r="K66" s="3583"/>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2" t="s">
        <v>1823</v>
      </c>
    </row>
    <row r="67" spans="1:36" ht="12.75">
      <c r="A67" s="49" t="s">
        <v>72</v>
      </c>
      <c r="B67" s="50" t="s">
        <v>1824</v>
      </c>
      <c r="C67" s="2786"/>
      <c r="D67" s="50"/>
      <c r="E67" s="52"/>
      <c r="F67" s="2980"/>
      <c r="G67" s="2980"/>
      <c r="H67" s="2975"/>
      <c r="I67" s="947"/>
      <c r="J67" s="2845"/>
      <c r="K67" s="3583"/>
      <c r="L67" s="1307" t="s">
        <v>1825</v>
      </c>
      <c r="M67" s="1307" t="e">
        <f>IF(N51&gt;1000,N51*0.1%,IF(AND(N51&gt;500,N51&lt;=1000),N51*0.5%,IF(AND(N51&gt;50,N51&lt;=500),N51*1%,IF(AND(N51&gt;1,N51&lt;=50),N51*1.5%))))</f>
        <v>#VALUE!</v>
      </c>
      <c r="N67" s="235" t="e">
        <f t="shared" si="2"/>
        <v>#VALUE!</v>
      </c>
      <c r="O67" s="2532" t="s">
        <v>1823</v>
      </c>
    </row>
    <row r="68" spans="1:36" ht="12.75">
      <c r="A68" s="53" t="s">
        <v>47</v>
      </c>
      <c r="B68" s="54" t="s">
        <v>1826</v>
      </c>
      <c r="C68" s="2787"/>
      <c r="D68" s="54" t="s">
        <v>41</v>
      </c>
      <c r="E68" s="1316" t="s">
        <v>1827</v>
      </c>
      <c r="F68" s="2980"/>
      <c r="G68" s="2980"/>
      <c r="H68" s="2975"/>
      <c r="I68" s="947"/>
      <c r="J68" s="2845"/>
      <c r="K68" s="3583"/>
      <c r="L68" s="1307" t="s">
        <v>1828</v>
      </c>
      <c r="M68" s="1307" t="e">
        <f>N51*0.5%</f>
        <v>#VALUE!</v>
      </c>
      <c r="N68" s="235" t="e">
        <f>IF(M68&gt;0.5,0.5,ROUND(M68,0))</f>
        <v>#VALUE!</v>
      </c>
      <c r="O68" s="2532" t="s">
        <v>1829</v>
      </c>
    </row>
    <row r="69" spans="1:36" ht="12.75">
      <c r="A69" s="53" t="s">
        <v>42</v>
      </c>
      <c r="B69" s="54" t="s">
        <v>1830</v>
      </c>
      <c r="C69" s="2788">
        <f>C65-C68</f>
        <v>0</v>
      </c>
      <c r="D69" s="50" t="s">
        <v>41</v>
      </c>
      <c r="E69" s="52"/>
      <c r="F69" s="2980"/>
      <c r="G69" s="2980"/>
      <c r="H69" s="2975"/>
      <c r="I69" s="947"/>
      <c r="J69" s="2845"/>
      <c r="K69" s="3583"/>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2"/>
    </row>
    <row r="70" spans="1:36" ht="13.5" thickBot="1">
      <c r="A70" s="55" t="s">
        <v>46</v>
      </c>
      <c r="B70" s="56" t="s">
        <v>1832</v>
      </c>
      <c r="C70" s="2789">
        <f>IF(C69&lt;=0,0,ROUND(C69*D70,0))</f>
        <v>0</v>
      </c>
      <c r="D70" s="2240">
        <f>'数据-取费表'!E29</f>
        <v>5.5000000000000007E-2</v>
      </c>
      <c r="E70" s="57"/>
      <c r="F70" s="2980"/>
      <c r="G70" s="2980"/>
      <c r="H70" s="2975"/>
      <c r="I70" s="947"/>
      <c r="J70" s="2845"/>
      <c r="K70" s="3583"/>
      <c r="L70" s="1307" t="s">
        <v>1833</v>
      </c>
      <c r="M70" s="1307" t="e">
        <f>IF(N51&gt;10000,N51*0.5%,IF(AND(N51&gt;5000,N51&lt;=10000),N51*1%,IF(AND(N51&gt;1000,N51&lt;=5000),N51*2%,IF(AND(N51&gt;200,N51&lt;=1000),N51*3%,N51*5%))))</f>
        <v>#VALUE!</v>
      </c>
      <c r="N70" s="235" t="e">
        <f>ROUND(M70,1)</f>
        <v>#VALUE!</v>
      </c>
      <c r="O70" s="2532"/>
    </row>
    <row r="71" spans="1:36" s="1465" customFormat="1" ht="7.5" customHeight="1">
      <c r="A71" s="1477"/>
      <c r="B71" s="1478"/>
      <c r="C71" s="2790"/>
      <c r="D71" s="2283"/>
      <c r="E71" s="1481"/>
      <c r="F71" s="1457"/>
      <c r="G71" s="1457"/>
      <c r="H71" s="1481"/>
      <c r="I71" s="2561"/>
      <c r="J71" s="2845"/>
      <c r="K71" s="3583"/>
      <c r="L71" s="1307" t="s">
        <v>1834</v>
      </c>
      <c r="M71" s="1307"/>
      <c r="N71" s="235" t="e">
        <f>ROUND(SUM(N65:N70),0)</f>
        <v>#VALUE!</v>
      </c>
      <c r="O71" s="2533"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600" t="s">
        <v>1835</v>
      </c>
      <c r="B72" s="3601"/>
      <c r="C72" s="3601"/>
      <c r="D72" s="3601"/>
      <c r="E72" s="3601"/>
      <c r="F72" s="3601"/>
      <c r="G72" s="3601"/>
      <c r="H72" s="3601"/>
      <c r="I72" s="1482"/>
      <c r="J72" s="2854"/>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513" t="s">
        <v>1815</v>
      </c>
      <c r="B73" s="3514"/>
      <c r="C73" s="1607"/>
      <c r="D73" s="1607" t="s">
        <v>1816</v>
      </c>
      <c r="E73" s="58" t="s">
        <v>1817</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88">
        <f>ROUND(D47/(1+'数据-取费表'!F30),0)</f>
        <v>0</v>
      </c>
      <c r="D74" s="50" t="s">
        <v>41</v>
      </c>
      <c r="E74" s="2086"/>
      <c r="F74" s="2087"/>
      <c r="G74" s="2087"/>
      <c r="H74" s="62"/>
      <c r="I74" s="2791"/>
      <c r="J74" s="2876"/>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88">
        <f>C76+C80</f>
        <v>0</v>
      </c>
      <c r="D75" s="50" t="s">
        <v>41</v>
      </c>
      <c r="E75" s="2086"/>
      <c r="F75" s="2087"/>
      <c r="G75" s="2087"/>
      <c r="H75" s="62"/>
      <c r="I75" s="2791"/>
      <c r="J75" s="2876"/>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6"/>
      <c r="F76" s="2087"/>
      <c r="G76" s="2087"/>
      <c r="H76" s="62"/>
      <c r="I76" s="2791"/>
      <c r="J76" s="2876"/>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6"/>
      <c r="D77" s="50" t="s">
        <v>41</v>
      </c>
      <c r="E77" s="64" t="s">
        <v>1841</v>
      </c>
      <c r="F77" s="2792" t="s">
        <v>1842</v>
      </c>
      <c r="G77" s="64" t="s">
        <v>1843</v>
      </c>
      <c r="H77" s="2793"/>
      <c r="I77" s="608"/>
      <c r="J77" s="287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4">
        <v>0.05</v>
      </c>
      <c r="E78" s="3546" t="s">
        <v>1845</v>
      </c>
      <c r="F78" s="3534"/>
      <c r="G78" s="3534"/>
      <c r="H78" s="3547"/>
      <c r="I78" s="2791"/>
      <c r="J78" s="287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5">
        <f>'数据-取费表'!E36+'数据-取费表'!E37</f>
        <v>3.0499999999999999E-2</v>
      </c>
      <c r="E79" s="12" t="s">
        <v>1847</v>
      </c>
      <c r="F79" s="2093"/>
      <c r="G79" s="1486" t="s">
        <v>1848</v>
      </c>
      <c r="H79" s="2088"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6">
        <f>ROUND(D47*D80/(1+'数据-取费表'!F30),0)</f>
        <v>0</v>
      </c>
      <c r="D80" s="2797">
        <f>'数据-取费表'!E31</f>
        <v>5.000000000000001E-3</v>
      </c>
      <c r="E80" s="3482" t="s">
        <v>1850</v>
      </c>
      <c r="F80" s="3483"/>
      <c r="G80" s="3483"/>
      <c r="H80" s="3503"/>
      <c r="I80" s="609"/>
      <c r="J80" s="2878"/>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88">
        <f>C74-C75</f>
        <v>0</v>
      </c>
      <c r="D81" s="50" t="s">
        <v>41</v>
      </c>
      <c r="E81" s="2086"/>
      <c r="F81" s="2087"/>
      <c r="G81" s="2087"/>
      <c r="H81" s="62"/>
      <c r="I81" s="2791"/>
      <c r="J81" s="287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1"/>
      <c r="J82" s="287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799">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600" t="s">
        <v>1854</v>
      </c>
      <c r="B85" s="3601"/>
      <c r="C85" s="3601"/>
      <c r="D85" s="3601"/>
      <c r="E85" s="3601"/>
      <c r="F85" s="3601"/>
      <c r="G85" s="3601"/>
      <c r="H85" s="3601"/>
      <c r="I85" s="608"/>
      <c r="J85" s="287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513" t="s">
        <v>1815</v>
      </c>
      <c r="B86" s="3514"/>
      <c r="C86" s="1607"/>
      <c r="D86" s="1607" t="s">
        <v>1816</v>
      </c>
      <c r="E86" s="58" t="s">
        <v>1817</v>
      </c>
      <c r="F86" s="59"/>
      <c r="G86" s="59"/>
      <c r="H86" s="72"/>
      <c r="I86" s="608"/>
      <c r="J86" s="287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88">
        <f>ROUND(D47/(1+'数据-取费表'!F30),0)</f>
        <v>0</v>
      </c>
      <c r="D87" s="50" t="s">
        <v>41</v>
      </c>
      <c r="E87" s="2086"/>
      <c r="F87" s="2087"/>
      <c r="G87" s="2087"/>
      <c r="H87" s="73"/>
      <c r="I87" s="608"/>
      <c r="J87" s="287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88">
        <f>IF(H90="仅含出让金",C89+C92+C93+C94+C95+C96,C89+C93+C94+C95+C96)</f>
        <v>0</v>
      </c>
      <c r="D88" s="2800"/>
      <c r="E88" s="2086"/>
      <c r="F88" s="2087"/>
      <c r="G88" s="2087"/>
      <c r="H88" s="73"/>
      <c r="I88" s="608"/>
      <c r="J88" s="2877"/>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6">
        <f>C90+C91</f>
        <v>0</v>
      </c>
      <c r="D89" s="2797"/>
      <c r="E89" s="2083"/>
      <c r="F89" s="2084"/>
      <c r="G89" s="2084"/>
      <c r="H89" s="2085"/>
      <c r="I89" s="608"/>
      <c r="J89" s="287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1"/>
      <c r="D90" s="2797"/>
      <c r="E90" s="74" t="s">
        <v>1857</v>
      </c>
      <c r="F90" s="2084"/>
      <c r="G90" s="75" t="s">
        <v>1858</v>
      </c>
      <c r="H90" s="1488"/>
      <c r="I90" s="608"/>
      <c r="J90" s="2877"/>
      <c r="K90" s="2972" t="s">
        <v>2818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6">
        <f>ROUND(C90*D91,0)</f>
        <v>0</v>
      </c>
      <c r="D91" s="2797">
        <f>'数据-取费表'!E36+'数据-取费表'!E37</f>
        <v>3.0499999999999999E-2</v>
      </c>
      <c r="E91" s="74" t="s">
        <v>1859</v>
      </c>
      <c r="F91" s="2084"/>
      <c r="G91" s="2084"/>
      <c r="H91" s="2085"/>
      <c r="I91" s="608"/>
      <c r="J91" s="287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1"/>
      <c r="D92" s="2797"/>
      <c r="E92" s="74" t="str">
        <f>IF(H90="-","土地取得成本中已包含该笔费用"," ")</f>
        <v xml:space="preserve"> </v>
      </c>
      <c r="F92" s="2084"/>
      <c r="G92" s="3522" t="s">
        <v>2735</v>
      </c>
      <c r="H92" s="3602"/>
      <c r="I92" s="608"/>
      <c r="J92" s="2877"/>
      <c r="K92" s="2972" t="s">
        <v>2819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6">
        <f>IF(H93="——",成本法!C33,I93)</f>
        <v>0</v>
      </c>
      <c r="D93" s="2797"/>
      <c r="E93" s="3482" t="s">
        <v>1862</v>
      </c>
      <c r="F93" s="3483"/>
      <c r="G93" s="3483"/>
      <c r="H93" s="1489" t="s">
        <v>1863</v>
      </c>
      <c r="I93" s="2802"/>
      <c r="J93" s="2879"/>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6">
        <f>ROUND((C89+C92+C93)*D94,0)</f>
        <v>0</v>
      </c>
      <c r="D94" s="2797">
        <v>0.1</v>
      </c>
      <c r="E94" s="3482" t="s">
        <v>1865</v>
      </c>
      <c r="F94" s="3483"/>
      <c r="G94" s="3483"/>
      <c r="H94" s="3503"/>
      <c r="I94" s="608"/>
      <c r="J94" s="2877"/>
      <c r="K94" s="2973" t="s">
        <v>2820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6">
        <f>ROUND(D47*D95/(1+'数据-取费表'!F30),0)</f>
        <v>0</v>
      </c>
      <c r="D95" s="2797">
        <f>'数据-取费表'!E31</f>
        <v>5.000000000000001E-3</v>
      </c>
      <c r="E95" s="3482" t="s">
        <v>1850</v>
      </c>
      <c r="F95" s="3483"/>
      <c r="G95" s="3483"/>
      <c r="H95" s="3503"/>
      <c r="I95" s="608"/>
      <c r="J95" s="287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6">
        <f>ROUND((C89+C92+C93)*D96,0)</f>
        <v>0</v>
      </c>
      <c r="D96" s="2797">
        <v>0.2</v>
      </c>
      <c r="E96" s="3482" t="s">
        <v>1867</v>
      </c>
      <c r="F96" s="3483"/>
      <c r="G96" s="3483"/>
      <c r="H96" s="3503"/>
      <c r="I96" s="608"/>
      <c r="J96" s="287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88">
        <f>ROUND(C87-C88,0)</f>
        <v>0</v>
      </c>
      <c r="D97" s="50" t="s">
        <v>41</v>
      </c>
      <c r="E97" s="2086"/>
      <c r="F97" s="2087"/>
      <c r="G97" s="2087"/>
      <c r="H97" s="73"/>
      <c r="I97" s="608"/>
      <c r="J97" s="287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7"/>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500" t="s">
        <v>1869</v>
      </c>
      <c r="B101" s="3501"/>
      <c r="C101" s="3501"/>
      <c r="D101" s="3502"/>
      <c r="E101" s="1461"/>
      <c r="F101" s="3597" t="s">
        <v>2777</v>
      </c>
      <c r="G101" s="3598"/>
      <c r="H101" s="3598"/>
      <c r="I101" s="3599"/>
      <c r="J101" s="2880"/>
    </row>
    <row r="102" spans="1:36" ht="15">
      <c r="A102" s="3517" t="s">
        <v>1871</v>
      </c>
      <c r="B102" s="3518"/>
      <c r="C102" s="2803">
        <f>C4</f>
        <v>0</v>
      </c>
      <c r="D102" s="2804">
        <f>D4</f>
        <v>0</v>
      </c>
      <c r="E102" s="1461"/>
      <c r="F102" s="3519" t="s">
        <v>2778</v>
      </c>
      <c r="G102" s="3521"/>
      <c r="H102" s="3532" t="s">
        <v>2779</v>
      </c>
      <c r="I102" s="3520"/>
      <c r="J102" s="2860"/>
    </row>
    <row r="103" spans="1:36" ht="12.75">
      <c r="A103" s="3603" t="s">
        <v>2773</v>
      </c>
      <c r="B103" s="2305" t="str">
        <f>IF(H19="元","总价（元）","总价（万元）")</f>
        <v>总价（元）</v>
      </c>
      <c r="C103" s="1307" t="e">
        <f ca="1">C19</f>
        <v>#REF!</v>
      </c>
      <c r="D103" s="2807" t="e">
        <f ca="1">D19</f>
        <v>#REF!</v>
      </c>
      <c r="E103" s="1461"/>
      <c r="F103" s="3604"/>
      <c r="G103" s="3605"/>
      <c r="H103" s="3523">
        <f>典型户型修正!B25</f>
        <v>0</v>
      </c>
      <c r="I103" s="3520"/>
      <c r="J103" s="2860"/>
    </row>
    <row r="104" spans="1:36" ht="12.75">
      <c r="A104" s="3603"/>
      <c r="B104" s="2305" t="s">
        <v>2774</v>
      </c>
      <c r="C104" s="2808" t="e">
        <f ca="1">C20</f>
        <v>#REF!</v>
      </c>
      <c r="D104" s="2809" t="e">
        <f ca="1">D20</f>
        <v>#REF!</v>
      </c>
      <c r="E104" s="1461"/>
      <c r="F104" s="3506" t="s">
        <v>2780</v>
      </c>
      <c r="G104" s="3507"/>
      <c r="H104" s="2817" t="str">
        <f>C110</f>
        <v>总价（元）</v>
      </c>
      <c r="I104" s="2818">
        <f>H125</f>
        <v>0</v>
      </c>
      <c r="J104" s="2860"/>
    </row>
    <row r="105" spans="1:36" ht="12.75">
      <c r="A105" s="3603" t="s">
        <v>2775</v>
      </c>
      <c r="B105" s="2243" t="str">
        <f>B103</f>
        <v>总价（元）</v>
      </c>
      <c r="C105" s="12" t="e">
        <f ca="1">ROUND(IF('数据-取费表'!B4="总价",G19,IF(H19="元",G20*'数据-取费表'!E5,G20*'数据-取费表'!E5/10000)),0)</f>
        <v>#REF!</v>
      </c>
      <c r="D105" s="2810"/>
      <c r="E105" s="1461"/>
      <c r="F105" s="3506"/>
      <c r="G105" s="3507"/>
      <c r="H105" s="2817" t="s">
        <v>2781</v>
      </c>
      <c r="I105" s="52" t="e">
        <f>I125</f>
        <v>#DIV/0!</v>
      </c>
      <c r="J105" s="2844"/>
    </row>
    <row r="106" spans="1:36" ht="12.75">
      <c r="A106" s="3603"/>
      <c r="B106" s="2305" t="s">
        <v>2774</v>
      </c>
      <c r="C106" s="1481" t="e">
        <f ca="1">ROUND(IF('数据-取费表'!B4="楼面单价",G20,IF(H19="元",G19/'数据-取费表'!E5,G19*10000/'数据-取费表'!E5)),0)</f>
        <v>#REF!</v>
      </c>
      <c r="D106" s="2810"/>
      <c r="E106" s="1461"/>
      <c r="F106" s="3506"/>
      <c r="G106" s="3507"/>
      <c r="H106" s="3538"/>
      <c r="I106" s="3539"/>
      <c r="J106" s="2861"/>
    </row>
    <row r="107" spans="1:36" ht="12.75">
      <c r="A107" s="3610" t="s">
        <v>2776</v>
      </c>
      <c r="B107" s="2811" t="str">
        <f>B103</f>
        <v>总价（元）</v>
      </c>
      <c r="C107" s="2812">
        <f>H125</f>
        <v>0</v>
      </c>
      <c r="D107" s="2813"/>
      <c r="E107" s="1461"/>
      <c r="F107" s="3542" t="s">
        <v>2782</v>
      </c>
      <c r="G107" s="3543"/>
      <c r="H107" s="2819" t="str">
        <f>C112</f>
        <v>总额（元）</v>
      </c>
      <c r="I107" s="2818">
        <f>SUMIF(I108:I110,"&lt;9E307")</f>
        <v>0</v>
      </c>
      <c r="J107" s="2860"/>
    </row>
    <row r="108" spans="1:36" ht="15" thickBot="1">
      <c r="A108" s="3537"/>
      <c r="B108" s="2814" t="s">
        <v>2774</v>
      </c>
      <c r="C108" s="2815" t="e">
        <f>I125</f>
        <v>#DIV/0!</v>
      </c>
      <c r="D108" s="2816"/>
      <c r="E108" s="1461"/>
      <c r="F108" s="3508" t="s">
        <v>2783</v>
      </c>
      <c r="G108" s="3509"/>
      <c r="H108" s="2819" t="str">
        <f>C113</f>
        <v>总额（元）</v>
      </c>
      <c r="I108" s="2820">
        <f>IF(D38="同一抵押权人同一抵押物续贷",C38&amp;"（续贷，未扣减，详见特别提示）",C38)</f>
        <v>0</v>
      </c>
      <c r="J108" s="2844"/>
      <c r="L108" s="1464" t="str">
        <f>IF(D125=0,"本次评估不存在"&amp;A125&amp;"。","本次评估"&amp;A125&amp;"为"&amp;D125&amp;"元人民币。")</f>
        <v>本次评估不存在北京市房地产。</v>
      </c>
      <c r="M108" s="1461"/>
      <c r="N108" s="1461"/>
      <c r="O108" s="1461"/>
      <c r="P108" s="1461"/>
      <c r="Q108" s="1461"/>
    </row>
    <row r="109" spans="1:36" ht="15">
      <c r="A109" s="3606" t="s">
        <v>1872</v>
      </c>
      <c r="B109" s="3607"/>
      <c r="C109" s="3607"/>
      <c r="D109" s="3608"/>
      <c r="E109" s="1461"/>
      <c r="F109" s="3508" t="s">
        <v>2784</v>
      </c>
      <c r="G109" s="3509"/>
      <c r="H109" s="2819" t="str">
        <f>C114</f>
        <v>总额（元）</v>
      </c>
      <c r="I109" s="52">
        <f>C39</f>
        <v>0</v>
      </c>
      <c r="J109" s="2844"/>
    </row>
    <row r="110" spans="1:36" ht="12.75">
      <c r="A110" s="3506" t="s">
        <v>2787</v>
      </c>
      <c r="B110" s="3507"/>
      <c r="C110" s="2817" t="str">
        <f>B103</f>
        <v>总价（元）</v>
      </c>
      <c r="D110" s="2818">
        <f>H125</f>
        <v>0</v>
      </c>
      <c r="E110" s="1461"/>
      <c r="F110" s="3508" t="s">
        <v>2785</v>
      </c>
      <c r="G110" s="3509"/>
      <c r="H110" s="2819" t="str">
        <f>C115</f>
        <v>总额（元）</v>
      </c>
      <c r="I110" s="52">
        <f>C40</f>
        <v>0</v>
      </c>
      <c r="J110" s="2844"/>
    </row>
    <row r="111" spans="1:36" ht="12.75">
      <c r="A111" s="3506"/>
      <c r="B111" s="3507"/>
      <c r="C111" s="2817" t="s">
        <v>2788</v>
      </c>
      <c r="D111" s="52" t="e">
        <f>I125</f>
        <v>#DIV/0!</v>
      </c>
      <c r="E111" s="1461"/>
      <c r="F111" s="3506"/>
      <c r="G111" s="3507"/>
      <c r="H111" s="3540"/>
      <c r="I111" s="3541"/>
      <c r="J111" s="2862"/>
    </row>
    <row r="112" spans="1:36" ht="28.5" customHeight="1">
      <c r="A112" s="3577" t="s">
        <v>2782</v>
      </c>
      <c r="B112" s="3578"/>
      <c r="C112" s="2819" t="str">
        <f>IF(H19="元","总额（元）","总额（万元）")</f>
        <v>总额（元）</v>
      </c>
      <c r="D112" s="2818">
        <f>IF(D38="正常操作",I108+I109+I110,I109+I110)</f>
        <v>0</v>
      </c>
      <c r="E112" s="1461"/>
      <c r="F112" s="3489" t="str">
        <f>IF(项目基本情况!F5="已注销","——","3.房地产抵押价值")</f>
        <v>3.房地产抵押价值</v>
      </c>
      <c r="G112" s="3490"/>
      <c r="H112" s="1481" t="str">
        <f>C116</f>
        <v>总价（元）</v>
      </c>
      <c r="I112" s="2818">
        <f>IF(F112="——","——",I104-I107)</f>
        <v>0</v>
      </c>
      <c r="J112" s="2860"/>
    </row>
    <row r="113" spans="1:27" ht="12.75">
      <c r="A113" s="3508" t="s">
        <v>2789</v>
      </c>
      <c r="B113" s="3509"/>
      <c r="C113" s="2819" t="str">
        <f>C112</f>
        <v>总额（元）</v>
      </c>
      <c r="D113" s="52">
        <f>IF(D38="同一抵押权人同一抵押物续贷",C38&amp;"（未扣减，详见特别提示）",C38)</f>
        <v>0</v>
      </c>
      <c r="E113" s="1461"/>
      <c r="F113" s="3491"/>
      <c r="G113" s="3492"/>
      <c r="H113" s="2817" t="s">
        <v>2781</v>
      </c>
      <c r="I113" s="2821" t="e">
        <f>D117</f>
        <v>#DIV/0!</v>
      </c>
      <c r="J113" s="2863"/>
    </row>
    <row r="114" spans="1:27" ht="12.75">
      <c r="A114" s="3508" t="s">
        <v>2790</v>
      </c>
      <c r="B114" s="3509"/>
      <c r="C114" s="2819" t="str">
        <f>C112</f>
        <v>总额（元）</v>
      </c>
      <c r="D114" s="52">
        <f>C39</f>
        <v>0</v>
      </c>
      <c r="E114" s="1461"/>
      <c r="F114" s="3489" t="str">
        <f>IF(项目基本情况!F5="已注销及未注销","4.抵押担保权已注销时的房地产抵押价值",IF(项目基本情况!F5="已注销","3.抵押担保权已注销时的房地产抵押价值","——"))</f>
        <v>——</v>
      </c>
      <c r="G114" s="3490"/>
      <c r="H114" s="1481" t="str">
        <f>C118</f>
        <v>总价（元）</v>
      </c>
      <c r="I114" s="2818" t="str">
        <f>IF(F114="——","——",I104-I109-I110)</f>
        <v>——</v>
      </c>
      <c r="J114" s="2860"/>
    </row>
    <row r="115" spans="1:27" ht="12.75">
      <c r="A115" s="3508" t="s">
        <v>2791</v>
      </c>
      <c r="B115" s="3509"/>
      <c r="C115" s="2819" t="str">
        <f>C112</f>
        <v>总额（元）</v>
      </c>
      <c r="D115" s="52">
        <f>C40</f>
        <v>0</v>
      </c>
      <c r="E115" s="1461"/>
      <c r="F115" s="3491"/>
      <c r="G115" s="3492"/>
      <c r="H115" s="2817" t="s">
        <v>2781</v>
      </c>
      <c r="I115" s="52" t="str">
        <f>D119</f>
        <v>——</v>
      </c>
      <c r="J115" s="2844"/>
    </row>
    <row r="116" spans="1:27" ht="12.75">
      <c r="A116" s="3506" t="str">
        <f>IF(项目基本情况!F5="已注销","——","3.房地产抵押价值")</f>
        <v>3.房地产抵押价值</v>
      </c>
      <c r="B116" s="3507"/>
      <c r="C116" s="2817" t="str">
        <f>B103</f>
        <v>总价（元）</v>
      </c>
      <c r="D116" s="2818">
        <f>IF(A116="——","——",D110-D112)</f>
        <v>0</v>
      </c>
      <c r="E116" s="1461"/>
      <c r="F116" s="3489" t="str">
        <f>IF(项目基本情况!G5="抵押净值",IF(OR(项目基本情况!F5="已注销",项目基本情况!F5="房地产抵押价值"),"4.抵押净值","5.抵押净值"),"——")</f>
        <v>——</v>
      </c>
      <c r="G116" s="3490"/>
      <c r="H116" s="2817" t="str">
        <f>C120</f>
        <v>总价（元）</v>
      </c>
      <c r="I116" s="2818" t="str">
        <f>IF(F116="——","——",O61)</f>
        <v>——</v>
      </c>
      <c r="J116" s="2860"/>
    </row>
    <row r="117" spans="1:27" ht="13.5" thickBot="1">
      <c r="A117" s="3506"/>
      <c r="B117" s="3507"/>
      <c r="C117" s="2817" t="s">
        <v>2788</v>
      </c>
      <c r="D117" s="52" t="e">
        <f>ROUND(IF(D116=D110,D111,IF(H19="元",D116/B125,D116*10000/B125)),0)</f>
        <v>#DIV/0!</v>
      </c>
      <c r="E117" s="1461"/>
      <c r="F117" s="3569"/>
      <c r="G117" s="3570"/>
      <c r="H117" s="2822" t="s">
        <v>2781</v>
      </c>
      <c r="I117" s="2806" t="str">
        <f>D121</f>
        <v>——</v>
      </c>
      <c r="J117" s="2844"/>
    </row>
    <row r="118" spans="1:27" ht="15.75">
      <c r="A118" s="3506" t="str">
        <f>IF(项目基本情况!F5="已注销及未注销","4.抵押担保权已注销时的房地产抵押价值",IF(项目基本情况!F5="已注销","3.抵押担保权已注销时的房地产抵押价值","——"))</f>
        <v>——</v>
      </c>
      <c r="B118" s="3507"/>
      <c r="C118" s="2817" t="str">
        <f>B103</f>
        <v>总价（元）</v>
      </c>
      <c r="D118" s="2818" t="str">
        <f>IF(A118="——","——",D110-D114-D115)</f>
        <v>——</v>
      </c>
      <c r="E118" s="1461"/>
      <c r="F118" s="3484"/>
      <c r="G118" s="3484"/>
      <c r="H118" s="3525"/>
      <c r="I118" s="3525"/>
      <c r="J118" s="2864"/>
      <c r="O118" s="32"/>
      <c r="P118" s="32"/>
    </row>
    <row r="119" spans="1:27" s="1308" customFormat="1" ht="12.75">
      <c r="A119" s="3506"/>
      <c r="B119" s="3507"/>
      <c r="C119" s="2817" t="s">
        <v>2788</v>
      </c>
      <c r="D119" s="52" t="str">
        <f>IF(A118="——","——",IF(H19="元",ROUND(D118/B125,0),ROUND(D118*10000/B125,0)))</f>
        <v>——</v>
      </c>
      <c r="E119" s="1461"/>
      <c r="F119" s="3609" t="str">
        <f>IF(B33="总价","（以上估价结果中楼面单价为总价除以建筑面积得出）","（以上估价结果中总价为楼面单价乘以建筑面积得出）")</f>
        <v>（以上估价结果中总价为楼面单价乘以建筑面积得出）</v>
      </c>
      <c r="G119" s="3609"/>
      <c r="H119" s="3609"/>
      <c r="I119" s="3609"/>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506" t="str">
        <f>IF(项目基本情况!G5="抵押净值",IF(OR(项目基本情况!F5="已注销",项目基本情况!F5="房地产抵押价值"),"4.抵押净值","5.抵押净值"),"——")</f>
        <v>——</v>
      </c>
      <c r="B120" s="3507"/>
      <c r="C120" s="2817" t="str">
        <f>B103</f>
        <v>总价（元）</v>
      </c>
      <c r="D120" s="2818" t="str">
        <f>IF(A120="——","——",O61)</f>
        <v>——</v>
      </c>
      <c r="E120" s="1461"/>
      <c r="F120" s="1515"/>
      <c r="G120" s="1515"/>
      <c r="H120" s="1515"/>
      <c r="I120" s="1515"/>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575"/>
      <c r="B121" s="3576"/>
      <c r="C121" s="2822" t="s">
        <v>2788</v>
      </c>
      <c r="D121" s="2806" t="str">
        <f>IF(D120=D110,D111,IF(A120="——","——",O63))</f>
        <v>——</v>
      </c>
      <c r="E121" s="1461"/>
      <c r="F121" s="1515"/>
      <c r="G121" s="1515"/>
      <c r="H121" s="1515"/>
      <c r="I121" s="1515"/>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5">
      <c r="A122" s="3526" t="s">
        <v>1911</v>
      </c>
      <c r="B122" s="3527"/>
      <c r="C122" s="3527"/>
      <c r="D122" s="3527"/>
      <c r="E122" s="3527"/>
      <c r="F122" s="3527"/>
      <c r="G122" s="3527"/>
      <c r="H122" s="3527"/>
      <c r="I122" s="3527"/>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499" t="s">
        <v>2792</v>
      </c>
      <c r="B123" s="3497" t="s">
        <v>2793</v>
      </c>
      <c r="C123" s="3497" t="s">
        <v>2799</v>
      </c>
      <c r="D123" s="3504" t="s">
        <v>2794</v>
      </c>
      <c r="E123" s="3505"/>
      <c r="F123" s="3495" t="s">
        <v>2800</v>
      </c>
      <c r="G123" s="3495"/>
      <c r="H123" s="3495" t="s">
        <v>2795</v>
      </c>
      <c r="I123" s="3496"/>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499"/>
      <c r="B124" s="3498"/>
      <c r="C124" s="3498"/>
      <c r="D124" s="2090" t="s">
        <v>2796</v>
      </c>
      <c r="E124" s="2090" t="s">
        <v>2801</v>
      </c>
      <c r="F124" s="2090" t="s">
        <v>2796</v>
      </c>
      <c r="G124" s="2090" t="s">
        <v>2797</v>
      </c>
      <c r="H124" s="2090" t="s">
        <v>2796</v>
      </c>
      <c r="I124" s="52" t="s">
        <v>2797</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0" t="str">
        <f>项目基本情况!I1</f>
        <v>北京市房地产</v>
      </c>
      <c r="B125" s="2090">
        <f>典型户型修正!B25</f>
        <v>0</v>
      </c>
      <c r="C125" s="1456"/>
      <c r="D125" s="2090">
        <f>C36</f>
        <v>0</v>
      </c>
      <c r="E125" s="2090" t="e">
        <f>ROUND(IF(H19="元",D125/B125,D125*10000/B125),0)</f>
        <v>#DIV/0!</v>
      </c>
      <c r="F125" s="2090">
        <f>C37</f>
        <v>0</v>
      </c>
      <c r="G125" s="2090" t="e">
        <f>ROUND(IF(H19="元",F125/B125,F125*10000/B125),0)</f>
        <v>#DIV/0!</v>
      </c>
      <c r="H125" s="2090">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499" t="s">
        <v>2798</v>
      </c>
      <c r="B126" s="3495"/>
      <c r="C126" s="3495"/>
      <c r="D126" s="3530" t="str">
        <f>IF(H19="元",NUMBERSTRING(INT(D125),2)&amp;"元整",NUMBERSTRING(INT(D125*10000),2)&amp;"元整")</f>
        <v>零元整</v>
      </c>
      <c r="E126" s="3531"/>
      <c r="F126" s="3530" t="str">
        <f>IF(H19="元",NUMBERSTRING(INT(F125),2)&amp;"元整",NUMBERSTRING(INT(F125*10000),2)&amp;"元整")</f>
        <v>零元整</v>
      </c>
      <c r="G126" s="3531"/>
      <c r="H126" s="3530" t="str">
        <f>IF(H19="元",NUMBERSTRING(INT(H125),2)&amp;"元整",NUMBERSTRING(INT(H125*10000),2)&amp;"元整")</f>
        <v>零元整</v>
      </c>
      <c r="I126" s="3579"/>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519" t="str">
        <f>IF(项目基本情况!D5="房地产市场价值","——",MID(A112,3,LEN(A112)-2))</f>
        <v>——</v>
      </c>
      <c r="B127" s="3532"/>
      <c r="C127" s="3521"/>
      <c r="D127" s="3523">
        <f>I107</f>
        <v>0</v>
      </c>
      <c r="E127" s="3532"/>
      <c r="F127" s="3532"/>
      <c r="G127" s="3532"/>
      <c r="H127" s="3532"/>
      <c r="I127" s="3520"/>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533" t="s">
        <v>2798</v>
      </c>
      <c r="B128" s="3534"/>
      <c r="C128" s="3535"/>
      <c r="D128" s="3571">
        <f>H111</f>
        <v>0</v>
      </c>
      <c r="E128" s="3572"/>
      <c r="F128" s="3572"/>
      <c r="G128" s="3572"/>
      <c r="H128" s="3572"/>
      <c r="I128" s="3573"/>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506" t="str">
        <f>IF(项目基本情况!D5="房地产市场价值","——",MID(A116,3,LEN(A116)-2))</f>
        <v>——</v>
      </c>
      <c r="B129" s="3507"/>
      <c r="C129" s="3507"/>
      <c r="D129" s="3523">
        <f>I112</f>
        <v>0</v>
      </c>
      <c r="E129" s="3532"/>
      <c r="F129" s="3532"/>
      <c r="G129" s="3532"/>
      <c r="H129" s="3532"/>
      <c r="I129" s="3520"/>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499" t="s">
        <v>2798</v>
      </c>
      <c r="B130" s="3495"/>
      <c r="C130" s="3495"/>
      <c r="D130" s="3571" t="e">
        <f>I113</f>
        <v>#DIV/0!</v>
      </c>
      <c r="E130" s="3572"/>
      <c r="F130" s="3572"/>
      <c r="G130" s="3572"/>
      <c r="H130" s="3572"/>
      <c r="I130" s="3573"/>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506" t="str">
        <f>IF(项目基本情况!D5="房地产市场价值","——",MID(A118,3,LEN(A118)-2))</f>
        <v>——</v>
      </c>
      <c r="B131" s="3507"/>
      <c r="C131" s="3507"/>
      <c r="D131" s="3479" t="str">
        <f>I114</f>
        <v>——</v>
      </c>
      <c r="E131" s="3480"/>
      <c r="F131" s="3480"/>
      <c r="G131" s="3480"/>
      <c r="H131" s="3480"/>
      <c r="I131" s="3481"/>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499" t="s">
        <v>2798</v>
      </c>
      <c r="B132" s="3495"/>
      <c r="C132" s="3546"/>
      <c r="D132" s="3524" t="str">
        <f>I115</f>
        <v>——</v>
      </c>
      <c r="E132" s="3524"/>
      <c r="F132" s="3524"/>
      <c r="G132" s="3524"/>
      <c r="H132" s="3524"/>
      <c r="I132" s="3524"/>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506" t="str">
        <f>IF(项目基本情况!D5="房地产市场价值","——",MID(F116,3,LEN(F116)-2))</f>
        <v>——</v>
      </c>
      <c r="B133" s="3507"/>
      <c r="C133" s="3523"/>
      <c r="D133" s="3574" t="str">
        <f>I116</f>
        <v>——</v>
      </c>
      <c r="E133" s="3574"/>
      <c r="F133" s="3574"/>
      <c r="G133" s="3574"/>
      <c r="H133" s="3574"/>
      <c r="I133" s="3574"/>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562" t="s">
        <v>2798</v>
      </c>
      <c r="B134" s="3563"/>
      <c r="C134" s="3563"/>
      <c r="D134" s="3580">
        <f>H118</f>
        <v>0</v>
      </c>
      <c r="E134" s="3581"/>
      <c r="F134" s="3581"/>
      <c r="G134" s="3581"/>
      <c r="H134" s="3581"/>
      <c r="I134" s="3582"/>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567" t="str">
        <f>IF(B33="总价","（以上估价结果中楼面单价为总价除以建筑面积得出）","（以上估价结果中总价为楼面单价乘以建筑面积得出）")</f>
        <v>（以上估价结果中总价为楼面单价乘以建筑面积得出）</v>
      </c>
      <c r="B136" s="3567"/>
      <c r="C136" s="3567"/>
      <c r="D136" s="3567"/>
      <c r="E136" s="3567"/>
      <c r="F136" s="3567"/>
      <c r="G136" s="3567"/>
      <c r="H136" s="3567"/>
      <c r="I136" s="3567"/>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Normal="80" zoomScaleSheetLayoutView="100" workbookViewId="0">
      <selection activeCell="F20" sqref="F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731428</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11395</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1917</v>
      </c>
      <c r="B5" s="89" t="s">
        <v>1918</v>
      </c>
      <c r="C5" s="111">
        <f>C6+C7+C8</f>
        <v>510346</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'[2]2002基准地价'!$E$18</f>
        <v>495241</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15105</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t="str">
        <f>IF(G8="已包含在土地购买价格中","0",'数据-取费表'!E13)</f>
        <v>0</v>
      </c>
      <c r="D8" s="1170"/>
      <c r="E8" s="115"/>
      <c r="F8" s="1169"/>
      <c r="G8" s="1518" t="s">
        <v>2934</v>
      </c>
    </row>
    <row r="9" spans="1:123" s="91" customFormat="1" ht="13.5" customHeight="1">
      <c r="A9" s="993" t="s">
        <v>945</v>
      </c>
      <c r="B9" s="97" t="s">
        <v>1928</v>
      </c>
      <c r="C9" s="1171">
        <f>ROUND(D9*E9,0)</f>
        <v>10270</v>
      </c>
      <c r="D9" s="1172">
        <f>IF('数据-取费表'!B10="住宅",IF(B1="仅计算典型户型",'数据-取费表'!E5,'数据-取费表'!B5),0)</f>
        <v>64.19</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190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64.19</v>
      </c>
      <c r="E19" s="111">
        <f>'数据-取费表'!E15</f>
        <v>200</v>
      </c>
      <c r="F19" s="112"/>
      <c r="G19" s="1518" t="s">
        <v>2935</v>
      </c>
    </row>
    <row r="20" spans="1:123" s="91" customFormat="1" ht="13.5" customHeight="1">
      <c r="A20" s="120" t="s">
        <v>1941</v>
      </c>
      <c r="B20" s="89" t="s">
        <v>1942</v>
      </c>
      <c r="C20" s="99">
        <f>ROUND((C5+C19)*F20,0)</f>
        <v>5103</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33954</v>
      </c>
      <c r="D22" s="101">
        <f ca="1">C26</f>
        <v>2.9999999999999997E-4</v>
      </c>
      <c r="E22" s="102" t="s">
        <v>1946</v>
      </c>
      <c r="F22" s="103">
        <f ca="1">'数据-取费表'!E27</f>
        <v>6.6200000000000009E-2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33785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169</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2.9999999999999997E-4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41236</v>
      </c>
      <c r="D27" s="101">
        <f>C29</f>
        <v>8.0000000000000004E-4</v>
      </c>
      <c r="E27" s="102" t="s">
        <v>1946</v>
      </c>
      <c r="F27" s="112">
        <f>'数据-取费表'!E28</f>
        <v>0.08</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41236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8.0000000000000004E-4</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5.5E-2</v>
      </c>
      <c r="D30" s="102" t="s">
        <v>1946</v>
      </c>
      <c r="E30" s="107"/>
      <c r="F30" s="103">
        <f>'数据-取费表'!E29</f>
        <v>5.5000000000000007E-2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632444</v>
      </c>
      <c r="D31" s="1175"/>
      <c r="E31" s="111"/>
      <c r="F31" s="1176"/>
      <c r="G31" s="100" t="s">
        <v>1968</v>
      </c>
    </row>
    <row r="32" spans="1:123" s="88" customFormat="1" ht="15.75">
      <c r="A32" s="117" t="s">
        <v>1969</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1970</v>
      </c>
      <c r="B33" s="89" t="s">
        <v>1971</v>
      </c>
      <c r="C33" s="121">
        <f>SUM(C34:C38)</f>
        <v>137045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115542</v>
      </c>
      <c r="D34" s="1167"/>
      <c r="E34" s="115"/>
      <c r="F34" s="1178" t="str">
        <f>IF('数据-取费表'!B26=0,"",'数据-取费表'!E20)</f>
        <v/>
      </c>
      <c r="G34" s="95"/>
    </row>
    <row r="35" spans="1:123" ht="13.5" customHeight="1">
      <c r="A35" s="92" t="s">
        <v>1924</v>
      </c>
      <c r="B35" s="93" t="s">
        <v>1973</v>
      </c>
      <c r="C35" s="115">
        <f>ROUND(C34*F35,0)</f>
        <v>3466</v>
      </c>
      <c r="D35" s="115"/>
      <c r="E35" s="115"/>
      <c r="F35" s="1179">
        <f>'数据-取费表'!E21</f>
        <v>0.03</v>
      </c>
      <c r="G35" s="95" t="s">
        <v>1974</v>
      </c>
    </row>
    <row r="36" spans="1:123" ht="24">
      <c r="A36" s="92" t="s">
        <v>1926</v>
      </c>
      <c r="B36" s="93" t="s">
        <v>1975</v>
      </c>
      <c r="C36" s="115">
        <f>ROUND(IF('数据-取费表'!B10="住宅",C34*F36,0),0)</f>
        <v>3466</v>
      </c>
      <c r="D36" s="115"/>
      <c r="E36" s="115"/>
      <c r="F36" s="1179">
        <f>'数据-取费表'!E22</f>
        <v>0.03</v>
      </c>
      <c r="G36" s="123" t="s">
        <v>1976</v>
      </c>
    </row>
    <row r="37" spans="1:123" s="122" customFormat="1" ht="13.5" customHeight="1">
      <c r="A37" s="92" t="s">
        <v>1957</v>
      </c>
      <c r="B37" s="93" t="s">
        <v>1977</v>
      </c>
      <c r="C37" s="115">
        <f>ROUND(E37*D37,0)</f>
        <v>12838</v>
      </c>
      <c r="D37" s="1167">
        <f>IF(B1="仅计算典型户型",'数据-取费表'!E5,'数据-取费表'!B5)</f>
        <v>64.19</v>
      </c>
      <c r="E37" s="115">
        <f>'数据-取费表'!E23</f>
        <v>200</v>
      </c>
      <c r="F37" s="1179"/>
      <c r="G37" s="124" t="s">
        <v>1978</v>
      </c>
    </row>
    <row r="38" spans="1:123" ht="13.5" customHeight="1">
      <c r="A38" s="92" t="s">
        <v>1979</v>
      </c>
      <c r="B38" s="93" t="s">
        <v>1980</v>
      </c>
      <c r="C38" s="115">
        <f>ROUND(C34*F38,0)</f>
        <v>1733</v>
      </c>
      <c r="D38" s="115"/>
      <c r="E38" s="115"/>
      <c r="F38" s="1179">
        <f>'数据-取费表'!E24</f>
        <v>1.4999999999999999E-2</v>
      </c>
      <c r="G38" s="95" t="s">
        <v>1974</v>
      </c>
    </row>
    <row r="39" spans="1:123" s="91" customFormat="1" ht="13.5" customHeight="1">
      <c r="A39" s="120" t="s">
        <v>1939</v>
      </c>
      <c r="B39" s="89" t="s">
        <v>1942</v>
      </c>
      <c r="C39" s="99">
        <f>ROUND(C33*F20,0)</f>
        <v>1370</v>
      </c>
      <c r="D39" s="99"/>
      <c r="E39" s="99"/>
      <c r="F39" s="2886">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6">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4581</v>
      </c>
      <c r="D41" s="101">
        <f ca="1">C44</f>
        <v>2.9999999999999997E-4</v>
      </c>
      <c r="E41" s="102" t="s">
        <v>1982</v>
      </c>
      <c r="F41" s="2886">
        <f ca="1">F22</f>
        <v>6.6200000000000009E-2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4536</v>
      </c>
      <c r="D42" s="104"/>
      <c r="E42" s="104"/>
      <c r="F42" s="105"/>
      <c r="G42" s="3612" t="s">
        <v>1984</v>
      </c>
    </row>
    <row r="43" spans="1:123" ht="13.5" customHeight="1">
      <c r="A43" s="92" t="s">
        <v>1924</v>
      </c>
      <c r="B43" s="93" t="s">
        <v>1953</v>
      </c>
      <c r="C43" s="104">
        <f ca="1">ROUND(IF('数据-取费表'!B24&lt;=1,C39*F22*'数据-取费表'!B23/2,C39*(POWER((1+F22),'数据-取费表'!B23/2)-1)),0)</f>
        <v>45</v>
      </c>
      <c r="D43" s="104"/>
      <c r="E43" s="104"/>
      <c r="F43" s="105"/>
      <c r="G43" s="3613"/>
    </row>
    <row r="44" spans="1:123" ht="13.5" customHeight="1">
      <c r="A44" s="92" t="s">
        <v>1926</v>
      </c>
      <c r="B44" s="93" t="s">
        <v>1955</v>
      </c>
      <c r="C44" s="104">
        <f ca="1">ROUND(IF('数据-取费表'!B24&lt;=1,C40*F22*'数据-取费表'!B23/2,C40*(POWER((1+F22),'数据-取费表'!B23/2)-1)),4)</f>
        <v>2.9999999999999997E-4</v>
      </c>
      <c r="D44" s="104"/>
      <c r="E44" s="104"/>
      <c r="F44" s="105"/>
      <c r="G44" s="3614"/>
    </row>
    <row r="45" spans="1:123" s="91" customFormat="1" ht="13.5" customHeight="1">
      <c r="A45" s="120" t="s">
        <v>1948</v>
      </c>
      <c r="B45" s="110" t="s">
        <v>1960</v>
      </c>
      <c r="C45" s="111">
        <f>C46</f>
        <v>11073</v>
      </c>
      <c r="D45" s="101">
        <f>C47</f>
        <v>8.0000000000000004E-4</v>
      </c>
      <c r="E45" s="102" t="s">
        <v>1982</v>
      </c>
      <c r="F45" s="2887">
        <f>F27</f>
        <v>0.08</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11073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8.0000000000000004E-4</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5.5E-2</v>
      </c>
      <c r="D48" s="102" t="s">
        <v>1982</v>
      </c>
      <c r="E48" s="99"/>
      <c r="F48" s="2886">
        <f>F30</f>
        <v>5.5000000000000007E-2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164974</v>
      </c>
      <c r="D49" s="99"/>
      <c r="E49" s="99"/>
      <c r="F49" s="126"/>
      <c r="G49" s="100" t="s">
        <v>1992</v>
      </c>
    </row>
    <row r="50" spans="1:123" s="122" customFormat="1" ht="24">
      <c r="A50" s="994" t="s">
        <v>1993</v>
      </c>
      <c r="B50" s="89" t="s">
        <v>1994</v>
      </c>
      <c r="C50" s="99"/>
      <c r="D50" s="99"/>
      <c r="E50" s="99"/>
      <c r="F50" s="126">
        <f>IF('数据-取费表'!B26=0,'数据-取费表'!E20,1)</f>
        <v>0.6</v>
      </c>
      <c r="G50" s="113" t="s">
        <v>1995</v>
      </c>
    </row>
    <row r="51" spans="1:123" ht="16.5" customHeight="1">
      <c r="A51" s="994" t="s">
        <v>1996</v>
      </c>
      <c r="B51" s="89" t="s">
        <v>1997</v>
      </c>
      <c r="C51" s="99">
        <f ca="1">ROUND(C49*F50,0)</f>
        <v>98984</v>
      </c>
      <c r="D51" s="99"/>
      <c r="E51" s="99"/>
      <c r="F51" s="126"/>
      <c r="G51" s="100" t="s">
        <v>1998</v>
      </c>
    </row>
    <row r="52" spans="1:123" s="88" customFormat="1" ht="16.5" thickBot="1">
      <c r="A52" s="127" t="s">
        <v>1999</v>
      </c>
      <c r="B52" s="128"/>
      <c r="C52" s="129">
        <f ca="1">C31+C51</f>
        <v>731428</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2000</v>
      </c>
      <c r="C55" s="133"/>
    </row>
    <row r="56" spans="1:123">
      <c r="B56" s="135" t="s">
        <v>2001</v>
      </c>
      <c r="C56" s="136">
        <f ca="1">ROUND(C51/C52,3)</f>
        <v>0.13500000000000001</v>
      </c>
    </row>
    <row r="57" spans="1:123">
      <c r="B57" s="135" t="s">
        <v>2002</v>
      </c>
      <c r="C57" s="137">
        <f ca="1">1-C56</f>
        <v>0.86499999999999999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10066</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0.03</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-10270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-10270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-103</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6.6200000000000009E-2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-830</v>
      </c>
      <c r="D28" s="183">
        <f>C29</f>
        <v>8.2400000000000001E-2</v>
      </c>
      <c r="E28" s="189" t="s">
        <v>12</v>
      </c>
      <c r="F28" s="200">
        <f>'数据-取费表'!E28</f>
        <v>0.08</v>
      </c>
      <c r="G28" s="185"/>
      <c r="H28" s="186"/>
      <c r="I28" s="186"/>
      <c r="J28" s="186"/>
      <c r="K28" s="187"/>
    </row>
    <row r="29" spans="1:33" s="204" customFormat="1" ht="13.5" customHeight="1">
      <c r="A29" s="996" t="s">
        <v>1341</v>
      </c>
      <c r="B29" s="202" t="s">
        <v>1342</v>
      </c>
      <c r="C29" s="193">
        <f>ROUND((1+C24)*F28,4)</f>
        <v>8.2400000000000001E-2</v>
      </c>
      <c r="D29" s="193"/>
      <c r="E29" s="194"/>
      <c r="F29" s="203"/>
      <c r="G29" s="147" t="s">
        <v>1343</v>
      </c>
      <c r="H29" s="170"/>
      <c r="I29" s="170"/>
      <c r="J29" s="170"/>
      <c r="K29" s="171"/>
    </row>
    <row r="30" spans="1:33" s="204" customFormat="1" ht="13.5" customHeight="1">
      <c r="A30" s="996" t="s">
        <v>1344</v>
      </c>
      <c r="B30" s="202" t="s">
        <v>1345</v>
      </c>
      <c r="C30" s="205">
        <f>ROUND((C21+C22+C23)*F28,0)</f>
        <v>-830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10066</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2747</v>
      </c>
      <c r="E1" s="1626" t="s">
        <v>1240</v>
      </c>
      <c r="F1" s="1627"/>
      <c r="G1" s="1628"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-97021</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-1511</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2725</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2700</v>
      </c>
      <c r="E6" s="235" t="s">
        <v>2015</v>
      </c>
      <c r="F6" s="236">
        <f>'数据-取费表'!B30</f>
        <v>0</v>
      </c>
      <c r="G6" s="951"/>
      <c r="H6" s="1057" t="s">
        <v>2013</v>
      </c>
      <c r="I6" s="1442"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64.19</v>
      </c>
      <c r="G7" s="951"/>
      <c r="H7" s="237"/>
      <c r="I7" s="238"/>
      <c r="J7" s="239"/>
      <c r="K7" s="240"/>
      <c r="L7" s="235" t="s">
        <v>2016</v>
      </c>
      <c r="M7" s="236">
        <f>IF('数据-取费表'!B42="",IF(D1="仅计算典型户型",'数据-取费表'!E5,'数据-取费表'!B5),'数据-取费表'!B42)</f>
        <v>64.19</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0.05</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2706</v>
      </c>
      <c r="E10" s="246" t="s">
        <v>2022</v>
      </c>
      <c r="F10" s="1523" t="s">
        <v>2023</v>
      </c>
      <c r="G10" s="951"/>
      <c r="H10" s="1057" t="s">
        <v>2020</v>
      </c>
      <c r="I10" s="1521" t="s">
        <v>2021</v>
      </c>
      <c r="J10" s="1058">
        <f ca="1">ROUND(IF(M10="押一",J6/12*M11,IF(M10="押二",J6/12*2*M11,IF(M10="押三",J6/12*3*M11,J11*M11))),0)</f>
        <v>0</v>
      </c>
      <c r="K10" s="36" t="s">
        <v>2706</v>
      </c>
      <c r="L10" s="246" t="s">
        <v>2022</v>
      </c>
      <c r="M10" s="1523"/>
    </row>
    <row r="11" spans="1:37" s="257" customFormat="1" ht="18" customHeight="1">
      <c r="A11" s="263"/>
      <c r="B11" s="1524" t="s">
        <v>2024</v>
      </c>
      <c r="C11" s="1091"/>
      <c r="D11" s="240"/>
      <c r="E11" s="246" t="s">
        <v>2025</v>
      </c>
      <c r="F11" s="247">
        <f ca="1">'数据-取费表'!B31</f>
        <v>2.52E-2</v>
      </c>
      <c r="G11" s="952"/>
      <c r="H11" s="241"/>
      <c r="I11" s="1524" t="s">
        <v>2026</v>
      </c>
      <c r="J11" s="1091"/>
      <c r="K11" s="240"/>
      <c r="L11" s="246" t="s">
        <v>2025</v>
      </c>
      <c r="M11" s="247">
        <f ca="1">'数据-取费表'!B31</f>
        <v>2.52E-2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98984</v>
      </c>
      <c r="D13" s="1094" t="s">
        <v>2030</v>
      </c>
      <c r="E13" s="1094" t="s">
        <v>2031</v>
      </c>
      <c r="F13" s="1095">
        <f>'数据-取费表'!E20</f>
        <v>0.6</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115542</v>
      </c>
      <c r="D14" s="1328" t="s">
        <v>2034</v>
      </c>
      <c r="E14" s="1329"/>
      <c r="F14" s="799"/>
      <c r="G14" s="952"/>
      <c r="H14" s="253" t="s">
        <v>2013</v>
      </c>
      <c r="I14" s="235" t="s">
        <v>2035</v>
      </c>
      <c r="J14" s="13">
        <f ca="1">C29</f>
        <v>164974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3466</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3466</v>
      </c>
      <c r="D16" s="235" t="s">
        <v>2038</v>
      </c>
      <c r="E16" s="235" t="s">
        <v>2039</v>
      </c>
      <c r="F16" s="258">
        <f>IF('数据-取费表'!B10="住宅",'数据-取费表'!E22,0)</f>
        <v>0.03</v>
      </c>
      <c r="G16" s="952"/>
      <c r="H16" s="1092" t="s">
        <v>14</v>
      </c>
      <c r="I16" s="1093" t="s">
        <v>2044</v>
      </c>
      <c r="J16" s="243">
        <f ca="1">ROUND(J17+J22+J23+J24,0)</f>
        <v>2475</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12838</v>
      </c>
      <c r="D17" s="235" t="s">
        <v>2048</v>
      </c>
      <c r="E17" s="235" t="s">
        <v>2049</v>
      </c>
      <c r="F17" s="15">
        <f>'数据-取费表'!E23</f>
        <v>200</v>
      </c>
      <c r="G17" s="952"/>
      <c r="H17" s="253" t="s">
        <v>2050</v>
      </c>
      <c r="I17" s="235" t="s">
        <v>2051</v>
      </c>
      <c r="J17" s="2825">
        <f>ROUND(IF(AND(项目基本情况!B7="自然人",项目基本情况!B6="北京市"),J6*M17/(1+'数据-取费表'!F30),J18+J19+J20),0)</f>
        <v>0</v>
      </c>
      <c r="K17" s="1328" t="s">
        <v>2052</v>
      </c>
      <c r="L17" s="1331" t="s">
        <v>2053</v>
      </c>
      <c r="M17" s="2824">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1733</v>
      </c>
      <c r="D18" s="235" t="s">
        <v>2038</v>
      </c>
      <c r="E18" s="235" t="s">
        <v>2039</v>
      </c>
      <c r="F18" s="258">
        <f>'数据-取费表'!E24</f>
        <v>1.4999999999999999E-2</v>
      </c>
      <c r="G18" s="951"/>
      <c r="H18" s="253" t="s">
        <v>2056</v>
      </c>
      <c r="I18" s="235" t="s">
        <v>2057</v>
      </c>
      <c r="J18" s="13" t="str">
        <f>IF(项目基本情况!B7="自然人","——",ROUND(J6*M18/(1+'数据-取费表'!F30),0))</f>
        <v>——</v>
      </c>
      <c r="K18" s="1331" t="s">
        <v>2727</v>
      </c>
      <c r="L18" s="235" t="s">
        <v>2039</v>
      </c>
      <c r="M18" s="258">
        <f>'数据-取费表'!E29</f>
        <v>5.5000000000000007E-2</v>
      </c>
    </row>
    <row r="19" spans="1:37" s="257" customFormat="1" ht="18" customHeight="1">
      <c r="A19" s="253" t="s">
        <v>2050</v>
      </c>
      <c r="B19" s="235" t="s">
        <v>2058</v>
      </c>
      <c r="C19" s="13">
        <f>SUM(C14:C18)</f>
        <v>137045</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1370</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单利计息。建造成本、管理费用、销售费用产生的利息。</v>
      </c>
      <c r="E22" s="1333"/>
      <c r="F22" s="15"/>
      <c r="G22" s="951"/>
      <c r="H22" s="253" t="s">
        <v>2040</v>
      </c>
      <c r="I22" s="235" t="s">
        <v>2075</v>
      </c>
      <c r="J22" s="13">
        <f ca="1">ROUND(J14*M22,0)</f>
        <v>2475</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4581</v>
      </c>
      <c r="D23" s="1432" t="str">
        <f>IF(F23&lt;=1,"(建造成本+管理费用)×利率×(建设周期÷2)","(建造成本+管理费用)×((1+利率)^(建设周期÷2)-1)")</f>
        <v>(建造成本+管理费用)×利率×(建设周期÷2)</v>
      </c>
      <c r="E23" s="235" t="s">
        <v>2078</v>
      </c>
      <c r="F23" s="262">
        <f>'数据-取费表'!B22</f>
        <v>1</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2.9999999999999997E-4</v>
      </c>
      <c r="D24" s="1432" t="str">
        <f>IF(F23&lt;=1,"销售费用×利率×(建设周期÷2)","销售费用×((1+利率)^(建设周期÷2)-1)")</f>
        <v>销售费用×利率×(建设周期÷2)</v>
      </c>
      <c r="E24" s="235" t="s">
        <v>2084</v>
      </c>
      <c r="F24" s="267">
        <f ca="1">'数据-取费表'!E27</f>
        <v>6.6200000000000009E-2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-2475</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11073</v>
      </c>
      <c r="D26" s="259" t="s">
        <v>2092</v>
      </c>
      <c r="E26" s="246" t="s">
        <v>2093</v>
      </c>
      <c r="F26" s="245">
        <f>'数据-取费表'!E28</f>
        <v>0.08</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8.0000000000000004E-4</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5.5E-2</v>
      </c>
      <c r="D28" s="259" t="s">
        <v>2104</v>
      </c>
      <c r="E28" s="235" t="s">
        <v>2064</v>
      </c>
      <c r="F28" s="258">
        <f>'数据-取费表'!E29</f>
        <v>5.5000000000000007E-2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164974</v>
      </c>
      <c r="D29" s="1105"/>
      <c r="E29" s="1103"/>
      <c r="F29" s="1106"/>
      <c r="G29" s="652"/>
      <c r="H29" s="271" t="s">
        <v>24</v>
      </c>
      <c r="I29" s="272" t="s">
        <v>2108</v>
      </c>
      <c r="J29" s="273">
        <f ca="1">ROUND(J26/(1+F40)^F41,0)</f>
        <v>0</v>
      </c>
      <c r="K29" s="274" t="s">
        <v>2109</v>
      </c>
      <c r="L29" s="275"/>
      <c r="M29" s="276">
        <f>IF(D1="仅计算典型户型",'数据-取费表'!E5,'数据-取费表'!B5)</f>
        <v>64.19</v>
      </c>
    </row>
    <row r="30" spans="1:37" ht="18" customHeight="1" thickTop="1">
      <c r="A30" s="1092" t="s">
        <v>14</v>
      </c>
      <c r="B30" s="1093" t="s">
        <v>2110</v>
      </c>
      <c r="C30" s="243">
        <f ca="1">ROUND(C31+C36+C37+C38,0)</f>
        <v>2623</v>
      </c>
      <c r="D30" s="1099" t="s">
        <v>2111</v>
      </c>
      <c r="E30" s="1100"/>
      <c r="F30" s="1101"/>
      <c r="G30" s="652"/>
      <c r="H30" s="931"/>
      <c r="I30" s="932"/>
      <c r="J30" s="933"/>
      <c r="K30" s="934"/>
      <c r="L30" s="935"/>
      <c r="M30" s="936"/>
    </row>
    <row r="31" spans="1:37" ht="18" customHeight="1">
      <c r="A31" s="253" t="s">
        <v>2013</v>
      </c>
      <c r="B31" s="235" t="s">
        <v>2051</v>
      </c>
      <c r="C31" s="2825">
        <f>ROUND(IF(AND(项目基本情况!B7="自然人",项目基本情况!B6="北京市"),C6*F31/(1+'数据-取费表'!F30),C32+C33+C34),0)</f>
        <v>0</v>
      </c>
      <c r="D31" s="1328" t="s">
        <v>2112</v>
      </c>
      <c r="E31" s="1331" t="s">
        <v>2113</v>
      </c>
      <c r="F31" s="2824">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2726</v>
      </c>
      <c r="E32" s="235" t="s">
        <v>2064</v>
      </c>
      <c r="F32" s="267">
        <f>'数据-取费表'!E29</f>
        <v>5.5000000000000007E-2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2885</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1.5</v>
      </c>
      <c r="G34" s="652"/>
      <c r="H34" s="931"/>
      <c r="I34" s="280" t="s">
        <v>2117</v>
      </c>
      <c r="J34" s="281">
        <f ca="1">ROUND(C13*J35,0)</f>
        <v>6434</v>
      </c>
      <c r="K34" s="945"/>
      <c r="L34" s="946"/>
      <c r="M34" s="946"/>
    </row>
    <row r="35" spans="1:18" ht="24.6" customHeight="1">
      <c r="A35" s="1061"/>
      <c r="B35" s="244"/>
      <c r="C35" s="17"/>
      <c r="D35" s="264"/>
      <c r="E35" s="235" t="s">
        <v>2072</v>
      </c>
      <c r="F35" s="236">
        <f>IF(D1="仅计算典型户型",'数据-取费表'!E6,'数据-取费表'!B6)</f>
        <v>0</v>
      </c>
      <c r="G35" s="652" t="s">
        <v>2815</v>
      </c>
      <c r="H35" s="931"/>
      <c r="I35" s="282" t="s">
        <v>2118</v>
      </c>
      <c r="J35" s="283">
        <f>'数据-取费表'!B18</f>
        <v>6.5000000000000002E-2</v>
      </c>
      <c r="K35" s="944"/>
      <c r="L35" s="943"/>
      <c r="M35" s="943"/>
    </row>
    <row r="36" spans="1:18" ht="18" customHeight="1">
      <c r="A36" s="1060" t="s">
        <v>2020</v>
      </c>
      <c r="B36" s="235" t="s">
        <v>2119</v>
      </c>
      <c r="C36" s="13">
        <f ca="1">ROUND(C29*F36,0)</f>
        <v>2475</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148</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0.01</v>
      </c>
      <c r="G38" s="652"/>
      <c r="H38" s="943"/>
      <c r="I38" s="280" t="s">
        <v>2123</v>
      </c>
      <c r="J38" s="136">
        <f ca="1">ROUND(J34/C39,3)</f>
        <v>-2.4529999999999998</v>
      </c>
      <c r="K38" s="948"/>
      <c r="L38" s="943"/>
      <c r="M38" s="943"/>
    </row>
    <row r="39" spans="1:18" ht="18" customHeight="1" thickTop="1">
      <c r="A39" s="1092" t="s">
        <v>22</v>
      </c>
      <c r="B39" s="1107" t="s">
        <v>2124</v>
      </c>
      <c r="C39" s="243">
        <f ca="1">C5-C30</f>
        <v>-2623</v>
      </c>
      <c r="D39" s="1108" t="s">
        <v>2125</v>
      </c>
      <c r="E39" s="1109"/>
      <c r="F39" s="1110"/>
      <c r="G39" s="652"/>
      <c r="H39" s="943"/>
      <c r="I39" s="280" t="s">
        <v>2126</v>
      </c>
      <c r="J39" s="136">
        <f ca="1">1-J38</f>
        <v>3.4529999999999998</v>
      </c>
      <c r="K39" s="948"/>
      <c r="L39" s="943"/>
      <c r="M39" s="943"/>
    </row>
    <row r="40" spans="1:18" s="652" customFormat="1" ht="18" customHeight="1">
      <c r="A40" s="232" t="s">
        <v>23</v>
      </c>
      <c r="B40" s="233" t="s">
        <v>2127</v>
      </c>
      <c r="C40" s="234">
        <f ca="1">ROUND(C39*(1-((1+F42)/(1+F40))^F41)/(F40-F42),0)</f>
        <v>-97021</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70</v>
      </c>
      <c r="H41" s="950"/>
      <c r="I41" s="135" t="s">
        <v>2001</v>
      </c>
      <c r="J41" s="136">
        <f ca="1">ROUND(C13/C40,3)</f>
        <v>-1.02</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2.02</v>
      </c>
      <c r="K42" s="947"/>
      <c r="L42" s="950"/>
      <c r="M42" s="950"/>
      <c r="Q42" s="656"/>
    </row>
    <row r="43" spans="1:18" s="652" customFormat="1" ht="18" customHeight="1" thickBot="1">
      <c r="A43" s="271" t="s">
        <v>24</v>
      </c>
      <c r="B43" s="272" t="s">
        <v>2130</v>
      </c>
      <c r="C43" s="273">
        <f ca="1">ROUND(C40/F43,0)</f>
        <v>-1511</v>
      </c>
      <c r="D43" s="274" t="s">
        <v>2131</v>
      </c>
      <c r="E43" s="275" t="s">
        <v>2132</v>
      </c>
      <c r="F43" s="276">
        <f>IF(D1="仅计算典型户型",'数据-取费表'!E5,'数据-取费表'!B5)</f>
        <v>64.19</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-97021</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46285</v>
      </c>
      <c r="D47" s="1528" t="str">
        <f>C2</f>
        <v>元</v>
      </c>
      <c r="E47" s="649"/>
      <c r="F47" s="649"/>
      <c r="I47" s="1529" t="s">
        <v>2143</v>
      </c>
      <c r="J47" s="1023"/>
      <c r="K47" s="1024"/>
      <c r="L47" s="1037">
        <f>IF(M48="住宅",0,IF(L49&gt;J52,L61,J61))</f>
        <v>0</v>
      </c>
      <c r="O47" s="1051" t="s">
        <v>951</v>
      </c>
      <c r="P47" s="1048" t="s">
        <v>2144</v>
      </c>
      <c r="Q47" s="1049">
        <f ca="1">C29</f>
        <v>164974</v>
      </c>
      <c r="R47" s="1050" t="s">
        <v>2139</v>
      </c>
    </row>
    <row r="48" spans="1:18" s="652" customFormat="1" ht="15.75"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c r="K49" s="1535" t="s">
        <v>2155</v>
      </c>
      <c r="L49" s="863">
        <f>'数据-取费表'!B13</f>
        <v>70</v>
      </c>
      <c r="O49" s="1051" t="s">
        <v>953</v>
      </c>
      <c r="P49" s="1048" t="s">
        <v>2156</v>
      </c>
      <c r="Q49" s="1052">
        <f>J53</f>
        <v>0</v>
      </c>
      <c r="R49" s="1050"/>
    </row>
    <row r="50" spans="1:18" s="652" customFormat="1" ht="15.75" thickBot="1">
      <c r="A50" s="260" t="s">
        <v>2013</v>
      </c>
      <c r="B50" s="1442" t="s">
        <v>2157</v>
      </c>
      <c r="C50" s="234">
        <f>ROUND(F50*F52*F51*(1-F53),0)</f>
        <v>0</v>
      </c>
      <c r="D50" s="42" t="s">
        <v>2701</v>
      </c>
      <c r="E50" s="1536" t="s">
        <v>2158</v>
      </c>
      <c r="F50" s="988"/>
      <c r="I50" s="1533" t="s">
        <v>2159</v>
      </c>
      <c r="J50" s="863">
        <f>'数据-取费表'!B27</f>
        <v>1965</v>
      </c>
      <c r="K50" s="1537" t="s">
        <v>2160</v>
      </c>
      <c r="L50" s="1026"/>
      <c r="O50" s="1051" t="s">
        <v>954</v>
      </c>
      <c r="P50" s="1048" t="s">
        <v>2161</v>
      </c>
      <c r="Q50" s="1049">
        <f>J54</f>
        <v>70</v>
      </c>
      <c r="R50" s="1050" t="s">
        <v>2162</v>
      </c>
    </row>
    <row r="51" spans="1:18" s="652" customFormat="1" ht="15.75" thickBot="1">
      <c r="A51" s="237"/>
      <c r="B51" s="238"/>
      <c r="C51" s="239"/>
      <c r="D51" s="240"/>
      <c r="E51" s="255" t="s">
        <v>2016</v>
      </c>
      <c r="F51" s="985">
        <f>F7</f>
        <v>64.19</v>
      </c>
      <c r="I51" s="1533" t="s">
        <v>2163</v>
      </c>
      <c r="J51" s="1027">
        <f>SUMPRODUCT((I64:I66=J48)*(J63:L63=J49)*(J64:L66))</f>
        <v>0</v>
      </c>
      <c r="K51" s="1537" t="s">
        <v>2164</v>
      </c>
      <c r="L51" s="1026"/>
      <c r="O51" s="1047" t="s">
        <v>955</v>
      </c>
      <c r="P51" s="1048" t="str">
        <f>IF(C2="元","收益价值(元)","收益价值(万元)")</f>
        <v>收益价值(元)</v>
      </c>
      <c r="Q51" s="1049">
        <f ca="1">ROUND(IF(C2="元",Q45+Q46,(Q45+Q46)/10000),0)</f>
        <v>-97021</v>
      </c>
      <c r="R51" s="1050" t="s">
        <v>956</v>
      </c>
    </row>
    <row r="52" spans="1:18" s="652" customFormat="1" ht="16.5" thickBot="1">
      <c r="A52" s="237"/>
      <c r="B52" s="238"/>
      <c r="C52" s="239"/>
      <c r="D52" s="240"/>
      <c r="E52" s="235" t="s">
        <v>2018</v>
      </c>
      <c r="F52" s="236">
        <f>F8</f>
        <v>0</v>
      </c>
      <c r="I52" s="1538" t="s">
        <v>2165</v>
      </c>
      <c r="J52" s="1028">
        <f>IF(J50="",J51,J50+J51-YEAR('数据-取费表'!B2))</f>
        <v>-41</v>
      </c>
      <c r="K52" s="1539" t="s">
        <v>2166</v>
      </c>
      <c r="L52" s="1029">
        <f ca="1">ROUND(-PV('数据-取费表'!B15,J52,(C40-C13*J35)),0)</f>
        <v>10327550</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2707</v>
      </c>
      <c r="E54" s="246" t="s">
        <v>2022</v>
      </c>
      <c r="F54" s="1523"/>
      <c r="I54" s="1629" t="s">
        <v>2710</v>
      </c>
      <c r="J54" s="1031">
        <f>IF(M48="住宅",IF(E1="——",MAX(J52,L49),MAX(J52,L49-'数据-取费表'!B26)),IF(E1="——",MIN(J52,L49),MIN(J52,L49-'数据-取费表'!B26)))</f>
        <v>70</v>
      </c>
      <c r="K54" s="3615" t="s">
        <v>2699</v>
      </c>
      <c r="L54" s="3616"/>
      <c r="O54" s="1047" t="s">
        <v>949</v>
      </c>
      <c r="P54" s="1048" t="s">
        <v>2138</v>
      </c>
      <c r="Q54" s="1049">
        <f ca="1">C40+J29</f>
        <v>-97021</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98984</v>
      </c>
      <c r="D57" s="983"/>
      <c r="E57" s="984"/>
      <c r="F57" s="991"/>
      <c r="I57" s="1547" t="s">
        <v>2175</v>
      </c>
      <c r="J57" s="1035"/>
      <c r="K57" s="1533" t="s">
        <v>2176</v>
      </c>
      <c r="L57" s="863">
        <f>IF(L49&lt;J52,"——",L49-J52)</f>
        <v>111</v>
      </c>
      <c r="O57" s="1051" t="s">
        <v>952</v>
      </c>
      <c r="P57" s="1048" t="s">
        <v>2177</v>
      </c>
      <c r="Q57" s="1052">
        <f>L53</f>
        <v>0</v>
      </c>
      <c r="R57" s="1050"/>
    </row>
    <row r="58" spans="1:18" s="652" customFormat="1" ht="29.25" thickBot="1">
      <c r="A58" s="990"/>
      <c r="B58" s="235" t="s">
        <v>2107</v>
      </c>
      <c r="C58" s="104">
        <f ca="1">C29</f>
        <v>164974</v>
      </c>
      <c r="D58" s="983"/>
      <c r="E58" s="984"/>
      <c r="F58" s="991"/>
      <c r="I58" s="1548" t="s">
        <v>2178</v>
      </c>
      <c r="J58" s="1034" t="str">
        <f>IF(OR(M48="住宅",J52&lt;L49,J57="是"),"——",J52-L49)</f>
        <v>——</v>
      </c>
      <c r="K58" s="1533" t="s">
        <v>2179</v>
      </c>
      <c r="L58" s="863">
        <f ca="1">IF(L49&lt;J52,"——",IF(L56="比较法",L50,IF(L56="基准地价",L51,L52)))</f>
        <v>10327550</v>
      </c>
      <c r="O58" s="1051" t="s">
        <v>953</v>
      </c>
      <c r="P58" s="1048" t="s">
        <v>2180</v>
      </c>
      <c r="Q58" s="1049" t="e">
        <f>L59</f>
        <v>#DIV/0!</v>
      </c>
      <c r="R58" s="1050" t="s">
        <v>2181</v>
      </c>
    </row>
    <row r="59" spans="1:18" s="652" customFormat="1" ht="29.25" thickBot="1">
      <c r="A59" s="248" t="s">
        <v>14</v>
      </c>
      <c r="B59" s="249" t="s">
        <v>2110</v>
      </c>
      <c r="C59" s="250">
        <f ca="1">ROUND(C60+C65+C66+C67,0)</f>
        <v>2623</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5">
        <f>ROUND(IF(AND(项目基本情况!B7="自然人",项目基本情况!B6="北京市"),C50*F60/(1+'数据-取费表'!F30),C61+C62+C63),0)</f>
        <v>0</v>
      </c>
      <c r="D60" s="1328" t="s">
        <v>2112</v>
      </c>
      <c r="E60" s="1331" t="s">
        <v>2113</v>
      </c>
      <c r="F60" s="2824">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-97021</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5.5000000000000007E-2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1.5</v>
      </c>
      <c r="I63" s="1551" t="s">
        <v>2193</v>
      </c>
      <c r="J63" s="1323" t="s">
        <v>2194</v>
      </c>
      <c r="K63" s="1323" t="s">
        <v>2195</v>
      </c>
      <c r="L63" s="1323" t="s">
        <v>2196</v>
      </c>
      <c r="M63" s="1322" t="s">
        <v>2197</v>
      </c>
      <c r="O63" s="1047" t="s">
        <v>949</v>
      </c>
      <c r="P63" s="1048" t="s">
        <v>2138</v>
      </c>
      <c r="Q63" s="1049">
        <f ca="1">C40+J29</f>
        <v>-97021</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2475</v>
      </c>
      <c r="D65" s="1331" t="s">
        <v>2120</v>
      </c>
      <c r="E65" s="235" t="s">
        <v>2064</v>
      </c>
      <c r="F65" s="265">
        <f t="shared" si="0"/>
        <v>1.4999999999999999E-2</v>
      </c>
      <c r="I65" s="1551" t="s">
        <v>2200</v>
      </c>
      <c r="J65" s="1323">
        <v>50</v>
      </c>
      <c r="K65" s="1323">
        <v>35</v>
      </c>
      <c r="L65" s="1323">
        <v>60</v>
      </c>
      <c r="M65" s="1322">
        <v>0</v>
      </c>
      <c r="O65" s="1051" t="s">
        <v>951</v>
      </c>
      <c r="P65" s="1048" t="s">
        <v>2174</v>
      </c>
      <c r="Q65" s="1053">
        <f ca="1">L52</f>
        <v>10327550</v>
      </c>
      <c r="R65" s="1054" t="s">
        <v>2201</v>
      </c>
    </row>
    <row r="66" spans="1:18" s="652" customFormat="1" ht="20.25" thickBot="1">
      <c r="A66" s="253" t="s">
        <v>20</v>
      </c>
      <c r="B66" s="235" t="s">
        <v>2079</v>
      </c>
      <c r="C66" s="13">
        <f ca="1">ROUND(C57*F66,0)</f>
        <v>148</v>
      </c>
      <c r="D66" s="1331" t="s">
        <v>2080</v>
      </c>
      <c r="E66" s="235" t="s">
        <v>2081</v>
      </c>
      <c r="F66" s="266">
        <f t="shared" si="0"/>
        <v>1.5E-3</v>
      </c>
      <c r="I66" s="1551" t="s">
        <v>2202</v>
      </c>
      <c r="J66" s="1323">
        <v>40</v>
      </c>
      <c r="K66" s="1323">
        <v>30</v>
      </c>
      <c r="L66" s="1323">
        <v>50</v>
      </c>
      <c r="M66" s="1321">
        <v>0.02</v>
      </c>
      <c r="O66" s="1051" t="s">
        <v>952</v>
      </c>
      <c r="P66" s="1055" t="s">
        <v>2203</v>
      </c>
      <c r="Q66" s="1049">
        <f ca="1">ROUND(Q67-Q68*Q69,0)</f>
        <v>-9057</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-2623</v>
      </c>
      <c r="R67" s="1050" t="s">
        <v>2139</v>
      </c>
    </row>
    <row r="68" spans="1:18" ht="15.75" thickBot="1">
      <c r="A68" s="248" t="s">
        <v>22</v>
      </c>
      <c r="B68" s="41" t="s">
        <v>2089</v>
      </c>
      <c r="C68" s="250">
        <f ca="1">C49-C59</f>
        <v>-2623</v>
      </c>
      <c r="D68" s="1328" t="s">
        <v>2090</v>
      </c>
      <c r="E68" s="1330"/>
      <c r="F68" s="268"/>
      <c r="H68" s="652"/>
      <c r="I68" s="652"/>
      <c r="J68" s="652"/>
      <c r="K68" s="652"/>
      <c r="L68" s="652"/>
      <c r="M68" s="652"/>
      <c r="O68" s="1051" t="s">
        <v>958</v>
      </c>
      <c r="P68" s="1055" t="s">
        <v>2205</v>
      </c>
      <c r="Q68" s="1049">
        <f ca="1">C13</f>
        <v>98984</v>
      </c>
      <c r="R68" s="1050" t="s">
        <v>2139</v>
      </c>
    </row>
    <row r="69" spans="1:18" ht="15.75" thickBot="1">
      <c r="A69" s="232" t="s">
        <v>23</v>
      </c>
      <c r="B69" s="233" t="s">
        <v>2127</v>
      </c>
      <c r="C69" s="234">
        <f ca="1">ROUND(C68*(1-((1+F71)/(1+F69))^F70)/(F69-F71),0)</f>
        <v>-50736</v>
      </c>
      <c r="D69" s="261" t="s">
        <v>2095</v>
      </c>
      <c r="E69" s="235" t="s">
        <v>2096</v>
      </c>
      <c r="F69" s="245">
        <f>F40</f>
        <v>0.05</v>
      </c>
      <c r="H69" s="652"/>
      <c r="I69" s="652"/>
      <c r="J69" s="652"/>
      <c r="K69" s="652"/>
      <c r="L69" s="652"/>
      <c r="M69" s="652"/>
      <c r="O69" s="1051" t="s">
        <v>959</v>
      </c>
      <c r="P69" s="1055" t="s">
        <v>2206</v>
      </c>
      <c r="Q69" s="1052">
        <f>J35</f>
        <v>6.5000000000000002E-2</v>
      </c>
      <c r="R69" s="1050"/>
    </row>
    <row r="70" spans="1:18" ht="15.75" thickBot="1">
      <c r="A70" s="237"/>
      <c r="B70" s="238"/>
      <c r="C70" s="239"/>
      <c r="D70" s="269" t="s">
        <v>2129</v>
      </c>
      <c r="E70" s="235" t="s">
        <v>2101</v>
      </c>
      <c r="F70" s="270">
        <f>F41</f>
        <v>70</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-790</v>
      </c>
      <c r="D72" s="274" t="s">
        <v>2131</v>
      </c>
      <c r="E72" s="275" t="s">
        <v>2132</v>
      </c>
      <c r="F72" s="276">
        <f>F43</f>
        <v>64.19</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-97021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617" t="s">
        <v>1013</v>
      </c>
      <c r="B1" s="3618"/>
      <c r="C1" s="3619"/>
      <c r="D1" s="3620">
        <f>SUM(I10,I15,I20,I21,I23)</f>
        <v>0</v>
      </c>
      <c r="E1" s="3620"/>
      <c r="F1" s="3620"/>
      <c r="G1" s="3620"/>
      <c r="H1" s="3620"/>
      <c r="I1" s="3621"/>
    </row>
    <row r="2" spans="1:9">
      <c r="A2" s="3622" t="s">
        <v>1014</v>
      </c>
      <c r="B2" s="3623" t="s">
        <v>963</v>
      </c>
      <c r="C2" s="3623"/>
      <c r="D2" s="1062" t="s">
        <v>964</v>
      </c>
      <c r="E2" s="1062" t="s">
        <v>965</v>
      </c>
      <c r="F2" s="1062" t="s">
        <v>966</v>
      </c>
      <c r="G2" s="1062" t="s">
        <v>967</v>
      </c>
      <c r="H2" s="1062" t="s">
        <v>968</v>
      </c>
      <c r="I2" s="1063" t="s">
        <v>969</v>
      </c>
    </row>
    <row r="3" spans="1:9">
      <c r="A3" s="3622"/>
      <c r="B3" s="3623" t="s">
        <v>970</v>
      </c>
      <c r="C3" s="3623"/>
      <c r="D3" s="1064"/>
      <c r="E3" s="1062"/>
      <c r="F3" s="1065"/>
      <c r="G3" s="1065"/>
      <c r="H3" s="1066"/>
      <c r="I3" s="1067">
        <f>ROUND(D3*E3*F3*G3*H3/10000,0)</f>
        <v>0</v>
      </c>
    </row>
    <row r="4" spans="1:9">
      <c r="A4" s="3622"/>
      <c r="B4" s="3623" t="s">
        <v>971</v>
      </c>
      <c r="C4" s="3623"/>
      <c r="D4" s="1064"/>
      <c r="E4" s="1062"/>
      <c r="F4" s="1065"/>
      <c r="G4" s="1065"/>
      <c r="H4" s="1066"/>
      <c r="I4" s="1067">
        <f t="shared" ref="I4:I9" si="0">ROUND(D4*E4*F4*G4*H4/10000,0)</f>
        <v>0</v>
      </c>
    </row>
    <row r="5" spans="1:9">
      <c r="A5" s="3622"/>
      <c r="B5" s="3623" t="s">
        <v>972</v>
      </c>
      <c r="C5" s="3623"/>
      <c r="D5" s="1064"/>
      <c r="E5" s="1062"/>
      <c r="F5" s="1065"/>
      <c r="G5" s="1065"/>
      <c r="H5" s="1066"/>
      <c r="I5" s="1067">
        <f t="shared" si="0"/>
        <v>0</v>
      </c>
    </row>
    <row r="6" spans="1:9">
      <c r="A6" s="3622"/>
      <c r="B6" s="3623" t="s">
        <v>973</v>
      </c>
      <c r="C6" s="3623"/>
      <c r="D6" s="1064"/>
      <c r="E6" s="1062"/>
      <c r="F6" s="1065"/>
      <c r="G6" s="1065"/>
      <c r="H6" s="1066"/>
      <c r="I6" s="1067">
        <f t="shared" si="0"/>
        <v>0</v>
      </c>
    </row>
    <row r="7" spans="1:9">
      <c r="A7" s="3622"/>
      <c r="B7" s="3623" t="s">
        <v>974</v>
      </c>
      <c r="C7" s="3623"/>
      <c r="D7" s="1064"/>
      <c r="E7" s="1062"/>
      <c r="F7" s="1065"/>
      <c r="G7" s="1065"/>
      <c r="H7" s="1066"/>
      <c r="I7" s="1067">
        <f t="shared" si="0"/>
        <v>0</v>
      </c>
    </row>
    <row r="8" spans="1:9">
      <c r="A8" s="3622"/>
      <c r="B8" s="3623" t="s">
        <v>975</v>
      </c>
      <c r="C8" s="3623"/>
      <c r="D8" s="1064"/>
      <c r="E8" s="1062"/>
      <c r="F8" s="1065"/>
      <c r="G8" s="1065"/>
      <c r="H8" s="1066"/>
      <c r="I8" s="1067">
        <f t="shared" si="0"/>
        <v>0</v>
      </c>
    </row>
    <row r="9" spans="1:9">
      <c r="A9" s="3622"/>
      <c r="B9" s="3623" t="s">
        <v>976</v>
      </c>
      <c r="C9" s="3623"/>
      <c r="D9" s="1064"/>
      <c r="E9" s="1062"/>
      <c r="F9" s="1065"/>
      <c r="G9" s="1065"/>
      <c r="H9" s="1066"/>
      <c r="I9" s="1067">
        <f t="shared" si="0"/>
        <v>0</v>
      </c>
    </row>
    <row r="10" spans="1:9">
      <c r="A10" s="3622"/>
      <c r="B10" s="3624" t="s">
        <v>977</v>
      </c>
      <c r="C10" s="3624"/>
      <c r="D10" s="1068">
        <v>527</v>
      </c>
      <c r="E10" s="1068" t="e">
        <f>ROUND(D1*10000/D10/H9,0)</f>
        <v>#DIV/0!</v>
      </c>
      <c r="F10" s="1069"/>
      <c r="G10" s="1069"/>
      <c r="H10" s="1070"/>
      <c r="I10" s="1071">
        <f>SUM(I3:I9)</f>
        <v>0</v>
      </c>
    </row>
    <row r="11" spans="1:9" ht="14.25">
      <c r="A11" s="3622" t="s">
        <v>1015</v>
      </c>
      <c r="B11" s="3623" t="s">
        <v>978</v>
      </c>
      <c r="C11" s="3623"/>
      <c r="D11" s="1064" t="s">
        <v>979</v>
      </c>
      <c r="E11" s="1064" t="s">
        <v>980</v>
      </c>
      <c r="F11" s="1065" t="s">
        <v>981</v>
      </c>
      <c r="G11" s="1065" t="s">
        <v>968</v>
      </c>
      <c r="H11" s="1072" t="s">
        <v>982</v>
      </c>
      <c r="I11" s="1063" t="s">
        <v>969</v>
      </c>
    </row>
    <row r="12" spans="1:9">
      <c r="A12" s="3622"/>
      <c r="B12" s="3623" t="s">
        <v>983</v>
      </c>
      <c r="C12" s="3623"/>
      <c r="D12" s="1064"/>
      <c r="E12" s="1064"/>
      <c r="F12" s="1065"/>
      <c r="G12" s="1066"/>
      <c r="H12" s="1073"/>
      <c r="I12" s="1063">
        <f>ROUND(D12*E12*F12*G12/10000,0)</f>
        <v>0</v>
      </c>
    </row>
    <row r="13" spans="1:9">
      <c r="A13" s="3622"/>
      <c r="B13" s="3623" t="s">
        <v>984</v>
      </c>
      <c r="C13" s="3623"/>
      <c r="D13" s="1064"/>
      <c r="E13" s="1064"/>
      <c r="F13" s="1065"/>
      <c r="G13" s="1066"/>
      <c r="H13" s="1073"/>
      <c r="I13" s="1063">
        <f>ROUND(D13*E13*F13*G13/10000,0)</f>
        <v>0</v>
      </c>
    </row>
    <row r="14" spans="1:9">
      <c r="A14" s="3622"/>
      <c r="B14" s="3623" t="s">
        <v>985</v>
      </c>
      <c r="C14" s="3623"/>
      <c r="D14" s="1064"/>
      <c r="E14" s="1064"/>
      <c r="F14" s="1065"/>
      <c r="G14" s="1066"/>
      <c r="H14" s="1073"/>
      <c r="I14" s="1063">
        <f>ROUND(D14*E14*F14*G14/10000,0)</f>
        <v>0</v>
      </c>
    </row>
    <row r="15" spans="1:9">
      <c r="A15" s="3622"/>
      <c r="B15" s="3624" t="s">
        <v>977</v>
      </c>
      <c r="C15" s="3624"/>
      <c r="D15" s="1068"/>
      <c r="E15" s="1068">
        <f>SUM(E12:E14)</f>
        <v>0</v>
      </c>
      <c r="F15" s="1069"/>
      <c r="G15" s="1066"/>
      <c r="H15" s="1073"/>
      <c r="I15" s="1074">
        <f>SUM(I12:I14)</f>
        <v>0</v>
      </c>
    </row>
    <row r="16" spans="1:9" ht="24">
      <c r="A16" s="3622" t="s">
        <v>1016</v>
      </c>
      <c r="B16" s="3623" t="s">
        <v>986</v>
      </c>
      <c r="C16" s="3623"/>
      <c r="D16" s="1064" t="s">
        <v>964</v>
      </c>
      <c r="E16" s="1075" t="s">
        <v>987</v>
      </c>
      <c r="F16" s="1065" t="s">
        <v>988</v>
      </c>
      <c r="G16" s="1066" t="s">
        <v>968</v>
      </c>
      <c r="H16" s="1072" t="s">
        <v>982</v>
      </c>
      <c r="I16" s="1063" t="s">
        <v>969</v>
      </c>
    </row>
    <row r="17" spans="1:9" ht="14.25">
      <c r="A17" s="3622"/>
      <c r="B17" s="3623" t="s">
        <v>989</v>
      </c>
      <c r="C17" s="3623"/>
      <c r="D17" s="1064"/>
      <c r="E17" s="1064"/>
      <c r="F17" s="1065"/>
      <c r="G17" s="1066"/>
      <c r="H17" s="1076"/>
      <c r="I17" s="1077">
        <f>ROUND(D17*E17*F17*G17/10000,0)</f>
        <v>0</v>
      </c>
    </row>
    <row r="18" spans="1:9" ht="14.25">
      <c r="A18" s="3622"/>
      <c r="B18" s="3623" t="s">
        <v>990</v>
      </c>
      <c r="C18" s="3623"/>
      <c r="D18" s="1064"/>
      <c r="E18" s="1064"/>
      <c r="F18" s="1065"/>
      <c r="G18" s="1066"/>
      <c r="H18" s="1076"/>
      <c r="I18" s="1077">
        <f>ROUND(D18*E18*F18*G18/10000,0)</f>
        <v>0</v>
      </c>
    </row>
    <row r="19" spans="1:9" ht="14.25">
      <c r="A19" s="3622"/>
      <c r="B19" s="3623" t="s">
        <v>991</v>
      </c>
      <c r="C19" s="3623"/>
      <c r="D19" s="1064"/>
      <c r="E19" s="1064"/>
      <c r="F19" s="1065"/>
      <c r="G19" s="1066"/>
      <c r="H19" s="1076"/>
      <c r="I19" s="1077">
        <f>ROUND(D19*E19*F19*G19/10000,0)</f>
        <v>0</v>
      </c>
    </row>
    <row r="20" spans="1:9">
      <c r="A20" s="3622"/>
      <c r="B20" s="3624" t="s">
        <v>977</v>
      </c>
      <c r="C20" s="3624"/>
      <c r="D20" s="1068">
        <f>SUM(D17:D19)</f>
        <v>0</v>
      </c>
      <c r="E20" s="1068"/>
      <c r="F20" s="1069"/>
      <c r="G20" s="1066"/>
      <c r="H20" s="1073"/>
      <c r="I20" s="1074">
        <f>SUM(I17:I19)</f>
        <v>0</v>
      </c>
    </row>
    <row r="21" spans="1:9">
      <c r="A21" s="3622" t="s">
        <v>1017</v>
      </c>
      <c r="B21" s="3626"/>
      <c r="C21" s="3626"/>
      <c r="D21" s="3626"/>
      <c r="E21" s="3626"/>
      <c r="F21" s="3626"/>
      <c r="G21" s="3626"/>
      <c r="H21" s="1078">
        <v>0.1</v>
      </c>
      <c r="I21" s="1071">
        <f>ROUND(I10*H21,0)</f>
        <v>0</v>
      </c>
    </row>
    <row r="22" spans="1:9" ht="14.25">
      <c r="A22" s="3627" t="s">
        <v>1018</v>
      </c>
      <c r="B22" s="3628"/>
      <c r="C22" s="3629"/>
      <c r="D22" s="1079" t="s">
        <v>992</v>
      </c>
      <c r="E22" s="1079" t="s">
        <v>993</v>
      </c>
      <c r="F22" s="1080" t="s">
        <v>968</v>
      </c>
      <c r="G22" s="1080" t="s">
        <v>994</v>
      </c>
      <c r="H22" s="1072" t="s">
        <v>982</v>
      </c>
      <c r="I22" s="1063" t="s">
        <v>969</v>
      </c>
    </row>
    <row r="23" spans="1:9" ht="14.25" thickBot="1">
      <c r="A23" s="3630"/>
      <c r="B23" s="3631"/>
      <c r="C23" s="3632"/>
      <c r="D23" s="1081"/>
      <c r="E23" s="1081"/>
      <c r="F23" s="1081"/>
      <c r="G23" s="1082"/>
      <c r="H23" s="1083"/>
      <c r="I23" s="1084">
        <f>ROUND(E23*D23*F23*(1-G23)/10000,0)</f>
        <v>0</v>
      </c>
    </row>
    <row r="26" spans="1:9">
      <c r="A26" s="1085" t="s">
        <v>995</v>
      </c>
      <c r="B26" s="1085"/>
      <c r="C26" s="1085"/>
      <c r="D26" s="1085"/>
      <c r="E26" s="3633">
        <f>C27-C30-C31-C32</f>
        <v>0</v>
      </c>
      <c r="F26" s="3633"/>
      <c r="G26" s="3633"/>
      <c r="H26" s="1304" t="s">
        <v>1206</v>
      </c>
    </row>
    <row r="27" spans="1:9">
      <c r="A27" s="1086">
        <v>1</v>
      </c>
      <c r="B27" s="1087" t="s">
        <v>996</v>
      </c>
      <c r="C27" s="1087">
        <f>C28+C29</f>
        <v>0</v>
      </c>
      <c r="D27" s="1087"/>
      <c r="E27" s="3634"/>
      <c r="F27" s="3634"/>
      <c r="G27" s="3634"/>
    </row>
    <row r="28" spans="1:9">
      <c r="A28" s="1088" t="s">
        <v>997</v>
      </c>
      <c r="B28" s="1087" t="s">
        <v>998</v>
      </c>
      <c r="C28" s="1087"/>
      <c r="D28" s="1087"/>
      <c r="E28" s="3634"/>
      <c r="F28" s="3634"/>
      <c r="G28" s="363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625"/>
      <c r="F32" s="3625"/>
      <c r="G32" s="3625"/>
    </row>
    <row r="33" spans="1:7" hidden="1">
      <c r="A33" s="3635" t="s">
        <v>1007</v>
      </c>
      <c r="B33" s="3636"/>
      <c r="C33" s="3636"/>
      <c r="D33" s="3637"/>
      <c r="E33" s="3633"/>
      <c r="F33" s="3633"/>
      <c r="G33" s="3633"/>
    </row>
    <row r="34" spans="1:7" hidden="1">
      <c r="A34" s="1090">
        <v>1</v>
      </c>
      <c r="B34" s="1087" t="s">
        <v>1008</v>
      </c>
      <c r="C34" s="1087"/>
      <c r="D34" s="1087"/>
      <c r="E34" s="3634"/>
      <c r="F34" s="3634"/>
      <c r="G34" s="3634"/>
    </row>
    <row r="35" spans="1:7" hidden="1">
      <c r="A35" s="1090">
        <v>2</v>
      </c>
      <c r="B35" s="1087" t="s">
        <v>1009</v>
      </c>
      <c r="C35" s="1087"/>
      <c r="D35" s="1087"/>
      <c r="E35" s="3634"/>
      <c r="F35" s="3634"/>
      <c r="G35" s="3634"/>
    </row>
    <row r="36" spans="1:7" hidden="1">
      <c r="A36" s="1090">
        <v>3</v>
      </c>
      <c r="B36" s="1087" t="s">
        <v>1010</v>
      </c>
      <c r="C36" s="1087"/>
      <c r="D36" s="1087"/>
      <c r="E36" s="3634"/>
      <c r="F36" s="3634"/>
      <c r="G36" s="3634"/>
    </row>
    <row r="37" spans="1:7" hidden="1">
      <c r="A37" s="1090">
        <v>4</v>
      </c>
      <c r="B37" s="1087" t="s">
        <v>1011</v>
      </c>
      <c r="C37" s="1087"/>
      <c r="D37" s="1087"/>
      <c r="E37" s="3634"/>
      <c r="F37" s="3634"/>
      <c r="G37" s="3634"/>
    </row>
    <row r="38" spans="1:7" hidden="1">
      <c r="A38" s="3635" t="s">
        <v>1012</v>
      </c>
      <c r="B38" s="3636"/>
      <c r="C38" s="3636"/>
      <c r="D38" s="3637"/>
      <c r="E38" s="3633"/>
      <c r="F38" s="3633"/>
      <c r="G38" s="363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P39" sqref="P39"/>
      <selection pane="bottomLeft" activeCell="P39" sqref="P3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641" t="s">
        <v>2212</v>
      </c>
      <c r="D4" s="3642"/>
      <c r="E4" s="3642"/>
      <c r="F4" s="3642"/>
      <c r="G4" s="3642"/>
      <c r="H4" s="3642"/>
      <c r="I4" s="3642"/>
      <c r="J4" s="3642"/>
      <c r="K4" s="3642"/>
      <c r="L4" s="3642"/>
      <c r="M4" s="3642"/>
      <c r="N4" s="3642"/>
      <c r="O4" s="3642"/>
      <c r="P4" s="3642"/>
      <c r="Q4" s="3642"/>
      <c r="R4" s="3642"/>
      <c r="S4" s="3643"/>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3" t="s">
        <v>2228</v>
      </c>
      <c r="V24" s="2986"/>
      <c r="W24" s="2987" t="s">
        <v>2229</v>
      </c>
      <c r="X24" s="2243" t="s">
        <v>2230</v>
      </c>
      <c r="Y24" s="2986"/>
      <c r="Z24" s="2988" t="s">
        <v>2229</v>
      </c>
    </row>
    <row r="25" spans="1:45">
      <c r="A25" s="250" t="s">
        <v>2231</v>
      </c>
      <c r="B25" s="13">
        <f>SUM(B27:B10000)</f>
        <v>0</v>
      </c>
      <c r="C25" s="3638" t="s">
        <v>45</v>
      </c>
      <c r="D25" s="3639"/>
      <c r="E25" s="3639"/>
      <c r="F25" s="3639"/>
      <c r="G25" s="3639"/>
      <c r="H25" s="3639"/>
      <c r="I25" s="3639"/>
      <c r="J25" s="3639"/>
      <c r="K25" s="3639"/>
      <c r="L25" s="3639"/>
      <c r="M25" s="3639"/>
      <c r="N25" s="3639"/>
      <c r="O25" s="3639"/>
      <c r="P25" s="3639"/>
      <c r="Q25" s="3640"/>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9">
        <f t="shared" si="22"/>
        <v>0</v>
      </c>
      <c r="V29" s="2989">
        <f t="shared" si="23"/>
        <v>0</v>
      </c>
      <c r="W29" s="998"/>
      <c r="X29" s="2989">
        <f t="shared" si="24"/>
        <v>0</v>
      </c>
      <c r="Y29" s="298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9">
        <f t="shared" si="22"/>
        <v>0</v>
      </c>
      <c r="V30" s="2989">
        <f t="shared" si="23"/>
        <v>0</v>
      </c>
      <c r="W30" s="998"/>
      <c r="X30" s="2989">
        <f t="shared" si="24"/>
        <v>0</v>
      </c>
      <c r="Y30" s="298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9">
        <f t="shared" si="22"/>
        <v>0</v>
      </c>
      <c r="V31" s="2989">
        <f t="shared" si="23"/>
        <v>0</v>
      </c>
      <c r="W31" s="998"/>
      <c r="X31" s="2989">
        <f t="shared" si="24"/>
        <v>0</v>
      </c>
      <c r="Y31" s="298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9">
        <f t="shared" si="22"/>
        <v>0</v>
      </c>
      <c r="V32" s="2989">
        <f t="shared" si="23"/>
        <v>0</v>
      </c>
      <c r="W32" s="998"/>
      <c r="X32" s="2989">
        <f t="shared" si="24"/>
        <v>0</v>
      </c>
      <c r="Y32" s="298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9">
        <f t="shared" si="22"/>
        <v>0</v>
      </c>
      <c r="V33" s="2989">
        <f t="shared" si="23"/>
        <v>0</v>
      </c>
      <c r="W33" s="998"/>
      <c r="X33" s="2989">
        <f t="shared" si="24"/>
        <v>0</v>
      </c>
      <c r="Y33" s="298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9">
        <f t="shared" si="22"/>
        <v>0</v>
      </c>
      <c r="V34" s="2989">
        <f t="shared" si="23"/>
        <v>0</v>
      </c>
      <c r="W34" s="998"/>
      <c r="X34" s="2989">
        <f t="shared" si="24"/>
        <v>0</v>
      </c>
      <c r="Y34" s="298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9">
        <f t="shared" si="22"/>
        <v>0</v>
      </c>
      <c r="V35" s="2989">
        <f t="shared" si="23"/>
        <v>0</v>
      </c>
      <c r="W35" s="998"/>
      <c r="X35" s="2989">
        <f t="shared" si="24"/>
        <v>0</v>
      </c>
      <c r="Y35" s="298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9">
        <f t="shared" si="22"/>
        <v>0</v>
      </c>
      <c r="V36" s="2989">
        <f t="shared" si="23"/>
        <v>0</v>
      </c>
      <c r="W36" s="998"/>
      <c r="X36" s="2989">
        <f t="shared" si="24"/>
        <v>0</v>
      </c>
      <c r="Y36" s="298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9">
        <f t="shared" si="22"/>
        <v>0</v>
      </c>
      <c r="V37" s="2989">
        <f t="shared" si="23"/>
        <v>0</v>
      </c>
      <c r="W37" s="998"/>
      <c r="X37" s="2989">
        <f t="shared" si="24"/>
        <v>0</v>
      </c>
      <c r="Y37" s="298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9">
        <f t="shared" si="22"/>
        <v>0</v>
      </c>
      <c r="V38" s="2989">
        <f t="shared" si="23"/>
        <v>0</v>
      </c>
      <c r="W38" s="998"/>
      <c r="X38" s="2989">
        <f t="shared" si="24"/>
        <v>0</v>
      </c>
      <c r="Y38" s="298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9">
        <f t="shared" si="22"/>
        <v>0</v>
      </c>
      <c r="V39" s="2989">
        <f t="shared" si="23"/>
        <v>0</v>
      </c>
      <c r="W39" s="998"/>
      <c r="X39" s="2989">
        <f t="shared" si="24"/>
        <v>0</v>
      </c>
      <c r="Y39" s="298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9">
        <f t="shared" si="22"/>
        <v>0</v>
      </c>
      <c r="V40" s="2989">
        <f t="shared" si="23"/>
        <v>0</v>
      </c>
      <c r="W40" s="998"/>
      <c r="X40" s="2989">
        <f t="shared" si="24"/>
        <v>0</v>
      </c>
      <c r="Y40" s="298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9">
        <f t="shared" si="22"/>
        <v>0</v>
      </c>
      <c r="V41" s="2989">
        <f t="shared" si="23"/>
        <v>0</v>
      </c>
      <c r="W41" s="998"/>
      <c r="X41" s="2989">
        <f t="shared" si="24"/>
        <v>0</v>
      </c>
      <c r="Y41" s="298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9">
        <f t="shared" si="22"/>
        <v>0</v>
      </c>
      <c r="V42" s="2989">
        <f t="shared" si="23"/>
        <v>0</v>
      </c>
      <c r="W42" s="998"/>
      <c r="X42" s="2989">
        <f t="shared" si="24"/>
        <v>0</v>
      </c>
      <c r="Y42" s="298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1" zoomScale="85" zoomScaleNormal="70" zoomScaleSheetLayoutView="85" workbookViewId="0">
      <selection activeCell="G50" sqref="G50"/>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805"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2747</v>
      </c>
      <c r="D1" s="1640"/>
      <c r="E1" s="1641" t="s">
        <v>2745</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372045</v>
      </c>
      <c r="C2" s="1651" t="str">
        <f>'数据-取费表'!B3</f>
        <v>元</v>
      </c>
      <c r="D2" s="1652" t="s">
        <v>1240</v>
      </c>
      <c r="E2" s="1653" t="e">
        <f ca="1">SUMIF(INDIRECT("'"&amp;G2&amp;"'"&amp;"!A:A"),"承租人权益价值",INDIRECT("'"&amp;G2&amp;"'"&amp;"!c:c"))</f>
        <v>#REF!</v>
      </c>
      <c r="F2" s="1654" t="str">
        <f>C2</f>
        <v>元</v>
      </c>
      <c r="G2" s="1655"/>
      <c r="H2" s="2991"/>
      <c r="I2" s="2991"/>
      <c r="J2" s="2991"/>
      <c r="K2" s="2992"/>
      <c r="L2" s="2993"/>
      <c r="M2" s="2991"/>
      <c r="N2" s="2991"/>
      <c r="O2" s="2991"/>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5796</v>
      </c>
      <c r="C3" s="1660" t="s">
        <v>2244</v>
      </c>
      <c r="D3" s="1660">
        <f>IF(C1="仅计算典型户型",'数据-取费表'!E5,'数据-取费表'!B5)</f>
        <v>64.19</v>
      </c>
      <c r="E3" s="2991"/>
      <c r="F3" s="2994"/>
      <c r="G3" s="2991"/>
      <c r="H3" s="2991"/>
      <c r="I3" s="2991"/>
      <c r="J3" s="2991"/>
      <c r="K3" s="2992"/>
      <c r="L3" s="2993"/>
      <c r="M3" s="2991"/>
      <c r="N3" s="2991"/>
      <c r="O3" s="2991"/>
      <c r="P3" s="1661"/>
      <c r="Q3" s="1657"/>
      <c r="R3" s="1657"/>
      <c r="S3" s="1657"/>
      <c r="T3" s="1657"/>
      <c r="U3" s="1657"/>
      <c r="V3" s="1657"/>
      <c r="W3" s="1657"/>
      <c r="X3" s="1657"/>
      <c r="Y3" s="1657"/>
      <c r="Z3" s="1657"/>
      <c r="AA3" s="1657"/>
      <c r="AB3" s="1657"/>
      <c r="AC3" s="1662"/>
    </row>
    <row r="4" spans="1:29" ht="15">
      <c r="A4" s="1663" t="s">
        <v>2245</v>
      </c>
      <c r="B4" s="1664"/>
      <c r="C4" s="3647" t="s">
        <v>2246</v>
      </c>
      <c r="D4" s="3648"/>
      <c r="E4" s="3649" t="s">
        <v>2247</v>
      </c>
      <c r="F4" s="3650"/>
      <c r="G4" s="3647" t="s">
        <v>2248</v>
      </c>
      <c r="H4" s="3648"/>
      <c r="I4" s="3647" t="s">
        <v>2249</v>
      </c>
      <c r="J4" s="3648"/>
      <c r="K4" s="1665" t="s">
        <v>2250</v>
      </c>
      <c r="L4" s="2995"/>
      <c r="M4" s="2996"/>
      <c r="N4" s="2996"/>
      <c r="O4" s="2996"/>
      <c r="P4" s="3651" t="s">
        <v>2251</v>
      </c>
      <c r="Q4" s="3652"/>
      <c r="R4" s="3657" t="s">
        <v>2247</v>
      </c>
      <c r="S4" s="3658"/>
      <c r="T4" s="3657" t="s">
        <v>2248</v>
      </c>
      <c r="U4" s="3658"/>
      <c r="V4" s="3663" t="s">
        <v>2249</v>
      </c>
      <c r="W4" s="3663"/>
      <c r="X4" s="1666"/>
      <c r="Y4" s="3657" t="s">
        <v>2251</v>
      </c>
      <c r="Z4" s="3658"/>
      <c r="AA4" s="3644" t="s">
        <v>2247</v>
      </c>
      <c r="AB4" s="3644" t="s">
        <v>2248</v>
      </c>
      <c r="AC4" s="3644" t="s">
        <v>2249</v>
      </c>
    </row>
    <row r="5" spans="1:29" ht="30.75" customHeight="1">
      <c r="A5" s="1668"/>
      <c r="B5" s="1669"/>
      <c r="C5" s="3666" t="s">
        <v>3109</v>
      </c>
      <c r="D5" s="3667"/>
      <c r="E5" s="3664" t="str">
        <f>Sheet1!F743</f>
        <v>安慧里四区</v>
      </c>
      <c r="F5" s="3665"/>
      <c r="G5" s="3666" t="str">
        <f>Sheet1!F754</f>
        <v>安慧北里逸园</v>
      </c>
      <c r="H5" s="3667"/>
      <c r="I5" s="3666" t="str">
        <f>Sheet1!F799</f>
        <v>安慧东里</v>
      </c>
      <c r="J5" s="3667"/>
      <c r="K5" s="1670"/>
      <c r="L5" s="2995"/>
      <c r="M5" s="2996"/>
      <c r="N5" s="2996"/>
      <c r="O5" s="2996"/>
      <c r="P5" s="3653"/>
      <c r="Q5" s="3654"/>
      <c r="R5" s="3659"/>
      <c r="S5" s="3660"/>
      <c r="T5" s="3659"/>
      <c r="U5" s="3660"/>
      <c r="V5" s="3663"/>
      <c r="W5" s="3663"/>
      <c r="X5" s="1666"/>
      <c r="Y5" s="3659"/>
      <c r="Z5" s="3660"/>
      <c r="AA5" s="3645"/>
      <c r="AB5" s="3645"/>
      <c r="AC5" s="3645"/>
    </row>
    <row r="6" spans="1:29" ht="15.75" thickBot="1">
      <c r="A6" s="1671"/>
      <c r="B6" s="1672"/>
      <c r="C6" s="3668" t="s">
        <v>2256</v>
      </c>
      <c r="D6" s="3669"/>
      <c r="E6" s="3670" t="s">
        <v>2256</v>
      </c>
      <c r="F6" s="3671"/>
      <c r="G6" s="3668" t="s">
        <v>2256</v>
      </c>
      <c r="H6" s="3669"/>
      <c r="I6" s="3668" t="s">
        <v>2256</v>
      </c>
      <c r="J6" s="3669"/>
      <c r="K6" s="1670" t="s">
        <v>2257</v>
      </c>
      <c r="L6" s="2995"/>
      <c r="M6" s="2996"/>
      <c r="N6" s="2996"/>
      <c r="O6" s="2996"/>
      <c r="P6" s="3655"/>
      <c r="Q6" s="3656"/>
      <c r="R6" s="3659"/>
      <c r="S6" s="3660"/>
      <c r="T6" s="3661"/>
      <c r="U6" s="3662"/>
      <c r="V6" s="3663"/>
      <c r="W6" s="3663"/>
      <c r="X6" s="1666"/>
      <c r="Y6" s="3661"/>
      <c r="Z6" s="3662"/>
      <c r="AA6" s="3646"/>
      <c r="AB6" s="3646"/>
      <c r="AC6" s="3646"/>
    </row>
    <row r="7" spans="1:29" s="1685" customFormat="1" ht="15.75" thickBot="1">
      <c r="A7" s="1673" t="s">
        <v>2258</v>
      </c>
      <c r="B7" s="1674"/>
      <c r="C7" s="1675">
        <f>'数据-取费表'!B2</f>
        <v>39004</v>
      </c>
      <c r="D7" s="1676">
        <v>100</v>
      </c>
      <c r="E7" s="1677">
        <f>Sheet1!BG743</f>
        <v>38953</v>
      </c>
      <c r="F7" s="1678">
        <f>SUMIF(58:58,YEAR(E7)&amp;"-"&amp;MONTH(E7),59:59)</f>
        <v>99</v>
      </c>
      <c r="G7" s="1677">
        <f>Sheet1!BG754</f>
        <v>38953</v>
      </c>
      <c r="H7" s="1676">
        <f>SUMIF(58:58,YEAR(G7)&amp;"-"&amp;MONTH(G7),59:59)</f>
        <v>99</v>
      </c>
      <c r="I7" s="1677">
        <f>Sheet1!BG799</f>
        <v>38981</v>
      </c>
      <c r="J7" s="1676">
        <f>SUMIF(58:58,YEAR(I7)&amp;"-"&amp;MONTH(I7),59:59)</f>
        <v>99</v>
      </c>
      <c r="K7" s="1679"/>
      <c r="L7" s="2995"/>
      <c r="M7" s="2968"/>
      <c r="N7" s="2968"/>
      <c r="O7" s="2968"/>
      <c r="P7" s="3679" t="s">
        <v>2259</v>
      </c>
      <c r="Q7" s="3681"/>
      <c r="R7" s="1681" t="s">
        <v>34</v>
      </c>
      <c r="S7" s="1682">
        <f t="shared" ref="S7:S15" si="0">F7</f>
        <v>99</v>
      </c>
      <c r="T7" s="1681" t="s">
        <v>34</v>
      </c>
      <c r="U7" s="1682">
        <f t="shared" ref="U7:U15" si="1">H7</f>
        <v>99</v>
      </c>
      <c r="V7" s="1681" t="s">
        <v>34</v>
      </c>
      <c r="W7" s="1682">
        <f t="shared" ref="W7:W15" si="2">J7</f>
        <v>99</v>
      </c>
      <c r="X7" s="1683"/>
      <c r="Y7" s="3679" t="s">
        <v>2259</v>
      </c>
      <c r="Z7" s="3680"/>
      <c r="AA7" s="1684">
        <f>D7/F7</f>
        <v>1.0101010101010102</v>
      </c>
      <c r="AB7" s="1684">
        <f>D7/H7</f>
        <v>1.0101010101010102</v>
      </c>
      <c r="AC7" s="1684">
        <f>D7/J7</f>
        <v>1.0101010101010102</v>
      </c>
    </row>
    <row r="8" spans="1:29" s="1685" customFormat="1" ht="15.75" thickBot="1">
      <c r="A8" s="1673" t="s">
        <v>2260</v>
      </c>
      <c r="B8" s="1674"/>
      <c r="C8" s="1686" t="s">
        <v>2261</v>
      </c>
      <c r="D8" s="1676">
        <v>100</v>
      </c>
      <c r="E8" s="1686" t="s">
        <v>2261</v>
      </c>
      <c r="F8" s="1678">
        <f>SUMIF(61:61,E8,62:62)-SUMIF(61:61,C8,62:62)+100</f>
        <v>100</v>
      </c>
      <c r="G8" s="1686" t="s">
        <v>2261</v>
      </c>
      <c r="H8" s="1676">
        <f>SUMIF(61:61,G8,62:62)-SUMIF(61:61,C8,62:62)+100</f>
        <v>100</v>
      </c>
      <c r="I8" s="1686" t="s">
        <v>2261</v>
      </c>
      <c r="J8" s="1676">
        <f>SUMIF(61:61,I8,62:62)-SUMIF(61:61,C8,62:62)+100</f>
        <v>100</v>
      </c>
      <c r="K8" s="1679"/>
      <c r="L8" s="2995"/>
      <c r="M8" s="2968"/>
      <c r="N8" s="2968"/>
      <c r="O8" s="2968"/>
      <c r="P8" s="3679" t="s">
        <v>2262</v>
      </c>
      <c r="Q8" s="3680"/>
      <c r="R8" s="1681" t="s">
        <v>34</v>
      </c>
      <c r="S8" s="1682">
        <f t="shared" si="0"/>
        <v>100</v>
      </c>
      <c r="T8" s="1681" t="s">
        <v>34</v>
      </c>
      <c r="U8" s="1682">
        <f t="shared" si="1"/>
        <v>100</v>
      </c>
      <c r="V8" s="1681" t="s">
        <v>34</v>
      </c>
      <c r="W8" s="1682">
        <f t="shared" si="2"/>
        <v>100</v>
      </c>
      <c r="X8" s="1683"/>
      <c r="Y8" s="3679" t="s">
        <v>2262</v>
      </c>
      <c r="Z8" s="3680"/>
      <c r="AA8" s="1684">
        <f t="shared" ref="AA8:AA46" si="3">D8/F8</f>
        <v>1</v>
      </c>
      <c r="AB8" s="1684">
        <f t="shared" ref="AB8:AB46" si="4">D8/H8</f>
        <v>1</v>
      </c>
      <c r="AC8" s="1684">
        <f t="shared" ref="AC8:AC46" si="5">D8/J8</f>
        <v>1</v>
      </c>
    </row>
    <row r="9" spans="1:29" s="1685" customFormat="1">
      <c r="A9" s="1636" t="s">
        <v>2263</v>
      </c>
      <c r="B9" s="1687" t="s">
        <v>2264</v>
      </c>
      <c r="C9" s="3174" t="s">
        <v>2932</v>
      </c>
      <c r="D9" s="1689">
        <v>100</v>
      </c>
      <c r="E9" s="1690" t="s">
        <v>2884</v>
      </c>
      <c r="F9" s="1691">
        <f>SUMIF(63:63,E9,64:64)-SUMIF(63:63,C9,64:64)+100</f>
        <v>100</v>
      </c>
      <c r="G9" s="1690" t="s">
        <v>2884</v>
      </c>
      <c r="H9" s="1689">
        <f>SUMIF(63:63,G9,64:64)-SUMIF(63:63,C9,64:64)+100</f>
        <v>100</v>
      </c>
      <c r="I9" s="1690" t="s">
        <v>2884</v>
      </c>
      <c r="J9" s="1689">
        <f>SUMIF(63:63,I9,64:64)-SUMIF(63:63,C9,64:64)+100</f>
        <v>100</v>
      </c>
      <c r="K9" s="1679"/>
      <c r="L9" s="2995"/>
      <c r="M9" s="2968"/>
      <c r="N9" s="2968"/>
      <c r="O9" s="2968"/>
      <c r="P9" s="3682" t="s">
        <v>2265</v>
      </c>
      <c r="Q9" s="1635" t="str">
        <f t="shared" ref="Q9:Q15" si="6">B9</f>
        <v>用途</v>
      </c>
      <c r="R9" s="1681" t="s">
        <v>25</v>
      </c>
      <c r="S9" s="1682">
        <f t="shared" si="0"/>
        <v>100</v>
      </c>
      <c r="T9" s="1681" t="s">
        <v>25</v>
      </c>
      <c r="U9" s="1682">
        <f t="shared" si="1"/>
        <v>100</v>
      </c>
      <c r="V9" s="1681" t="s">
        <v>25</v>
      </c>
      <c r="W9" s="1682">
        <f t="shared" si="2"/>
        <v>100</v>
      </c>
      <c r="X9" s="1683"/>
      <c r="Y9" s="3545" t="s">
        <v>2266</v>
      </c>
      <c r="Z9" s="1693" t="str">
        <f t="shared" ref="Z9:Z15" si="7">Q9</f>
        <v>用途</v>
      </c>
      <c r="AA9" s="1684">
        <f t="shared" si="3"/>
        <v>1</v>
      </c>
      <c r="AB9" s="1684">
        <f t="shared" si="4"/>
        <v>1</v>
      </c>
      <c r="AC9" s="1684">
        <f t="shared" si="5"/>
        <v>1</v>
      </c>
    </row>
    <row r="10" spans="1:29" s="1701" customFormat="1" ht="27">
      <c r="A10" s="1694"/>
      <c r="B10" s="1695" t="s">
        <v>2267</v>
      </c>
      <c r="C10" s="1696" t="s">
        <v>2933</v>
      </c>
      <c r="D10" s="1697">
        <v>100</v>
      </c>
      <c r="E10" s="1698" t="s">
        <v>2933</v>
      </c>
      <c r="F10" s="1699">
        <f>SUMIF(65:65,E10,66:66)-SUMIF(65:65,C10,66:66)+100</f>
        <v>100</v>
      </c>
      <c r="G10" s="1696" t="s">
        <v>2933</v>
      </c>
      <c r="H10" s="1697">
        <f>SUMIF(65:65,G10,66:66)-SUMIF(65:65,C10,66:66)+100</f>
        <v>100</v>
      </c>
      <c r="I10" s="1696" t="s">
        <v>2933</v>
      </c>
      <c r="J10" s="1697">
        <f>SUMIF(65:65,I10,66:66)-SUMIF(65:65,C10,66:66)+100</f>
        <v>100</v>
      </c>
      <c r="K10" s="1700"/>
      <c r="L10" s="2997"/>
      <c r="M10" s="2998"/>
      <c r="N10" s="2998"/>
      <c r="O10" s="2998"/>
      <c r="P10" s="3682"/>
      <c r="Q10" s="1635" t="str">
        <f t="shared" si="6"/>
        <v>土地使用年限（年）</v>
      </c>
      <c r="R10" s="1681" t="s">
        <v>25</v>
      </c>
      <c r="S10" s="1682">
        <f t="shared" si="0"/>
        <v>100</v>
      </c>
      <c r="T10" s="1681" t="s">
        <v>25</v>
      </c>
      <c r="U10" s="1682">
        <f t="shared" si="1"/>
        <v>100</v>
      </c>
      <c r="V10" s="1681" t="s">
        <v>25</v>
      </c>
      <c r="W10" s="1682">
        <f t="shared" si="2"/>
        <v>100</v>
      </c>
      <c r="X10" s="1683"/>
      <c r="Y10" s="3545"/>
      <c r="Z10" s="1693" t="str">
        <f t="shared" si="7"/>
        <v>土地使用年限（年）</v>
      </c>
      <c r="AA10" s="1684">
        <f t="shared" si="3"/>
        <v>1</v>
      </c>
      <c r="AB10" s="1684">
        <f t="shared" si="4"/>
        <v>1</v>
      </c>
      <c r="AC10" s="1684">
        <f t="shared" si="5"/>
        <v>1</v>
      </c>
    </row>
    <row r="11" spans="1:29" ht="15">
      <c r="A11" s="1702"/>
      <c r="B11" s="1695" t="s">
        <v>2268</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2999"/>
      <c r="M11" s="2996"/>
      <c r="N11" s="2996"/>
      <c r="O11" s="2996"/>
      <c r="P11" s="3682"/>
      <c r="Q11" s="1635" t="str">
        <f t="shared" si="6"/>
        <v>容积率</v>
      </c>
      <c r="R11" s="1681" t="s">
        <v>28</v>
      </c>
      <c r="S11" s="1682">
        <f t="shared" si="0"/>
        <v>100</v>
      </c>
      <c r="T11" s="1681" t="s">
        <v>28</v>
      </c>
      <c r="U11" s="1682">
        <f t="shared" si="1"/>
        <v>100</v>
      </c>
      <c r="V11" s="1681" t="s">
        <v>28</v>
      </c>
      <c r="W11" s="1682">
        <f t="shared" si="2"/>
        <v>100</v>
      </c>
      <c r="X11" s="1683"/>
      <c r="Y11" s="3545"/>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5"/>
      <c r="M12" s="2968"/>
      <c r="N12" s="2968"/>
      <c r="O12" s="2968"/>
      <c r="P12" s="3682"/>
      <c r="Q12" s="1635">
        <f t="shared" si="6"/>
        <v>111</v>
      </c>
      <c r="R12" s="1681" t="s">
        <v>28</v>
      </c>
      <c r="S12" s="1682">
        <f t="shared" si="0"/>
        <v>100</v>
      </c>
      <c r="T12" s="1681" t="s">
        <v>28</v>
      </c>
      <c r="U12" s="1682">
        <f t="shared" si="1"/>
        <v>100</v>
      </c>
      <c r="V12" s="1681" t="s">
        <v>28</v>
      </c>
      <c r="W12" s="1682">
        <f t="shared" si="2"/>
        <v>100</v>
      </c>
      <c r="X12" s="1683"/>
      <c r="Y12" s="3545"/>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0"/>
      <c r="M13" s="2996"/>
      <c r="N13" s="2996"/>
      <c r="O13" s="2996"/>
      <c r="P13" s="3682"/>
      <c r="Q13" s="1635">
        <f t="shared" si="6"/>
        <v>111</v>
      </c>
      <c r="R13" s="1681" t="s">
        <v>28</v>
      </c>
      <c r="S13" s="1682">
        <f t="shared" si="0"/>
        <v>100</v>
      </c>
      <c r="T13" s="1681" t="s">
        <v>28</v>
      </c>
      <c r="U13" s="1682">
        <f t="shared" si="1"/>
        <v>100</v>
      </c>
      <c r="V13" s="1681" t="s">
        <v>28</v>
      </c>
      <c r="W13" s="1682">
        <f t="shared" si="2"/>
        <v>100</v>
      </c>
      <c r="X13" s="1683"/>
      <c r="Y13" s="3545"/>
      <c r="Z13" s="1693">
        <f t="shared" si="7"/>
        <v>111</v>
      </c>
      <c r="AA13" s="1684">
        <f t="shared" si="3"/>
        <v>1</v>
      </c>
      <c r="AB13" s="1684">
        <f t="shared" si="4"/>
        <v>1</v>
      </c>
      <c r="AC13" s="1684">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0"/>
      <c r="M14" s="2996"/>
      <c r="N14" s="2996"/>
      <c r="O14" s="2996"/>
      <c r="P14" s="3682"/>
      <c r="Q14" s="1635">
        <f t="shared" si="6"/>
        <v>111</v>
      </c>
      <c r="R14" s="1681" t="s">
        <v>28</v>
      </c>
      <c r="S14" s="1682">
        <f t="shared" si="0"/>
        <v>100</v>
      </c>
      <c r="T14" s="1681" t="s">
        <v>28</v>
      </c>
      <c r="U14" s="1682">
        <f t="shared" si="1"/>
        <v>100</v>
      </c>
      <c r="V14" s="1681" t="s">
        <v>28</v>
      </c>
      <c r="W14" s="1682">
        <f t="shared" si="2"/>
        <v>100</v>
      </c>
      <c r="X14" s="1683"/>
      <c r="Y14" s="3545"/>
      <c r="Z14" s="1693">
        <f t="shared" si="7"/>
        <v>111</v>
      </c>
      <c r="AA14" s="1684">
        <f t="shared" si="3"/>
        <v>1</v>
      </c>
      <c r="AB14" s="1684">
        <f t="shared" si="4"/>
        <v>1</v>
      </c>
      <c r="AC14" s="1684">
        <f t="shared" si="5"/>
        <v>1</v>
      </c>
    </row>
    <row r="15" spans="1:29" ht="45">
      <c r="A15" s="1717" t="s">
        <v>2269</v>
      </c>
      <c r="B15" s="1718" t="s">
        <v>1703</v>
      </c>
      <c r="C15" s="3179" t="str">
        <f>估价对象房地状况!C3</f>
        <v>周边有东关二条、东关南里、燕平家园等住宅小区，综合评价居住社区成熟度好</v>
      </c>
      <c r="D15" s="1720">
        <v>100</v>
      </c>
      <c r="E15" s="1721"/>
      <c r="F15" s="1722">
        <f>SUMIF(76:76,E16,77:77)-SUMIF(76:76,C16,77:77)+100</f>
        <v>100</v>
      </c>
      <c r="G15" s="1723"/>
      <c r="H15" s="1720">
        <f>SUMIF(76:76,G16,77:77)-SUMIF(76:76,C16,77:77)+100</f>
        <v>100</v>
      </c>
      <c r="I15" s="1721"/>
      <c r="J15" s="1720">
        <f>SUMIF(76:76,I16,77:77)-SUMIF(76:76,C16,77:77)+100</f>
        <v>100</v>
      </c>
      <c r="K15" s="1724"/>
      <c r="L15" s="3000"/>
      <c r="M15" s="2996"/>
      <c r="N15" s="2996"/>
      <c r="O15" s="2996"/>
      <c r="P15" s="3685" t="s">
        <v>2270</v>
      </c>
      <c r="Q15" s="1616" t="str">
        <f t="shared" si="6"/>
        <v>居住社区成熟度</v>
      </c>
      <c r="R15" s="1725" t="s">
        <v>28</v>
      </c>
      <c r="S15" s="1726">
        <f t="shared" si="0"/>
        <v>100</v>
      </c>
      <c r="T15" s="1725" t="s">
        <v>28</v>
      </c>
      <c r="U15" s="1726">
        <f t="shared" si="1"/>
        <v>100</v>
      </c>
      <c r="V15" s="1725" t="s">
        <v>28</v>
      </c>
      <c r="W15" s="1726">
        <f t="shared" si="2"/>
        <v>100</v>
      </c>
      <c r="X15" s="1666"/>
      <c r="Y15" s="3672" t="s">
        <v>2270</v>
      </c>
      <c r="Z15" s="1727" t="str">
        <f t="shared" si="7"/>
        <v>居住社区成熟度</v>
      </c>
      <c r="AA15" s="1728">
        <f t="shared" si="3"/>
        <v>1</v>
      </c>
      <c r="AB15" s="1728">
        <f t="shared" si="4"/>
        <v>1</v>
      </c>
      <c r="AC15" s="1728">
        <f t="shared" si="5"/>
        <v>1</v>
      </c>
    </row>
    <row r="16" spans="1:29" ht="15">
      <c r="A16" s="1702"/>
      <c r="B16" s="1729"/>
      <c r="C16" s="1730" t="s">
        <v>29</v>
      </c>
      <c r="D16" s="1731"/>
      <c r="E16" s="1730" t="s">
        <v>29</v>
      </c>
      <c r="F16" s="1733"/>
      <c r="G16" s="1730" t="s">
        <v>29</v>
      </c>
      <c r="H16" s="1735"/>
      <c r="I16" s="1730" t="s">
        <v>29</v>
      </c>
      <c r="J16" s="1731"/>
      <c r="K16" s="1736"/>
      <c r="L16" s="3000"/>
      <c r="M16" s="2996"/>
      <c r="N16" s="2996"/>
      <c r="O16" s="2996"/>
      <c r="P16" s="3686"/>
      <c r="Q16" s="1616"/>
      <c r="R16" s="1725"/>
      <c r="S16" s="1726"/>
      <c r="T16" s="1725"/>
      <c r="U16" s="1726"/>
      <c r="V16" s="1725"/>
      <c r="W16" s="1726"/>
      <c r="X16" s="1666"/>
      <c r="Y16" s="3673"/>
      <c r="Z16" s="1727"/>
      <c r="AA16" s="1728">
        <v>1</v>
      </c>
      <c r="AB16" s="1728">
        <v>1</v>
      </c>
      <c r="AC16" s="1728">
        <v>1</v>
      </c>
    </row>
    <row r="17" spans="1:29" ht="36">
      <c r="A17" s="1702"/>
      <c r="B17" s="1737" t="s">
        <v>1705</v>
      </c>
      <c r="C17" s="3178" t="str">
        <f>估价对象房地状况!C6</f>
        <v>估价对象周边有多条公交线路，综合评价交通便捷度较好。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3000"/>
      <c r="M17" s="2996"/>
      <c r="N17" s="2996"/>
      <c r="O17" s="2996"/>
      <c r="P17" s="3686"/>
      <c r="Q17" s="1616" t="str">
        <f>B17</f>
        <v>交通便捷度</v>
      </c>
      <c r="R17" s="1725" t="s">
        <v>28</v>
      </c>
      <c r="S17" s="1726">
        <f>F17</f>
        <v>100</v>
      </c>
      <c r="T17" s="1725" t="s">
        <v>28</v>
      </c>
      <c r="U17" s="1726">
        <f>H17</f>
        <v>100</v>
      </c>
      <c r="V17" s="1725" t="s">
        <v>28</v>
      </c>
      <c r="W17" s="1726">
        <f>J17</f>
        <v>100</v>
      </c>
      <c r="X17" s="1666"/>
      <c r="Y17" s="3673"/>
      <c r="Z17" s="1727" t="str">
        <f>Q17</f>
        <v>交通便捷度</v>
      </c>
      <c r="AA17" s="1728">
        <f t="shared" si="3"/>
        <v>1</v>
      </c>
      <c r="AB17" s="1728">
        <f t="shared" si="4"/>
        <v>1</v>
      </c>
      <c r="AC17" s="1728">
        <f t="shared" si="5"/>
        <v>1</v>
      </c>
    </row>
    <row r="18" spans="1:29" ht="15">
      <c r="A18" s="1702"/>
      <c r="B18" s="1743"/>
      <c r="C18" s="1730" t="s">
        <v>31</v>
      </c>
      <c r="D18" s="1735"/>
      <c r="E18" s="1730" t="s">
        <v>31</v>
      </c>
      <c r="F18" s="1740"/>
      <c r="G18" s="1730" t="s">
        <v>31</v>
      </c>
      <c r="H18" s="1731"/>
      <c r="I18" s="1730" t="s">
        <v>31</v>
      </c>
      <c r="J18" s="1731"/>
      <c r="K18" s="1736"/>
      <c r="L18" s="3000"/>
      <c r="M18" s="2996"/>
      <c r="N18" s="2996"/>
      <c r="O18" s="2996"/>
      <c r="P18" s="3686"/>
      <c r="Q18" s="1616"/>
      <c r="R18" s="1725"/>
      <c r="S18" s="1726"/>
      <c r="T18" s="1725"/>
      <c r="U18" s="1726"/>
      <c r="V18" s="1725"/>
      <c r="W18" s="1726"/>
      <c r="X18" s="1666"/>
      <c r="Y18" s="3673"/>
      <c r="Z18" s="1727"/>
      <c r="AA18" s="1728">
        <v>1</v>
      </c>
      <c r="AB18" s="1728">
        <v>1</v>
      </c>
      <c r="AC18" s="1728">
        <v>1</v>
      </c>
    </row>
    <row r="19" spans="1:29" ht="204">
      <c r="A19" s="1702"/>
      <c r="B19" s="1737" t="s">
        <v>1704</v>
      </c>
      <c r="C19" s="3178"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742">
        <v>100</v>
      </c>
      <c r="E19" s="1747"/>
      <c r="F19" s="1748">
        <f>SUMIF(80:80,E20,81:81)-SUMIF(80:80,C20,81:81)+100</f>
        <v>100</v>
      </c>
      <c r="G19" s="1749"/>
      <c r="H19" s="1735">
        <f>SUMIF(80:80,G20,81:81)-SUMIF(80:80,C20,81:81)+100</f>
        <v>100</v>
      </c>
      <c r="I19" s="1747"/>
      <c r="J19" s="1735">
        <f>SUMIF(80:80,I20,81:81)-SUMIF(80:80,C20,81:81)+100</f>
        <v>100</v>
      </c>
      <c r="K19" s="1724"/>
      <c r="L19" s="3000"/>
      <c r="M19" s="2996"/>
      <c r="N19" s="2996"/>
      <c r="O19" s="2996"/>
      <c r="P19" s="3686"/>
      <c r="Q19" s="1616" t="str">
        <f>B19</f>
        <v>公共配套设施</v>
      </c>
      <c r="R19" s="1725" t="s">
        <v>28</v>
      </c>
      <c r="S19" s="1726">
        <f>F19</f>
        <v>100</v>
      </c>
      <c r="T19" s="1725" t="s">
        <v>28</v>
      </c>
      <c r="U19" s="1726">
        <f>H19</f>
        <v>100</v>
      </c>
      <c r="V19" s="1725" t="s">
        <v>28</v>
      </c>
      <c r="W19" s="1726">
        <f>J19</f>
        <v>100</v>
      </c>
      <c r="X19" s="1666"/>
      <c r="Y19" s="3673"/>
      <c r="Z19" s="1727" t="str">
        <f>Q19</f>
        <v>公共配套设施</v>
      </c>
      <c r="AA19" s="1728">
        <f t="shared" si="3"/>
        <v>1</v>
      </c>
      <c r="AB19" s="1728">
        <f t="shared" si="4"/>
        <v>1</v>
      </c>
      <c r="AC19" s="1728">
        <f t="shared" si="5"/>
        <v>1</v>
      </c>
    </row>
    <row r="20" spans="1:29" ht="15">
      <c r="A20" s="1702"/>
      <c r="B20" s="1743"/>
      <c r="C20" s="1730" t="s">
        <v>30</v>
      </c>
      <c r="D20" s="1731"/>
      <c r="E20" s="1730" t="s">
        <v>30</v>
      </c>
      <c r="F20" s="1733"/>
      <c r="G20" s="1730" t="s">
        <v>30</v>
      </c>
      <c r="H20" s="1731"/>
      <c r="I20" s="1730" t="s">
        <v>30</v>
      </c>
      <c r="J20" s="1731"/>
      <c r="K20" s="1736"/>
      <c r="L20" s="3000"/>
      <c r="M20" s="2996"/>
      <c r="N20" s="2996"/>
      <c r="O20" s="2996"/>
      <c r="P20" s="3686"/>
      <c r="Q20" s="1616"/>
      <c r="R20" s="1725"/>
      <c r="S20" s="1726"/>
      <c r="T20" s="1725"/>
      <c r="U20" s="1726"/>
      <c r="V20" s="1725"/>
      <c r="W20" s="1726"/>
      <c r="X20" s="1666"/>
      <c r="Y20" s="3673"/>
      <c r="Z20" s="1727"/>
      <c r="AA20" s="1728">
        <v>1</v>
      </c>
      <c r="AB20" s="1728">
        <v>1</v>
      </c>
      <c r="AC20" s="1728">
        <v>1</v>
      </c>
    </row>
    <row r="21" spans="1:29" ht="24">
      <c r="A21" s="1702"/>
      <c r="B21" s="1750" t="s">
        <v>1706</v>
      </c>
      <c r="C21" s="317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1724"/>
      <c r="L21" s="3000"/>
      <c r="M21" s="2996"/>
      <c r="N21" s="2996"/>
      <c r="O21" s="2996"/>
      <c r="P21" s="3686"/>
      <c r="Q21" s="1616" t="str">
        <f>B21</f>
        <v>基础设施水平</v>
      </c>
      <c r="R21" s="1725" t="s">
        <v>28</v>
      </c>
      <c r="S21" s="1726">
        <f>F21</f>
        <v>100</v>
      </c>
      <c r="T21" s="1725" t="s">
        <v>28</v>
      </c>
      <c r="U21" s="1726">
        <f>H21</f>
        <v>100</v>
      </c>
      <c r="V21" s="1725" t="s">
        <v>28</v>
      </c>
      <c r="W21" s="1726">
        <f>J21</f>
        <v>100</v>
      </c>
      <c r="X21" s="1666"/>
      <c r="Y21" s="3673"/>
      <c r="Z21" s="1727" t="str">
        <f>Q21</f>
        <v>基础设施水平</v>
      </c>
      <c r="AA21" s="1728">
        <f t="shared" ref="AA21" si="8">D21/F21</f>
        <v>1</v>
      </c>
      <c r="AB21" s="1728">
        <f t="shared" ref="AB21" si="9">D21/H21</f>
        <v>1</v>
      </c>
      <c r="AC21" s="1728">
        <f t="shared" ref="AC21" si="10">D21/J21</f>
        <v>1</v>
      </c>
    </row>
    <row r="22" spans="1:29" ht="15">
      <c r="A22" s="1702"/>
      <c r="B22" s="1750"/>
      <c r="C22" s="1744" t="s">
        <v>3214</v>
      </c>
      <c r="D22" s="1731"/>
      <c r="E22" s="1744" t="s">
        <v>3214</v>
      </c>
      <c r="F22" s="1733"/>
      <c r="G22" s="1744" t="s">
        <v>3214</v>
      </c>
      <c r="H22" s="1731"/>
      <c r="I22" s="1744" t="s">
        <v>3214</v>
      </c>
      <c r="J22" s="1731"/>
      <c r="K22" s="1751"/>
      <c r="L22" s="3000"/>
      <c r="M22" s="2996"/>
      <c r="N22" s="2996"/>
      <c r="O22" s="2996"/>
      <c r="P22" s="3686"/>
      <c r="Q22" s="1616"/>
      <c r="R22" s="1725"/>
      <c r="S22" s="1726"/>
      <c r="T22" s="1725"/>
      <c r="U22" s="1726"/>
      <c r="V22" s="1725"/>
      <c r="W22" s="1726"/>
      <c r="X22" s="1666"/>
      <c r="Y22" s="3673"/>
      <c r="Z22" s="1727"/>
      <c r="AA22" s="1728">
        <v>1</v>
      </c>
      <c r="AB22" s="1728">
        <v>1</v>
      </c>
      <c r="AC22" s="1728">
        <v>1</v>
      </c>
    </row>
    <row r="23" spans="1:29" ht="60">
      <c r="A23" s="1702"/>
      <c r="B23" s="1737" t="s">
        <v>1707</v>
      </c>
      <c r="C23" s="3178" t="str">
        <f>估价对象房地状况!C9</f>
        <v xml:space="preserve">自然环境：昌平公园等；
综上，环境状况一般。
</v>
      </c>
      <c r="D23" s="1735">
        <v>100</v>
      </c>
      <c r="E23" s="1739"/>
      <c r="F23" s="1740">
        <f>SUMIF(84:84,E24,85:85)-SUMIF(84:84,C24,85:85)+100</f>
        <v>100</v>
      </c>
      <c r="G23" s="1741"/>
      <c r="H23" s="1735">
        <f>SUMIF(84:84,G24,85:85)-SUMIF(84:84,C24,85:85)+100</f>
        <v>100</v>
      </c>
      <c r="I23" s="1739"/>
      <c r="J23" s="1735">
        <f>SUMIF(84:84,I24,85:85)-SUMIF(84:84,C24,85:85)+100</f>
        <v>100</v>
      </c>
      <c r="K23" s="1724"/>
      <c r="L23" s="3000"/>
      <c r="M23" s="2996"/>
      <c r="N23" s="2996"/>
      <c r="O23" s="2996"/>
      <c r="P23" s="3686"/>
      <c r="Q23" s="1616" t="str">
        <f>B23</f>
        <v>自然及人文环境</v>
      </c>
      <c r="R23" s="1725" t="s">
        <v>28</v>
      </c>
      <c r="S23" s="1726">
        <f>F23</f>
        <v>100</v>
      </c>
      <c r="T23" s="1725" t="s">
        <v>28</v>
      </c>
      <c r="U23" s="1726">
        <f>H23</f>
        <v>100</v>
      </c>
      <c r="V23" s="1725" t="s">
        <v>28</v>
      </c>
      <c r="W23" s="1726">
        <f>J23</f>
        <v>100</v>
      </c>
      <c r="X23" s="1666"/>
      <c r="Y23" s="3673"/>
      <c r="Z23" s="1727" t="str">
        <f>Q23</f>
        <v>自然及人文环境</v>
      </c>
      <c r="AA23" s="1728">
        <f t="shared" si="3"/>
        <v>1</v>
      </c>
      <c r="AB23" s="1728">
        <f t="shared" si="4"/>
        <v>1</v>
      </c>
      <c r="AC23" s="1728">
        <f t="shared" si="5"/>
        <v>1</v>
      </c>
    </row>
    <row r="24" spans="1:29" ht="15">
      <c r="A24" s="1702"/>
      <c r="B24" s="1743"/>
      <c r="C24" s="1730" t="s">
        <v>31</v>
      </c>
      <c r="D24" s="1731"/>
      <c r="E24" s="1730" t="s">
        <v>31</v>
      </c>
      <c r="F24" s="1733"/>
      <c r="G24" s="1730" t="s">
        <v>31</v>
      </c>
      <c r="H24" s="1731"/>
      <c r="I24" s="1730" t="s">
        <v>31</v>
      </c>
      <c r="J24" s="1731"/>
      <c r="K24" s="1736"/>
      <c r="L24" s="3000"/>
      <c r="M24" s="2996"/>
      <c r="N24" s="2996"/>
      <c r="O24" s="2996"/>
      <c r="P24" s="3686"/>
      <c r="Q24" s="1616"/>
      <c r="R24" s="1725"/>
      <c r="S24" s="1726"/>
      <c r="T24" s="1725"/>
      <c r="U24" s="1726"/>
      <c r="V24" s="1725"/>
      <c r="W24" s="1726"/>
      <c r="X24" s="1666"/>
      <c r="Y24" s="3673"/>
      <c r="Z24" s="1727"/>
      <c r="AA24" s="1728">
        <v>1</v>
      </c>
      <c r="AB24" s="1728">
        <v>1</v>
      </c>
      <c r="AC24" s="1728">
        <v>1</v>
      </c>
    </row>
    <row r="25" spans="1:29" ht="15" hidden="1">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3000"/>
      <c r="M25" s="2996"/>
      <c r="N25" s="2996"/>
      <c r="O25" s="2996"/>
      <c r="P25" s="3686"/>
      <c r="Q25" s="1616" t="str">
        <f t="shared" ref="Q25:Q46" si="11">B25</f>
        <v>楼层-1</v>
      </c>
      <c r="R25" s="1725" t="s">
        <v>28</v>
      </c>
      <c r="S25" s="1726">
        <f>F25</f>
        <v>100</v>
      </c>
      <c r="T25" s="1725" t="s">
        <v>28</v>
      </c>
      <c r="U25" s="1726">
        <f>H25</f>
        <v>100</v>
      </c>
      <c r="V25" s="1725" t="s">
        <v>28</v>
      </c>
      <c r="W25" s="1726">
        <f>J25</f>
        <v>100</v>
      </c>
      <c r="X25" s="1666"/>
      <c r="Y25" s="3673"/>
      <c r="Z25" s="1727" t="str">
        <f>Q25</f>
        <v>楼层-1</v>
      </c>
      <c r="AA25" s="1728">
        <f t="shared" si="3"/>
        <v>1</v>
      </c>
      <c r="AB25" s="1728">
        <f t="shared" si="4"/>
        <v>1</v>
      </c>
      <c r="AC25" s="1728">
        <f t="shared" si="5"/>
        <v>1</v>
      </c>
    </row>
    <row r="26" spans="1:29" ht="15">
      <c r="A26" s="1702"/>
      <c r="B26" s="1695" t="s">
        <v>2272</v>
      </c>
      <c r="C26" s="1752" t="s">
        <v>2936</v>
      </c>
      <c r="D26" s="1711">
        <v>100</v>
      </c>
      <c r="E26" s="1753" t="s">
        <v>2936</v>
      </c>
      <c r="F26" s="1754">
        <f>SUMIF(88:88,E26,89:89)-SUMIF(88:88,C26,89:89)+100</f>
        <v>100</v>
      </c>
      <c r="G26" s="1755" t="s">
        <v>2936</v>
      </c>
      <c r="H26" s="1711">
        <f>SUMIF(88:88,G26,89:89)-SUMIF(88:88,C26,89:89)+100</f>
        <v>100</v>
      </c>
      <c r="I26" s="1753" t="s">
        <v>2936</v>
      </c>
      <c r="J26" s="1711">
        <f>SUMIF(88:88,I26,89:89)-SUMIF(88:88,C26,89:89)+100</f>
        <v>100</v>
      </c>
      <c r="K26" s="1700">
        <v>1</v>
      </c>
      <c r="L26" s="3000"/>
      <c r="M26" s="2996"/>
      <c r="N26" s="2996"/>
      <c r="O26" s="2996"/>
      <c r="P26" s="3686"/>
      <c r="Q26" s="1616" t="str">
        <f t="shared" si="11"/>
        <v>朝向</v>
      </c>
      <c r="R26" s="1725" t="s">
        <v>28</v>
      </c>
      <c r="S26" s="1726">
        <f>F26</f>
        <v>100</v>
      </c>
      <c r="T26" s="1725" t="s">
        <v>28</v>
      </c>
      <c r="U26" s="1726">
        <f>H26</f>
        <v>100</v>
      </c>
      <c r="V26" s="1725" t="s">
        <v>28</v>
      </c>
      <c r="W26" s="1726">
        <f>J26</f>
        <v>100</v>
      </c>
      <c r="X26" s="1666"/>
      <c r="Y26" s="3673"/>
      <c r="Z26" s="1727" t="str">
        <f>Q26</f>
        <v>朝向</v>
      </c>
      <c r="AA26" s="1728">
        <f t="shared" si="3"/>
        <v>1</v>
      </c>
      <c r="AB26" s="1728">
        <f t="shared" si="4"/>
        <v>1</v>
      </c>
      <c r="AC26" s="1728">
        <f t="shared" si="5"/>
        <v>1</v>
      </c>
    </row>
    <row r="27" spans="1:29" s="1685" customFormat="1" ht="15" hidden="1">
      <c r="A27" s="1705"/>
      <c r="B27" s="3181" t="s">
        <v>2937</v>
      </c>
      <c r="C27" s="3232"/>
      <c r="D27" s="1756">
        <v>100</v>
      </c>
      <c r="E27" s="1757"/>
      <c r="F27" s="1758">
        <f>SUMIF(90:90,E27,91:91)-SUMIF(90:90,C27,91:91)+100</f>
        <v>100</v>
      </c>
      <c r="G27" s="1757"/>
      <c r="H27" s="1756">
        <f>SUMIF(90:90,G27,91:91)-SUMIF(90:90,C27,91:91)+100</f>
        <v>100</v>
      </c>
      <c r="I27" s="1757"/>
      <c r="J27" s="1756">
        <f>SUMIF(90:90,I27,91:91)-SUMIF(90:90,C27,91:91)+100</f>
        <v>100</v>
      </c>
      <c r="K27" s="1709"/>
      <c r="L27" s="2995"/>
      <c r="M27" s="2968"/>
      <c r="N27" s="2968"/>
      <c r="O27" s="2968"/>
      <c r="P27" s="3686"/>
      <c r="Q27" s="1635" t="str">
        <f t="shared" si="11"/>
        <v>楼层</v>
      </c>
      <c r="R27" s="1681" t="s">
        <v>28</v>
      </c>
      <c r="S27" s="1682">
        <f>F27</f>
        <v>100</v>
      </c>
      <c r="T27" s="1681" t="s">
        <v>28</v>
      </c>
      <c r="U27" s="1682">
        <f>H27</f>
        <v>100</v>
      </c>
      <c r="V27" s="1681" t="s">
        <v>28</v>
      </c>
      <c r="W27" s="1682">
        <f>J27</f>
        <v>100</v>
      </c>
      <c r="X27" s="1683"/>
      <c r="Y27" s="3673"/>
      <c r="Z27" s="1693" t="str">
        <f>Q27</f>
        <v>楼层</v>
      </c>
      <c r="AA27" s="1728">
        <f>D27/F27</f>
        <v>1</v>
      </c>
      <c r="AB27" s="1728">
        <f>D27/H27</f>
        <v>1</v>
      </c>
      <c r="AC27" s="1728">
        <f>D27/J27</f>
        <v>1</v>
      </c>
    </row>
    <row r="28" spans="1:29" ht="15" hidden="1">
      <c r="A28" s="1702"/>
      <c r="B28" s="3183" t="s">
        <v>2942</v>
      </c>
      <c r="C28" s="3255"/>
      <c r="D28" s="1711">
        <v>100</v>
      </c>
      <c r="E28" s="1710"/>
      <c r="F28" s="1754">
        <f>SUMIF(92:92,E28,93:93)-SUMIF(92:92,C28,93:93)+100</f>
        <v>100</v>
      </c>
      <c r="G28" s="1710"/>
      <c r="H28" s="1711">
        <f>SUMIF(92:92,G28,93:93)-SUMIF(92:92,C28,93:93)+100</f>
        <v>100</v>
      </c>
      <c r="I28" s="1710"/>
      <c r="J28" s="1711">
        <f>SUMIF(92:92,I28,93:93)-SUMIF(92:92,C28,93:93)+100</f>
        <v>100</v>
      </c>
      <c r="K28" s="1709"/>
      <c r="L28" s="3000"/>
      <c r="M28" s="2996"/>
      <c r="N28" s="2996"/>
      <c r="O28" s="2996"/>
      <c r="P28" s="3686"/>
      <c r="Q28" s="1616" t="str">
        <f t="shared" si="11"/>
        <v>建成年代</v>
      </c>
      <c r="R28" s="1725" t="s">
        <v>28</v>
      </c>
      <c r="S28" s="1726">
        <f t="shared" ref="S28:S46" si="12">F28</f>
        <v>100</v>
      </c>
      <c r="T28" s="1725" t="s">
        <v>28</v>
      </c>
      <c r="U28" s="1726">
        <f t="shared" ref="U28:U46" si="13">H28</f>
        <v>100</v>
      </c>
      <c r="V28" s="1725" t="s">
        <v>28</v>
      </c>
      <c r="W28" s="1726">
        <f t="shared" ref="W28:W46" si="14">J28</f>
        <v>100</v>
      </c>
      <c r="X28" s="1666"/>
      <c r="Y28" s="3673"/>
      <c r="Z28" s="1727" t="str">
        <f t="shared" ref="Z28:Z46" si="15">Q28</f>
        <v>建成年代</v>
      </c>
      <c r="AA28" s="1728">
        <f t="shared" si="3"/>
        <v>1</v>
      </c>
      <c r="AB28" s="1728">
        <f t="shared" si="4"/>
        <v>1</v>
      </c>
      <c r="AC28" s="1728">
        <f t="shared" si="5"/>
        <v>1</v>
      </c>
    </row>
    <row r="29" spans="1:29" ht="15.75" thickBot="1">
      <c r="A29" s="1702"/>
      <c r="B29" s="3183" t="s">
        <v>3103</v>
      </c>
      <c r="C29" s="1757" t="s">
        <v>9853</v>
      </c>
      <c r="D29" s="1711">
        <v>100</v>
      </c>
      <c r="E29" s="1757" t="s">
        <v>3204</v>
      </c>
      <c r="F29" s="1754">
        <f>SUMIF(94:94,E29,95:95)-SUMIF(94:94,C29,95:95)+100</f>
        <v>100</v>
      </c>
      <c r="G29" s="1757" t="s">
        <v>3204</v>
      </c>
      <c r="H29" s="1711">
        <f>SUMIF(94:94,G29,95:95)-SUMIF(94:94,C29,95:95)+100</f>
        <v>100</v>
      </c>
      <c r="I29" s="1757" t="s">
        <v>3202</v>
      </c>
      <c r="J29" s="1711">
        <f>SUMIF(94:94,I29,95:95)-SUMIF(94:94,C29,95:95)+100</f>
        <v>100</v>
      </c>
      <c r="K29" s="1709"/>
      <c r="L29" s="3000"/>
      <c r="M29" s="2996"/>
      <c r="N29" s="2996"/>
      <c r="O29" s="2996"/>
      <c r="P29" s="3686"/>
      <c r="Q29" s="1616" t="str">
        <f t="shared" si="11"/>
        <v>楼层</v>
      </c>
      <c r="R29" s="1725" t="s">
        <v>28</v>
      </c>
      <c r="S29" s="1726">
        <f t="shared" si="12"/>
        <v>100</v>
      </c>
      <c r="T29" s="1725" t="s">
        <v>28</v>
      </c>
      <c r="U29" s="1726">
        <f t="shared" si="13"/>
        <v>100</v>
      </c>
      <c r="V29" s="1725" t="s">
        <v>28</v>
      </c>
      <c r="W29" s="1726">
        <f t="shared" si="14"/>
        <v>100</v>
      </c>
      <c r="X29" s="1666"/>
      <c r="Y29" s="3673"/>
      <c r="Z29" s="1727" t="str">
        <f t="shared" si="15"/>
        <v>楼层</v>
      </c>
      <c r="AA29" s="1728">
        <f t="shared" si="3"/>
        <v>1</v>
      </c>
      <c r="AB29" s="1728">
        <f t="shared" si="4"/>
        <v>1</v>
      </c>
      <c r="AC29" s="1728">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0"/>
      <c r="M30" s="2996"/>
      <c r="N30" s="2996"/>
      <c r="O30" s="2996"/>
      <c r="P30" s="3686"/>
      <c r="Q30" s="1616">
        <f t="shared" si="11"/>
        <v>111</v>
      </c>
      <c r="R30" s="1725" t="s">
        <v>28</v>
      </c>
      <c r="S30" s="1726">
        <f t="shared" si="12"/>
        <v>100</v>
      </c>
      <c r="T30" s="1725" t="s">
        <v>28</v>
      </c>
      <c r="U30" s="1726">
        <f t="shared" si="13"/>
        <v>100</v>
      </c>
      <c r="V30" s="1725" t="s">
        <v>28</v>
      </c>
      <c r="W30" s="1726">
        <f t="shared" si="14"/>
        <v>100</v>
      </c>
      <c r="X30" s="1666"/>
      <c r="Y30" s="3673"/>
      <c r="Z30" s="1727">
        <f t="shared" si="15"/>
        <v>111</v>
      </c>
      <c r="AA30" s="1728">
        <f t="shared" si="3"/>
        <v>1</v>
      </c>
      <c r="AB30" s="1728">
        <f t="shared" si="4"/>
        <v>1</v>
      </c>
      <c r="AC30" s="1728">
        <f t="shared" si="5"/>
        <v>1</v>
      </c>
    </row>
    <row r="31" spans="1:29" ht="15.75"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0"/>
      <c r="M31" s="2996"/>
      <c r="N31" s="2996"/>
      <c r="O31" s="2996"/>
      <c r="P31" s="3686"/>
      <c r="Q31" s="1616">
        <f t="shared" si="11"/>
        <v>111</v>
      </c>
      <c r="R31" s="1725" t="s">
        <v>28</v>
      </c>
      <c r="S31" s="1726">
        <f t="shared" si="12"/>
        <v>100</v>
      </c>
      <c r="T31" s="1725" t="s">
        <v>28</v>
      </c>
      <c r="U31" s="1726">
        <f t="shared" si="13"/>
        <v>100</v>
      </c>
      <c r="V31" s="1725" t="s">
        <v>28</v>
      </c>
      <c r="W31" s="1726">
        <f t="shared" si="14"/>
        <v>100</v>
      </c>
      <c r="X31" s="1666"/>
      <c r="Y31" s="3673"/>
      <c r="Z31" s="1727">
        <f t="shared" si="15"/>
        <v>111</v>
      </c>
      <c r="AA31" s="1728">
        <f t="shared" si="3"/>
        <v>1</v>
      </c>
      <c r="AB31" s="1728">
        <f t="shared" si="4"/>
        <v>1</v>
      </c>
      <c r="AC31" s="1728">
        <f t="shared" si="5"/>
        <v>1</v>
      </c>
    </row>
    <row r="32" spans="1:29" ht="15">
      <c r="A32" s="1717" t="s">
        <v>2273</v>
      </c>
      <c r="B32" s="1687" t="s">
        <v>2274</v>
      </c>
      <c r="C32" s="1761" t="s">
        <v>3092</v>
      </c>
      <c r="D32" s="1762">
        <v>100</v>
      </c>
      <c r="E32" s="1761" t="s">
        <v>3092</v>
      </c>
      <c r="F32" s="1754">
        <f>SUMIF(100:100,E32,101:101)-SUMIF(100:100,C32,101:101)+100</f>
        <v>100</v>
      </c>
      <c r="G32" s="1761" t="s">
        <v>3092</v>
      </c>
      <c r="H32" s="1762">
        <f>SUMIF(100:100,G32,101:101)-SUMIF(100:100,C32,101:101)+100</f>
        <v>100</v>
      </c>
      <c r="I32" s="1761" t="s">
        <v>3092</v>
      </c>
      <c r="J32" s="1711">
        <f>SUMIF(100:100,I32,101:101)-SUMIF(100:100,C32,101:101)+100</f>
        <v>100</v>
      </c>
      <c r="K32" s="1700">
        <v>0.5</v>
      </c>
      <c r="L32" s="3000"/>
      <c r="M32" s="2996"/>
      <c r="N32" s="2996"/>
      <c r="O32" s="2996"/>
      <c r="P32" s="3674" t="s">
        <v>2275</v>
      </c>
      <c r="Q32" s="1616" t="str">
        <f t="shared" si="11"/>
        <v>建筑类型</v>
      </c>
      <c r="R32" s="1725" t="s">
        <v>28</v>
      </c>
      <c r="S32" s="1726">
        <f t="shared" si="12"/>
        <v>100</v>
      </c>
      <c r="T32" s="1725" t="s">
        <v>28</v>
      </c>
      <c r="U32" s="1726">
        <f t="shared" si="13"/>
        <v>100</v>
      </c>
      <c r="V32" s="1725" t="s">
        <v>28</v>
      </c>
      <c r="W32" s="1726">
        <f t="shared" si="14"/>
        <v>100</v>
      </c>
      <c r="X32" s="1666"/>
      <c r="Y32" s="3677" t="s">
        <v>2275</v>
      </c>
      <c r="Z32" s="1727" t="str">
        <f t="shared" si="15"/>
        <v>建筑类型</v>
      </c>
      <c r="AA32" s="1728">
        <f t="shared" si="3"/>
        <v>1</v>
      </c>
      <c r="AB32" s="1728">
        <f t="shared" si="4"/>
        <v>1</v>
      </c>
      <c r="AC32" s="1728">
        <f t="shared" si="5"/>
        <v>1</v>
      </c>
    </row>
    <row r="33" spans="1:29" s="1770" customFormat="1" ht="15">
      <c r="A33" s="1763"/>
      <c r="B33" s="1695" t="s">
        <v>2276</v>
      </c>
      <c r="C33" s="1764">
        <f>'数据-取费表'!B5</f>
        <v>64.19</v>
      </c>
      <c r="D33" s="1697">
        <v>100</v>
      </c>
      <c r="E33" s="1704">
        <f>Sheet1!L743</f>
        <v>79.64</v>
      </c>
      <c r="F33" s="1699">
        <f>LOOKUP(E33,103:103,104:104)-LOOKUP(C33,103:103,104:104)+100</f>
        <v>100</v>
      </c>
      <c r="G33" s="1703">
        <f>Sheet1!L754</f>
        <v>114.67</v>
      </c>
      <c r="H33" s="1697">
        <f>LOOKUP(G33,103:103,104:104)-LOOKUP(C33,103:103,104:104)+100</f>
        <v>99</v>
      </c>
      <c r="I33" s="1704">
        <f>Sheet1!L799</f>
        <v>57.43</v>
      </c>
      <c r="J33" s="1697">
        <f>LOOKUP(I33,103:103,104:104)-LOOKUP(C33,103:103,104:104)+100</f>
        <v>100</v>
      </c>
      <c r="K33" s="1709"/>
      <c r="L33" s="2999"/>
      <c r="M33" s="2058"/>
      <c r="N33" s="2058"/>
      <c r="O33" s="2058"/>
      <c r="P33" s="3675"/>
      <c r="Q33" s="1765" t="str">
        <f t="shared" si="11"/>
        <v>项目建筑规模</v>
      </c>
      <c r="R33" s="1766" t="s">
        <v>28</v>
      </c>
      <c r="S33" s="1767">
        <f t="shared" si="12"/>
        <v>100</v>
      </c>
      <c r="T33" s="1766" t="s">
        <v>28</v>
      </c>
      <c r="U33" s="1767">
        <f t="shared" si="13"/>
        <v>99</v>
      </c>
      <c r="V33" s="1766" t="s">
        <v>28</v>
      </c>
      <c r="W33" s="1767">
        <f t="shared" si="14"/>
        <v>100</v>
      </c>
      <c r="X33" s="1768"/>
      <c r="Y33" s="3677"/>
      <c r="Z33" s="1769" t="str">
        <f t="shared" si="15"/>
        <v>项目建筑规模</v>
      </c>
      <c r="AA33" s="1728">
        <f t="shared" si="3"/>
        <v>1</v>
      </c>
      <c r="AB33" s="1728">
        <f t="shared" si="4"/>
        <v>1.0101010101010102</v>
      </c>
      <c r="AC33" s="1728">
        <f t="shared" si="5"/>
        <v>1</v>
      </c>
    </row>
    <row r="34" spans="1:29" ht="15">
      <c r="A34" s="1771"/>
      <c r="B34" s="1695" t="s">
        <v>2277</v>
      </c>
      <c r="C34" s="1772" t="s">
        <v>2938</v>
      </c>
      <c r="D34" s="1711">
        <v>100</v>
      </c>
      <c r="E34" s="1772" t="s">
        <v>2938</v>
      </c>
      <c r="F34" s="1754">
        <f>SUMIF(105:105,E34,106:106)-SUMIF(105:105,C34,106:106)+100</f>
        <v>100</v>
      </c>
      <c r="G34" s="1772" t="s">
        <v>2938</v>
      </c>
      <c r="H34" s="1711">
        <f>SUMIF(105:105,G34,106:106)-SUMIF(105:105,C34,106:106)+100</f>
        <v>100</v>
      </c>
      <c r="I34" s="1773" t="s">
        <v>2938</v>
      </c>
      <c r="J34" s="1711">
        <f>SUMIF(105:105,I34,106:106)-SUMIF(105:105,C34,106:106)+100</f>
        <v>100</v>
      </c>
      <c r="K34" s="1700">
        <v>2</v>
      </c>
      <c r="L34" s="3000"/>
      <c r="M34" s="2996"/>
      <c r="N34" s="2996"/>
      <c r="O34" s="2996"/>
      <c r="P34" s="3675"/>
      <c r="Q34" s="1616" t="str">
        <f t="shared" si="11"/>
        <v>建筑结构</v>
      </c>
      <c r="R34" s="1725" t="s">
        <v>28</v>
      </c>
      <c r="S34" s="1726">
        <f t="shared" si="12"/>
        <v>100</v>
      </c>
      <c r="T34" s="1725" t="s">
        <v>28</v>
      </c>
      <c r="U34" s="1726">
        <f t="shared" si="13"/>
        <v>100</v>
      </c>
      <c r="V34" s="1725" t="s">
        <v>28</v>
      </c>
      <c r="W34" s="1726">
        <f t="shared" si="14"/>
        <v>100</v>
      </c>
      <c r="X34" s="1666"/>
      <c r="Y34" s="3677"/>
      <c r="Z34" s="1727" t="str">
        <f t="shared" si="15"/>
        <v>建筑结构</v>
      </c>
      <c r="AA34" s="1728">
        <f t="shared" si="3"/>
        <v>1</v>
      </c>
      <c r="AB34" s="1728">
        <f t="shared" si="4"/>
        <v>1</v>
      </c>
      <c r="AC34" s="1728">
        <f t="shared" si="5"/>
        <v>1</v>
      </c>
    </row>
    <row r="35" spans="1:29" ht="15" hidden="1">
      <c r="A35" s="1771"/>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0"/>
      <c r="M35" s="2996"/>
      <c r="N35" s="2996"/>
      <c r="O35" s="2996"/>
      <c r="P35" s="3675"/>
      <c r="Q35" s="1616" t="str">
        <f t="shared" si="11"/>
        <v>建筑品质</v>
      </c>
      <c r="R35" s="1725" t="s">
        <v>28</v>
      </c>
      <c r="S35" s="1726">
        <f t="shared" si="12"/>
        <v>100</v>
      </c>
      <c r="T35" s="1725" t="s">
        <v>28</v>
      </c>
      <c r="U35" s="1726">
        <f t="shared" si="13"/>
        <v>100</v>
      </c>
      <c r="V35" s="1725" t="s">
        <v>28</v>
      </c>
      <c r="W35" s="1726">
        <f t="shared" si="14"/>
        <v>100</v>
      </c>
      <c r="X35" s="1666"/>
      <c r="Y35" s="3677"/>
      <c r="Z35" s="1727" t="str">
        <f t="shared" si="15"/>
        <v>建筑品质</v>
      </c>
      <c r="AA35" s="1728">
        <f t="shared" si="3"/>
        <v>1</v>
      </c>
      <c r="AB35" s="1728">
        <f t="shared" si="4"/>
        <v>1</v>
      </c>
      <c r="AC35" s="1728">
        <f t="shared" si="5"/>
        <v>1</v>
      </c>
    </row>
    <row r="36" spans="1:29" ht="15">
      <c r="A36" s="1771"/>
      <c r="B36" s="1695" t="s">
        <v>2279</v>
      </c>
      <c r="C36" s="1755" t="s">
        <v>2939</v>
      </c>
      <c r="D36" s="1711">
        <v>100</v>
      </c>
      <c r="E36" s="1755" t="s">
        <v>2939</v>
      </c>
      <c r="F36" s="1754">
        <f>SUMIF(109:109,E36,110:110)-SUMIF(109:109,C36,110:110)+100</f>
        <v>100</v>
      </c>
      <c r="G36" s="1755" t="s">
        <v>2939</v>
      </c>
      <c r="H36" s="1711">
        <f>SUMIF(109:109,G36,110:110)-SUMIF(109:109,C36,110:110)+100</f>
        <v>100</v>
      </c>
      <c r="I36" s="1755" t="s">
        <v>2939</v>
      </c>
      <c r="J36" s="1711">
        <f>SUMIF(109:109,I36,110:110)-SUMIF(109:109,C36,110:110)+100</f>
        <v>100</v>
      </c>
      <c r="K36" s="1700"/>
      <c r="L36" s="3000"/>
      <c r="M36" s="2996"/>
      <c r="N36" s="2996"/>
      <c r="O36" s="2996"/>
      <c r="P36" s="3675"/>
      <c r="Q36" s="1616" t="str">
        <f t="shared" si="11"/>
        <v>公共部分装修</v>
      </c>
      <c r="R36" s="1725" t="s">
        <v>28</v>
      </c>
      <c r="S36" s="1726">
        <f t="shared" si="12"/>
        <v>100</v>
      </c>
      <c r="T36" s="1725" t="s">
        <v>28</v>
      </c>
      <c r="U36" s="1726">
        <f t="shared" si="13"/>
        <v>100</v>
      </c>
      <c r="V36" s="1725" t="s">
        <v>28</v>
      </c>
      <c r="W36" s="1726">
        <f t="shared" si="14"/>
        <v>100</v>
      </c>
      <c r="X36" s="1666"/>
      <c r="Y36" s="3677"/>
      <c r="Z36" s="1727" t="str">
        <f t="shared" si="15"/>
        <v>公共部分装修</v>
      </c>
      <c r="AA36" s="1728">
        <f t="shared" si="3"/>
        <v>1</v>
      </c>
      <c r="AB36" s="1728">
        <f t="shared" si="4"/>
        <v>1</v>
      </c>
      <c r="AC36" s="1728">
        <f t="shared" si="5"/>
        <v>1</v>
      </c>
    </row>
    <row r="37" spans="1:29" s="1685" customFormat="1" ht="15">
      <c r="A37" s="1774"/>
      <c r="B37" s="1695" t="s">
        <v>2280</v>
      </c>
      <c r="C37" s="1775">
        <f>'数据-取费表'!E20</f>
        <v>0.6</v>
      </c>
      <c r="D37" s="1697">
        <v>100</v>
      </c>
      <c r="E37" s="1776">
        <f>(50-10)/50</f>
        <v>0.8</v>
      </c>
      <c r="F37" s="1699">
        <f>LOOKUP(E37,112:112,113:113)-LOOKUP(C37,112:112,113:113)+100</f>
        <v>102</v>
      </c>
      <c r="G37" s="1777">
        <v>0.8</v>
      </c>
      <c r="H37" s="1697">
        <f>LOOKUP(G37,112:112,113:113)-LOOKUP(C37,112:112,113:113)+100</f>
        <v>102</v>
      </c>
      <c r="I37" s="1776">
        <v>0.8</v>
      </c>
      <c r="J37" s="1697">
        <f>LOOKUP(I37,112:112,113:113)-LOOKUP(C37,112:112,113:113)+100</f>
        <v>102</v>
      </c>
      <c r="K37" s="1700">
        <v>1</v>
      </c>
      <c r="L37" s="2995"/>
      <c r="M37" s="2968"/>
      <c r="N37" s="2968"/>
      <c r="O37" s="2968"/>
      <c r="P37" s="3675"/>
      <c r="Q37" s="1635" t="str">
        <f t="shared" si="11"/>
        <v>成新度</v>
      </c>
      <c r="R37" s="1681" t="s">
        <v>28</v>
      </c>
      <c r="S37" s="1682">
        <f t="shared" si="12"/>
        <v>102</v>
      </c>
      <c r="T37" s="1681" t="s">
        <v>28</v>
      </c>
      <c r="U37" s="1682">
        <f t="shared" si="13"/>
        <v>102</v>
      </c>
      <c r="V37" s="1681" t="s">
        <v>28</v>
      </c>
      <c r="W37" s="1682">
        <f t="shared" si="14"/>
        <v>102</v>
      </c>
      <c r="X37" s="1683"/>
      <c r="Y37" s="3677"/>
      <c r="Z37" s="1693" t="str">
        <f t="shared" si="15"/>
        <v>成新度</v>
      </c>
      <c r="AA37" s="1684">
        <f t="shared" si="3"/>
        <v>0.98039215686274506</v>
      </c>
      <c r="AB37" s="1684">
        <f t="shared" si="4"/>
        <v>0.98039215686274506</v>
      </c>
      <c r="AC37" s="1684">
        <f t="shared" si="5"/>
        <v>0.98039215686274506</v>
      </c>
    </row>
    <row r="38" spans="1:29" ht="15">
      <c r="A38" s="1771"/>
      <c r="B38" s="1695" t="s">
        <v>2281</v>
      </c>
      <c r="C38" s="1755" t="s">
        <v>3090</v>
      </c>
      <c r="D38" s="1711">
        <v>100</v>
      </c>
      <c r="E38" s="1755" t="s">
        <v>3090</v>
      </c>
      <c r="F38" s="1754">
        <f>SUMIF(114:114,E38,115:115)-SUMIF(114:114,C38,115:115)+100</f>
        <v>100</v>
      </c>
      <c r="G38" s="1755" t="s">
        <v>3090</v>
      </c>
      <c r="H38" s="1711">
        <f>SUMIF(114:114,G38,115:115)-SUMIF(114:114,C38,115:115)+100</f>
        <v>100</v>
      </c>
      <c r="I38" s="1755" t="s">
        <v>3090</v>
      </c>
      <c r="J38" s="1711">
        <f>SUMIF(114:114,I38,115:115)-SUMIF(114:114,C38,115:115)+100</f>
        <v>100</v>
      </c>
      <c r="K38" s="1700"/>
      <c r="L38" s="3000"/>
      <c r="M38" s="2996"/>
      <c r="N38" s="2996"/>
      <c r="O38" s="2996"/>
      <c r="P38" s="3675" t="s">
        <v>2275</v>
      </c>
      <c r="Q38" s="1616" t="str">
        <f t="shared" si="11"/>
        <v>物业管理</v>
      </c>
      <c r="R38" s="1725" t="s">
        <v>28</v>
      </c>
      <c r="S38" s="1726">
        <f t="shared" si="12"/>
        <v>100</v>
      </c>
      <c r="T38" s="1725" t="s">
        <v>28</v>
      </c>
      <c r="U38" s="1726">
        <f t="shared" si="13"/>
        <v>100</v>
      </c>
      <c r="V38" s="1725" t="s">
        <v>28</v>
      </c>
      <c r="W38" s="1726">
        <f t="shared" si="14"/>
        <v>100</v>
      </c>
      <c r="X38" s="1666"/>
      <c r="Y38" s="3677" t="s">
        <v>2275</v>
      </c>
      <c r="Z38" s="1727" t="str">
        <f t="shared" si="15"/>
        <v>物业管理</v>
      </c>
      <c r="AA38" s="1728">
        <f t="shared" si="3"/>
        <v>1</v>
      </c>
      <c r="AB38" s="1728">
        <f t="shared" si="4"/>
        <v>1</v>
      </c>
      <c r="AC38" s="1728">
        <f t="shared" si="5"/>
        <v>1</v>
      </c>
    </row>
    <row r="39" spans="1:29" ht="15">
      <c r="A39" s="1771"/>
      <c r="B39" s="1695" t="s">
        <v>2282</v>
      </c>
      <c r="C39" s="1755" t="s">
        <v>3214</v>
      </c>
      <c r="D39" s="1711">
        <v>100</v>
      </c>
      <c r="E39" s="1755" t="s">
        <v>3214</v>
      </c>
      <c r="F39" s="1754">
        <f>SUMIF(116:116,E39,117:117)-SUMIF(116:116,C39,117:117)+100</f>
        <v>100</v>
      </c>
      <c r="G39" s="1755" t="s">
        <v>3214</v>
      </c>
      <c r="H39" s="1711">
        <f>SUMIF(116:116,G39,117:117)-SUMIF(116:116,C39,117:117)+100</f>
        <v>100</v>
      </c>
      <c r="I39" s="1755" t="s">
        <v>3214</v>
      </c>
      <c r="J39" s="1711">
        <f>SUMIF(116:116,I39,117:117)-SUMIF(116:116,C39,117:117)+100</f>
        <v>100</v>
      </c>
      <c r="K39" s="1700"/>
      <c r="L39" s="3000"/>
      <c r="M39" s="2996"/>
      <c r="N39" s="2996"/>
      <c r="O39" s="2996"/>
      <c r="P39" s="3675"/>
      <c r="Q39" s="1616" t="str">
        <f t="shared" si="11"/>
        <v>市政基础设施</v>
      </c>
      <c r="R39" s="1725" t="s">
        <v>28</v>
      </c>
      <c r="S39" s="1726">
        <f t="shared" si="12"/>
        <v>100</v>
      </c>
      <c r="T39" s="1725" t="s">
        <v>28</v>
      </c>
      <c r="U39" s="1726">
        <f t="shared" si="13"/>
        <v>100</v>
      </c>
      <c r="V39" s="1725" t="s">
        <v>28</v>
      </c>
      <c r="W39" s="1726">
        <f t="shared" si="14"/>
        <v>100</v>
      </c>
      <c r="X39" s="1666"/>
      <c r="Y39" s="3677"/>
      <c r="Z39" s="1727" t="str">
        <f t="shared" si="15"/>
        <v>市政基础设施</v>
      </c>
      <c r="AA39" s="1728">
        <f t="shared" si="3"/>
        <v>1</v>
      </c>
      <c r="AB39" s="1728">
        <f t="shared" si="4"/>
        <v>1</v>
      </c>
      <c r="AC39" s="1728">
        <f t="shared" si="5"/>
        <v>1</v>
      </c>
    </row>
    <row r="40" spans="1:29" ht="15" hidden="1">
      <c r="A40" s="1771"/>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0"/>
      <c r="M40" s="2996"/>
      <c r="N40" s="2996"/>
      <c r="O40" s="2996"/>
      <c r="P40" s="3675"/>
      <c r="Q40" s="1616" t="str">
        <f t="shared" si="11"/>
        <v>房型</v>
      </c>
      <c r="R40" s="1725" t="s">
        <v>28</v>
      </c>
      <c r="S40" s="1726">
        <f t="shared" si="12"/>
        <v>100</v>
      </c>
      <c r="T40" s="1725" t="s">
        <v>28</v>
      </c>
      <c r="U40" s="1726">
        <f t="shared" si="13"/>
        <v>100</v>
      </c>
      <c r="V40" s="1725" t="s">
        <v>28</v>
      </c>
      <c r="W40" s="1726">
        <f t="shared" si="14"/>
        <v>100</v>
      </c>
      <c r="X40" s="1666"/>
      <c r="Y40" s="3677"/>
      <c r="Z40" s="1727" t="str">
        <f t="shared" si="15"/>
        <v>房型</v>
      </c>
      <c r="AA40" s="1728">
        <f t="shared" si="3"/>
        <v>1</v>
      </c>
      <c r="AB40" s="1728">
        <f t="shared" si="4"/>
        <v>1</v>
      </c>
      <c r="AC40" s="1728">
        <f t="shared" si="5"/>
        <v>1</v>
      </c>
    </row>
    <row r="41" spans="1:29" s="1770" customFormat="1" ht="28.5" hidden="1">
      <c r="A41" s="1763"/>
      <c r="B41" s="1695" t="s">
        <v>2284</v>
      </c>
      <c r="C41" s="1764"/>
      <c r="D41" s="1697">
        <v>100</v>
      </c>
      <c r="E41" s="1704"/>
      <c r="F41" s="1699">
        <f>SUMIF(120:120,E41,121:121)-SUMIF(120:120,C41,121:121)+100</f>
        <v>100</v>
      </c>
      <c r="G41" s="1703"/>
      <c r="H41" s="1697">
        <f>SUMIF(120:120,G41,121:121)-SUMIF(120:120,C41,121:121)+100</f>
        <v>100</v>
      </c>
      <c r="I41" s="1778"/>
      <c r="J41" s="1711">
        <f>SUMIF(120:120,I41,121:121)-SUMIF(120:120,C41,121:121)+100</f>
        <v>100</v>
      </c>
      <c r="K41" s="1709"/>
      <c r="L41" s="2999"/>
      <c r="M41" s="2058"/>
      <c r="N41" s="2058"/>
      <c r="O41" s="2058"/>
      <c r="P41" s="3675"/>
      <c r="Q41" s="1765" t="str">
        <f t="shared" si="11"/>
        <v>单套/主力户型建筑面积</v>
      </c>
      <c r="R41" s="1766" t="s">
        <v>28</v>
      </c>
      <c r="S41" s="1767">
        <f t="shared" si="12"/>
        <v>100</v>
      </c>
      <c r="T41" s="1766" t="s">
        <v>28</v>
      </c>
      <c r="U41" s="1767">
        <f t="shared" si="13"/>
        <v>100</v>
      </c>
      <c r="V41" s="1766" t="s">
        <v>28</v>
      </c>
      <c r="W41" s="1767">
        <f t="shared" si="14"/>
        <v>100</v>
      </c>
      <c r="X41" s="1768"/>
      <c r="Y41" s="3677"/>
      <c r="Z41" s="1769" t="str">
        <f t="shared" si="15"/>
        <v>单套/主力户型建筑面积</v>
      </c>
      <c r="AA41" s="1728">
        <f t="shared" si="3"/>
        <v>1</v>
      </c>
      <c r="AB41" s="1728">
        <f t="shared" si="4"/>
        <v>1</v>
      </c>
      <c r="AC41" s="1728">
        <f t="shared" si="5"/>
        <v>1</v>
      </c>
    </row>
    <row r="42" spans="1:29" ht="15">
      <c r="A42" s="1771"/>
      <c r="B42" s="1695" t="s">
        <v>2285</v>
      </c>
      <c r="C42" s="1755" t="s">
        <v>2939</v>
      </c>
      <c r="D42" s="1711">
        <v>100</v>
      </c>
      <c r="E42" s="1753" t="s">
        <v>2939</v>
      </c>
      <c r="F42" s="1754">
        <f>SUMIF(122:122,E42,123:123)-SUMIF(122:122,C42,123:123)+100</f>
        <v>100</v>
      </c>
      <c r="G42" s="1755" t="s">
        <v>2939</v>
      </c>
      <c r="H42" s="1711">
        <f>SUMIF(122:122,G42,123:123)-SUMIF(122:122,C42,123:123)+100</f>
        <v>100</v>
      </c>
      <c r="I42" s="1753" t="s">
        <v>2939</v>
      </c>
      <c r="J42" s="1711">
        <f>SUMIF(122:122,I42,123:123)-SUMIF(122:122,C42,123:123)+100</f>
        <v>100</v>
      </c>
      <c r="K42" s="1700">
        <v>1</v>
      </c>
      <c r="L42" s="3000"/>
      <c r="M42" s="2996"/>
      <c r="N42" s="2996"/>
      <c r="O42" s="2996"/>
      <c r="P42" s="3675"/>
      <c r="Q42" s="1616" t="str">
        <f t="shared" si="11"/>
        <v>内部装修</v>
      </c>
      <c r="R42" s="1725" t="s">
        <v>28</v>
      </c>
      <c r="S42" s="1726">
        <f t="shared" si="12"/>
        <v>100</v>
      </c>
      <c r="T42" s="1725" t="s">
        <v>28</v>
      </c>
      <c r="U42" s="1726">
        <f t="shared" si="13"/>
        <v>100</v>
      </c>
      <c r="V42" s="1725" t="s">
        <v>28</v>
      </c>
      <c r="W42" s="1726">
        <f t="shared" si="14"/>
        <v>100</v>
      </c>
      <c r="X42" s="1666"/>
      <c r="Y42" s="3677"/>
      <c r="Z42" s="1727" t="str">
        <f t="shared" si="15"/>
        <v>内部装修</v>
      </c>
      <c r="AA42" s="1728">
        <f t="shared" si="3"/>
        <v>1</v>
      </c>
      <c r="AB42" s="1728">
        <f t="shared" si="4"/>
        <v>1</v>
      </c>
      <c r="AC42" s="1728">
        <f t="shared" si="5"/>
        <v>1</v>
      </c>
    </row>
    <row r="43" spans="1:29" ht="15.75" thickBot="1">
      <c r="A43" s="1771"/>
      <c r="B43" s="1695" t="s">
        <v>2286</v>
      </c>
      <c r="C43" s="1755" t="s">
        <v>30</v>
      </c>
      <c r="D43" s="1711">
        <v>100</v>
      </c>
      <c r="E43" s="1755" t="s">
        <v>30</v>
      </c>
      <c r="F43" s="1754">
        <f>SUMIF(124:124,E43,125:125)-SUMIF(124:124,C43,125:125)+100</f>
        <v>100</v>
      </c>
      <c r="G43" s="1755" t="s">
        <v>30</v>
      </c>
      <c r="H43" s="1711">
        <f>SUMIF(124:124,G43,125:125)-SUMIF(124:124,C43,125:125)+100</f>
        <v>100</v>
      </c>
      <c r="I43" s="1755" t="s">
        <v>30</v>
      </c>
      <c r="J43" s="1711">
        <f>SUMIF(124:124,I43,125:125)-SUMIF(124:124,C43,125:125)+100</f>
        <v>100</v>
      </c>
      <c r="K43" s="1700"/>
      <c r="L43" s="3000"/>
      <c r="M43" s="2996"/>
      <c r="N43" s="2996"/>
      <c r="O43" s="2996"/>
      <c r="P43" s="3675"/>
      <c r="Q43" s="1616" t="str">
        <f t="shared" si="11"/>
        <v>内部装修维护情况</v>
      </c>
      <c r="R43" s="1725" t="s">
        <v>28</v>
      </c>
      <c r="S43" s="1726">
        <f t="shared" si="12"/>
        <v>100</v>
      </c>
      <c r="T43" s="1725" t="s">
        <v>28</v>
      </c>
      <c r="U43" s="1726">
        <f t="shared" si="13"/>
        <v>100</v>
      </c>
      <c r="V43" s="1725" t="s">
        <v>28</v>
      </c>
      <c r="W43" s="1726">
        <f t="shared" si="14"/>
        <v>100</v>
      </c>
      <c r="X43" s="1666"/>
      <c r="Y43" s="3677"/>
      <c r="Z43" s="1727" t="str">
        <f t="shared" si="15"/>
        <v>内部装修维护情况</v>
      </c>
      <c r="AA43" s="1728">
        <f t="shared" si="3"/>
        <v>1</v>
      </c>
      <c r="AB43" s="1728">
        <f t="shared" si="4"/>
        <v>1</v>
      </c>
      <c r="AC43" s="1728">
        <f t="shared" si="5"/>
        <v>1</v>
      </c>
    </row>
    <row r="44" spans="1:29" s="1685" customFormat="1" ht="15" hidden="1">
      <c r="A44" s="1774"/>
      <c r="B44" s="3183" t="s">
        <v>3104</v>
      </c>
      <c r="C44" s="3254" t="s">
        <v>3203</v>
      </c>
      <c r="D44" s="1697">
        <v>100</v>
      </c>
      <c r="E44" s="3243" t="s">
        <v>3203</v>
      </c>
      <c r="F44" s="1699">
        <f>SUMIF(126:126,E44,127:127)-SUMIF(126:126,C44,127:127)+100</f>
        <v>100</v>
      </c>
      <c r="G44" s="3243" t="s">
        <v>3203</v>
      </c>
      <c r="H44" s="1697">
        <f>SUMIF(126:126,G44,127:127)-SUMIF(126:126,C44,127:127)+100</f>
        <v>100</v>
      </c>
      <c r="I44" s="3243" t="s">
        <v>3203</v>
      </c>
      <c r="J44" s="1697">
        <f>SUMIF(126:126,I44,127:127)-SUMIF(126:126,C44,127:127)+100</f>
        <v>100</v>
      </c>
      <c r="K44" s="1709"/>
      <c r="L44" s="2995"/>
      <c r="M44" s="2968"/>
      <c r="N44" s="2968"/>
      <c r="O44" s="2968"/>
      <c r="P44" s="3675"/>
      <c r="Q44" s="1635" t="str">
        <f t="shared" si="11"/>
        <v>电梯</v>
      </c>
      <c r="R44" s="1681" t="s">
        <v>28</v>
      </c>
      <c r="S44" s="1682">
        <f t="shared" si="12"/>
        <v>100</v>
      </c>
      <c r="T44" s="1681" t="s">
        <v>28</v>
      </c>
      <c r="U44" s="1682">
        <f t="shared" si="13"/>
        <v>100</v>
      </c>
      <c r="V44" s="1681" t="s">
        <v>28</v>
      </c>
      <c r="W44" s="1682">
        <f t="shared" si="14"/>
        <v>100</v>
      </c>
      <c r="X44" s="1683"/>
      <c r="Y44" s="3677"/>
      <c r="Z44" s="1693" t="str">
        <f t="shared" si="15"/>
        <v>电梯</v>
      </c>
      <c r="AA44" s="1684">
        <f t="shared" si="3"/>
        <v>1</v>
      </c>
      <c r="AB44" s="1684">
        <f t="shared" si="4"/>
        <v>1</v>
      </c>
      <c r="AC44" s="1684">
        <f t="shared" si="5"/>
        <v>1</v>
      </c>
    </row>
    <row r="45" spans="1:29" ht="15" hidden="1">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0"/>
      <c r="M45" s="2996"/>
      <c r="N45" s="2996"/>
      <c r="O45" s="2996"/>
      <c r="P45" s="3675"/>
      <c r="Q45" s="1616">
        <f t="shared" si="11"/>
        <v>111</v>
      </c>
      <c r="R45" s="1725" t="s">
        <v>28</v>
      </c>
      <c r="S45" s="1726">
        <f t="shared" si="12"/>
        <v>100</v>
      </c>
      <c r="T45" s="1725" t="s">
        <v>28</v>
      </c>
      <c r="U45" s="1726">
        <f t="shared" si="13"/>
        <v>100</v>
      </c>
      <c r="V45" s="1725" t="s">
        <v>28</v>
      </c>
      <c r="W45" s="1726">
        <f t="shared" si="14"/>
        <v>100</v>
      </c>
      <c r="X45" s="1666"/>
      <c r="Y45" s="3677"/>
      <c r="Z45" s="1727">
        <f t="shared" si="15"/>
        <v>111</v>
      </c>
      <c r="AA45" s="1728">
        <f t="shared" si="3"/>
        <v>1</v>
      </c>
      <c r="AB45" s="1728">
        <f t="shared" si="4"/>
        <v>1</v>
      </c>
      <c r="AC45" s="1728">
        <f t="shared" si="5"/>
        <v>1</v>
      </c>
    </row>
    <row r="46" spans="1:29" ht="15.75" hidden="1" thickBot="1">
      <c r="A46" s="1779"/>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0"/>
      <c r="M46" s="2996"/>
      <c r="N46" s="2996"/>
      <c r="O46" s="2996"/>
      <c r="P46" s="3676"/>
      <c r="Q46" s="1616">
        <f t="shared" si="11"/>
        <v>111</v>
      </c>
      <c r="R46" s="1725" t="s">
        <v>27</v>
      </c>
      <c r="S46" s="1726">
        <f t="shared" si="12"/>
        <v>100</v>
      </c>
      <c r="T46" s="1725" t="s">
        <v>27</v>
      </c>
      <c r="U46" s="1726">
        <f t="shared" si="13"/>
        <v>100</v>
      </c>
      <c r="V46" s="1725" t="s">
        <v>27</v>
      </c>
      <c r="W46" s="1726">
        <f t="shared" si="14"/>
        <v>100</v>
      </c>
      <c r="X46" s="1666"/>
      <c r="Y46" s="3678"/>
      <c r="Z46" s="1727">
        <f t="shared" si="15"/>
        <v>111</v>
      </c>
      <c r="AA46" s="1728">
        <f t="shared" si="3"/>
        <v>1</v>
      </c>
      <c r="AB46" s="1728">
        <f t="shared" si="4"/>
        <v>1</v>
      </c>
      <c r="AC46" s="1728">
        <f t="shared" si="5"/>
        <v>1</v>
      </c>
    </row>
    <row r="47" spans="1:29" ht="15">
      <c r="A47" s="1780" t="s">
        <v>2287</v>
      </c>
      <c r="B47" s="1781"/>
      <c r="C47" s="1782" t="s">
        <v>26</v>
      </c>
      <c r="D47" s="1783"/>
      <c r="E47" s="3798">
        <f>Sheet1!R743</f>
        <v>5650</v>
      </c>
      <c r="F47" s="1785"/>
      <c r="G47" s="1786">
        <f>Sheet1!R754</f>
        <v>5756</v>
      </c>
      <c r="H47" s="1787"/>
      <c r="I47" s="1784">
        <f>Sheet1!R799</f>
        <v>6094</v>
      </c>
      <c r="J47" s="1787"/>
      <c r="K47" s="1788"/>
      <c r="L47" s="3001"/>
      <c r="N47" s="2996"/>
      <c r="P47" s="3683" t="str">
        <f>A47</f>
        <v>成交单价（元/平方米）</v>
      </c>
      <c r="Q47" s="3683"/>
      <c r="R47" s="3684">
        <f>E47</f>
        <v>5650</v>
      </c>
      <c r="S47" s="3684"/>
      <c r="T47" s="3684">
        <f>G47</f>
        <v>5756</v>
      </c>
      <c r="U47" s="3684"/>
      <c r="V47" s="3684">
        <f>I47</f>
        <v>6094</v>
      </c>
      <c r="W47" s="3684"/>
      <c r="X47" s="1790"/>
      <c r="Y47" s="1791"/>
      <c r="Z47" s="1790"/>
      <c r="AA47" s="1790"/>
      <c r="AB47" s="1790"/>
      <c r="AC47" s="1790"/>
    </row>
    <row r="48" spans="1:29" ht="15.75" thickBot="1">
      <c r="A48" s="1792" t="s">
        <v>2288</v>
      </c>
      <c r="B48" s="1793"/>
      <c r="C48" s="1794">
        <f>R49</f>
        <v>5796</v>
      </c>
      <c r="D48" s="1795" t="s">
        <v>2744</v>
      </c>
      <c r="E48" s="1796">
        <f>R48</f>
        <v>5595</v>
      </c>
      <c r="F48" s="1797"/>
      <c r="G48" s="1794">
        <f>T48</f>
        <v>5758</v>
      </c>
      <c r="H48" s="1797"/>
      <c r="I48" s="1796">
        <f>V48</f>
        <v>6035</v>
      </c>
      <c r="J48" s="1797"/>
      <c r="K48" s="2510">
        <f>F48+H48+J48</f>
        <v>0</v>
      </c>
      <c r="L48" s="3001"/>
      <c r="P48" s="3683" t="str">
        <f>A48</f>
        <v>比较价值（元/平方米）</v>
      </c>
      <c r="Q48" s="3683"/>
      <c r="R48" s="3684">
        <f>IF(E1="售价",ROUND(PRODUCT(R47,AA7:AA46),0),ROUND(PRODUCT(R47,AA7:AA46),1))</f>
        <v>5595</v>
      </c>
      <c r="S48" s="3684"/>
      <c r="T48" s="3687">
        <f>IF(E1="售价",ROUND(PRODUCT(T47,AB7:AB46),0),ROUND(PRODUCT(T47,AB7:AB46),1))</f>
        <v>5758</v>
      </c>
      <c r="U48" s="3688"/>
      <c r="V48" s="3684">
        <f>IF(E1="售价",ROUND(PRODUCT(V47,AC7:AC46),0),ROUND(PRODUCT(V47,AC7:AC46),1))</f>
        <v>6035</v>
      </c>
      <c r="W48" s="3684"/>
      <c r="X48" s="1790"/>
      <c r="Y48" s="1790"/>
      <c r="Z48" s="1790"/>
      <c r="AA48" s="1790"/>
      <c r="AB48" s="1790"/>
      <c r="AC48" s="1790"/>
    </row>
    <row r="49" spans="1:29" ht="15.75" thickBot="1">
      <c r="A49" s="1798" t="s">
        <v>2289</v>
      </c>
      <c r="B49" s="1799"/>
      <c r="C49" s="1800">
        <f>R49</f>
        <v>5796</v>
      </c>
      <c r="D49" s="1801"/>
      <c r="E49" s="1801"/>
      <c r="F49" s="1801"/>
      <c r="G49" s="1801"/>
      <c r="H49" s="1801"/>
      <c r="I49" s="1801"/>
      <c r="J49" s="1801"/>
      <c r="K49" s="1802"/>
      <c r="L49" s="3001"/>
      <c r="P49" s="3689" t="str">
        <f>A49</f>
        <v>估价对象XX用房的比较价值（楼面单价，元/平方米）</v>
      </c>
      <c r="Q49" s="3690"/>
      <c r="R49" s="3691">
        <f>IF(E1="售价",ROUND(IF(D48="简单平均",AVERAGE(R48:V48),R48*F48+T48*H48+V48*J48),0),ROUND(IF(D48="简单平均",AVERAGE(R48:V48),R48*F48+T48*H48+V48*J48),1))</f>
        <v>5796</v>
      </c>
      <c r="S49" s="3691"/>
      <c r="T49" s="3691"/>
      <c r="U49" s="3691"/>
      <c r="V49" s="3691"/>
      <c r="W49" s="3691"/>
      <c r="X49" s="1790"/>
      <c r="Y49" s="1790"/>
      <c r="Z49" s="1790"/>
      <c r="AA49" s="1790"/>
      <c r="AB49" s="1790"/>
      <c r="AC49" s="1790"/>
    </row>
    <row r="50" spans="1:29">
      <c r="G50" s="3005"/>
    </row>
    <row r="52" spans="1:29" ht="13.5" customHeight="1">
      <c r="C52" s="383" t="s">
        <v>2290</v>
      </c>
      <c r="D52" s="1806"/>
      <c r="E52" s="1807">
        <f>IF(E47&lt;E48,E48/E47-1,E47/E48-1)</f>
        <v>9.8302055406613853E-3</v>
      </c>
      <c r="F52" s="1808" t="str">
        <f>IF(OR(E52&gt;=0.3,E52&lt;=-0.3),"超过30%","")</f>
        <v/>
      </c>
      <c r="G52" s="1807">
        <f>IF(G47&lt;G48,G48/G47-1,G47/G48-1)</f>
        <v>3.4746351633074823E-4</v>
      </c>
      <c r="H52" s="1808" t="str">
        <f>IF(OR(G52&gt;=0.3,G52&lt;=-0.3),"超过30%","")</f>
        <v/>
      </c>
      <c r="I52" s="1807">
        <f>IF(I47&lt;I48,I48/I47-1,I47/I48-1)</f>
        <v>9.7763048881525094E-3</v>
      </c>
      <c r="J52" s="1808" t="str">
        <f>IF(OR(I52&gt;=0.3,I52&lt;=-0.3),"超过30%","")</f>
        <v/>
      </c>
    </row>
    <row r="53" spans="1:29" ht="13.5" customHeight="1">
      <c r="C53" s="383" t="s">
        <v>2291</v>
      </c>
      <c r="D53" s="1809"/>
      <c r="E53" s="1807">
        <f>IF(E48&lt;G48,G48/E48-1,E48/G48-1)</f>
        <v>2.9133154602323463E-2</v>
      </c>
      <c r="F53" s="1808" t="str">
        <f>IF(OR(E53&gt;=0.2,E53&lt;=-0.2),"超过20%","")</f>
        <v/>
      </c>
      <c r="G53" s="1807">
        <f>IF(G48&lt;I48,I48/G48-1,G48/I48-1)</f>
        <v>4.8106981590830156E-2</v>
      </c>
      <c r="H53" s="1808" t="str">
        <f>IF(OR(G53&gt;=0.2,G53&lt;=-0.2),"超过20%","")</f>
        <v/>
      </c>
      <c r="I53" s="1807">
        <f>IF(I48&lt;E48,E48/I48-1,I48/E48-1)</f>
        <v>7.8641644325290416E-2</v>
      </c>
      <c r="J53" s="1808" t="str">
        <f>IF(OR(I53&gt;=0.2,I53&lt;=-0.2),"超过20%","")</f>
        <v/>
      </c>
    </row>
    <row r="54" spans="1:29" s="1812" customFormat="1" ht="13.5" customHeight="1">
      <c r="C54" s="383" t="s">
        <v>2292</v>
      </c>
      <c r="D54" s="1809"/>
      <c r="E54" s="1807">
        <f>IF(E47&lt;G47,G47/E47-1,E47/G47-1)</f>
        <v>1.8761061946902746E-2</v>
      </c>
      <c r="F54" s="1808" t="str">
        <f>IF(OR(E54&gt;=0.3,E54&lt;=-0.3),"超过30%","")</f>
        <v/>
      </c>
      <c r="G54" s="1807">
        <f>IF(G47&lt;I47,I47/G47-1,G47/I47-1)</f>
        <v>5.8721334259902669E-2</v>
      </c>
      <c r="H54" s="1808" t="str">
        <f>IF(OR(G54&gt;=0.3,G54&lt;=-0.3),"超过30%","")</f>
        <v/>
      </c>
      <c r="I54" s="1807">
        <f>IF(I47&lt;E47,E47/I47-1,I47/E47-1)</f>
        <v>7.8584070796460237E-2</v>
      </c>
      <c r="J54" s="1808" t="str">
        <f>IF(OR(I54&gt;=0.3,I54&lt;=-0.3),"超过30%","")</f>
        <v/>
      </c>
      <c r="K54" s="3008"/>
      <c r="L54" s="3002"/>
      <c r="P54" s="1811"/>
    </row>
    <row r="55" spans="1:29" s="1812" customFormat="1">
      <c r="B55" s="3006"/>
      <c r="C55" s="3007"/>
      <c r="K55" s="3008"/>
      <c r="L55" s="3002"/>
      <c r="P55" s="1811"/>
    </row>
    <row r="56" spans="1:29">
      <c r="B56" s="3006"/>
      <c r="C56" s="3007"/>
    </row>
    <row r="57" spans="1:29" ht="21.75" thickBot="1">
      <c r="A57" s="1815" t="s">
        <v>2293</v>
      </c>
      <c r="B57" s="1790"/>
      <c r="C57" s="1816"/>
      <c r="D57" s="1816"/>
      <c r="E57" s="1816"/>
      <c r="F57" s="1816"/>
      <c r="G57" s="1816"/>
      <c r="H57" s="1816"/>
      <c r="I57" s="1816"/>
      <c r="J57" s="1816"/>
      <c r="K57" s="1817"/>
      <c r="L57" s="3003"/>
      <c r="M57" s="3004"/>
      <c r="N57" s="3004"/>
      <c r="O57" s="3004"/>
      <c r="P57" s="1819"/>
      <c r="Q57" s="1820"/>
    </row>
    <row r="58" spans="1:29" s="1826" customFormat="1" ht="15">
      <c r="A58" s="1821" t="s">
        <v>2294</v>
      </c>
      <c r="B58" s="1822"/>
      <c r="C58" s="1823" t="str">
        <f>YEAR(C7)&amp;"-"&amp;MONTH(C7)</f>
        <v>2006-10</v>
      </c>
      <c r="D58" s="1824">
        <f>EDATE(C58,-1)</f>
        <v>38961</v>
      </c>
      <c r="E58" s="1824">
        <f t="shared" ref="E58:O58" si="16">EDATE(D58,-1)</f>
        <v>38930</v>
      </c>
      <c r="F58" s="1824">
        <f t="shared" si="16"/>
        <v>38899</v>
      </c>
      <c r="G58" s="1824">
        <f t="shared" si="16"/>
        <v>38869</v>
      </c>
      <c r="H58" s="1824">
        <f t="shared" si="16"/>
        <v>38838</v>
      </c>
      <c r="I58" s="1824">
        <f t="shared" si="16"/>
        <v>38808</v>
      </c>
      <c r="J58" s="1824">
        <f t="shared" si="16"/>
        <v>38777</v>
      </c>
      <c r="K58" s="1824">
        <f t="shared" si="16"/>
        <v>38749</v>
      </c>
      <c r="L58" s="1824">
        <f t="shared" si="16"/>
        <v>38718</v>
      </c>
      <c r="M58" s="1824">
        <f t="shared" si="16"/>
        <v>38687</v>
      </c>
      <c r="N58" s="1824">
        <f t="shared" si="16"/>
        <v>38657</v>
      </c>
      <c r="O58" s="1824">
        <f t="shared" si="16"/>
        <v>38626</v>
      </c>
      <c r="P58" s="1825"/>
    </row>
    <row r="59" spans="1:29" s="1685" customFormat="1" ht="15">
      <c r="A59" s="1827"/>
      <c r="B59" s="1828"/>
      <c r="C59" s="1829">
        <v>100</v>
      </c>
      <c r="D59" s="1830">
        <v>99</v>
      </c>
      <c r="E59" s="1830">
        <v>99</v>
      </c>
      <c r="F59" s="1830">
        <v>99</v>
      </c>
      <c r="G59" s="1830">
        <v>98</v>
      </c>
      <c r="H59" s="1830">
        <v>98</v>
      </c>
      <c r="I59" s="1830">
        <v>98</v>
      </c>
      <c r="J59" s="1830">
        <v>96.5</v>
      </c>
      <c r="K59" s="1830">
        <v>96</v>
      </c>
      <c r="L59" s="1830"/>
      <c r="M59" s="1831"/>
      <c r="N59" s="1830"/>
      <c r="O59" s="1831"/>
      <c r="P59" s="1832"/>
    </row>
    <row r="60" spans="1:29" s="1685" customFormat="1" ht="15.75" thickBot="1">
      <c r="A60" s="1833" t="s">
        <v>2295</v>
      </c>
      <c r="B60" s="1834"/>
      <c r="C60" s="1835"/>
      <c r="D60" s="1836"/>
      <c r="E60" s="1836"/>
      <c r="F60" s="1836"/>
      <c r="G60" s="1836"/>
      <c r="H60" s="1836"/>
      <c r="I60" s="1836"/>
      <c r="J60" s="1836"/>
      <c r="K60" s="1836"/>
      <c r="L60" s="1836"/>
      <c r="M60" s="1837"/>
      <c r="N60" s="1836"/>
      <c r="O60" s="1837"/>
      <c r="P60" s="1832"/>
      <c r="Q60" s="1820"/>
    </row>
    <row r="61" spans="1:29" s="1685" customFormat="1" ht="15">
      <c r="A61" s="1838" t="s">
        <v>2296</v>
      </c>
      <c r="B61" s="1828"/>
      <c r="C61" s="1839" t="s">
        <v>2297</v>
      </c>
      <c r="D61" s="409"/>
      <c r="E61" s="409"/>
      <c r="F61" s="409"/>
      <c r="G61" s="409"/>
      <c r="H61" s="409"/>
      <c r="I61" s="409"/>
      <c r="J61" s="409"/>
      <c r="K61" s="409"/>
      <c r="L61" s="409"/>
      <c r="M61" s="1840"/>
      <c r="N61" s="1841"/>
      <c r="O61" s="1841"/>
      <c r="P61" s="1842"/>
      <c r="Q61" s="1820"/>
    </row>
    <row r="62" spans="1:29" s="1685"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2298</v>
      </c>
      <c r="B63" s="1846" t="s">
        <v>2264</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2267</v>
      </c>
      <c r="C65" s="1858" t="s">
        <v>2299</v>
      </c>
      <c r="D65" s="1858" t="s">
        <v>2300</v>
      </c>
      <c r="E65" s="1858" t="s">
        <v>2301</v>
      </c>
      <c r="F65" s="1858" t="s">
        <v>2302</v>
      </c>
      <c r="G65" s="1858" t="s">
        <v>2303</v>
      </c>
      <c r="H65" s="1858" t="s">
        <v>2304</v>
      </c>
      <c r="I65" s="1858" t="s">
        <v>2305</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2268</v>
      </c>
      <c r="C67" s="1864" t="str">
        <f>C68&amp;"（含）"&amp;"-"&amp;D68</f>
        <v>0（含）-</v>
      </c>
      <c r="D67" s="1864" t="str">
        <f t="shared" ref="D67:L67" si="18">D68&amp;"（含）"&amp;"-"&amp;E68</f>
        <v>（含）-</v>
      </c>
      <c r="E67" s="1864" t="str">
        <f t="shared" si="18"/>
        <v>（含）-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1" t="str">
        <f>M68&amp;"（含）"&amp;"-"&amp;P68</f>
        <v>（含）-</v>
      </c>
      <c r="N67" s="1856"/>
      <c r="O67" s="1856"/>
      <c r="P67" s="1851"/>
      <c r="Q67" s="1820"/>
    </row>
    <row r="68" spans="1:17" ht="15">
      <c r="A68" s="1852"/>
      <c r="B68" s="1865"/>
      <c r="C68" s="1866">
        <v>0</v>
      </c>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2269</v>
      </c>
      <c r="B76" s="1846" t="s">
        <v>2306</v>
      </c>
      <c r="C76" s="1884" t="s">
        <v>2307</v>
      </c>
      <c r="D76" s="1884" t="s">
        <v>2308</v>
      </c>
      <c r="E76" s="1884" t="s">
        <v>2309</v>
      </c>
      <c r="F76" s="1884" t="s">
        <v>2310</v>
      </c>
      <c r="G76" s="1884" t="s">
        <v>2311</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2312</v>
      </c>
      <c r="C78" s="579" t="s">
        <v>2307</v>
      </c>
      <c r="D78" s="579" t="s">
        <v>2308</v>
      </c>
      <c r="E78" s="579" t="s">
        <v>2309</v>
      </c>
      <c r="F78" s="579" t="s">
        <v>2310</v>
      </c>
      <c r="G78" s="579" t="s">
        <v>2311</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2313</v>
      </c>
      <c r="C80" s="579" t="s">
        <v>2307</v>
      </c>
      <c r="D80" s="579" t="s">
        <v>2308</v>
      </c>
      <c r="E80" s="579" t="s">
        <v>2309</v>
      </c>
      <c r="F80" s="579" t="s">
        <v>2310</v>
      </c>
      <c r="G80" s="579" t="s">
        <v>2311</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1706</v>
      </c>
      <c r="C82" s="1858" t="s">
        <v>2314</v>
      </c>
      <c r="D82" s="1858" t="s">
        <v>2315</v>
      </c>
      <c r="E82" s="1858" t="s">
        <v>2316</v>
      </c>
      <c r="F82" s="1858" t="s">
        <v>2317</v>
      </c>
      <c r="G82" s="1858" t="s">
        <v>2318</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1856"/>
      <c r="O83" s="1856"/>
      <c r="P83" s="1851"/>
      <c r="Q83" s="1820"/>
    </row>
    <row r="84" spans="1:17" ht="15.75" thickTop="1">
      <c r="A84" s="1852"/>
      <c r="B84" s="1857" t="s">
        <v>2319</v>
      </c>
      <c r="C84" s="579" t="s">
        <v>2307</v>
      </c>
      <c r="D84" s="579" t="s">
        <v>2308</v>
      </c>
      <c r="E84" s="579" t="s">
        <v>2309</v>
      </c>
      <c r="F84" s="579" t="s">
        <v>2310</v>
      </c>
      <c r="G84" s="579" t="s">
        <v>2311</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5" customFormat="1" ht="15.75" thickTop="1">
      <c r="A86" s="1888"/>
      <c r="B86" s="1857" t="s">
        <v>2320</v>
      </c>
      <c r="C86" s="468"/>
      <c r="D86" s="468"/>
      <c r="E86" s="468"/>
      <c r="F86" s="468"/>
      <c r="G86" s="468"/>
      <c r="H86" s="468"/>
      <c r="I86" s="468"/>
      <c r="J86" s="468"/>
      <c r="K86" s="468"/>
      <c r="L86" s="468"/>
      <c r="M86" s="1889"/>
      <c r="N86" s="1841"/>
      <c r="O86" s="1841"/>
      <c r="P86" s="1851"/>
      <c r="Q86" s="1820"/>
    </row>
    <row r="87" spans="1:17" s="1685"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5" customFormat="1" ht="15.75" thickTop="1">
      <c r="A88" s="1888"/>
      <c r="B88" s="1857" t="s">
        <v>2321</v>
      </c>
      <c r="C88" s="3180" t="s">
        <v>3100</v>
      </c>
      <c r="D88" s="3180" t="s">
        <v>3101</v>
      </c>
      <c r="E88" s="3180" t="s">
        <v>3102</v>
      </c>
      <c r="F88" s="1891"/>
      <c r="G88" s="468"/>
      <c r="H88" s="468"/>
      <c r="I88" s="468"/>
      <c r="J88" s="468"/>
      <c r="K88" s="468"/>
      <c r="L88" s="468"/>
      <c r="M88" s="1889"/>
      <c r="N88" s="1841"/>
      <c r="O88" s="1841"/>
      <c r="P88" s="1851"/>
      <c r="Q88" s="1820"/>
    </row>
    <row r="89" spans="1:17" s="1685" customFormat="1" ht="15.75" thickBot="1">
      <c r="A89" s="1888"/>
      <c r="B89" s="1860"/>
      <c r="C89" s="1890">
        <v>100</v>
      </c>
      <c r="D89" s="1861">
        <f t="shared" ref="D89:M89" si="21">C89-$K26</f>
        <v>99</v>
      </c>
      <c r="E89" s="1861">
        <f t="shared" si="21"/>
        <v>98</v>
      </c>
      <c r="F89" s="1861">
        <f t="shared" si="21"/>
        <v>97</v>
      </c>
      <c r="G89" s="1861">
        <f t="shared" si="21"/>
        <v>96</v>
      </c>
      <c r="H89" s="1861">
        <f t="shared" si="21"/>
        <v>95</v>
      </c>
      <c r="I89" s="1861">
        <f t="shared" si="21"/>
        <v>94</v>
      </c>
      <c r="J89" s="1861">
        <f t="shared" si="21"/>
        <v>93</v>
      </c>
      <c r="K89" s="1861">
        <f t="shared" si="21"/>
        <v>92</v>
      </c>
      <c r="L89" s="1861">
        <f t="shared" si="21"/>
        <v>91</v>
      </c>
      <c r="M89" s="1861">
        <f t="shared" si="21"/>
        <v>90</v>
      </c>
      <c r="N89" s="1856"/>
      <c r="O89" s="1856"/>
      <c r="P89" s="1851"/>
      <c r="Q89" s="1820"/>
    </row>
    <row r="90" spans="1:17" s="1770" customFormat="1" ht="15.75" thickTop="1">
      <c r="A90" s="1868"/>
      <c r="B90" s="1857" t="str">
        <f>B27</f>
        <v>楼层</v>
      </c>
      <c r="C90" s="3182"/>
      <c r="D90" s="3241"/>
      <c r="E90" s="3241"/>
      <c r="F90" s="3241"/>
      <c r="G90" s="3241"/>
      <c r="H90" s="443"/>
      <c r="I90" s="443"/>
      <c r="J90" s="443"/>
      <c r="K90" s="443"/>
      <c r="L90" s="443"/>
      <c r="M90" s="1869"/>
      <c r="N90" s="1870"/>
      <c r="O90" s="1870"/>
      <c r="P90" s="1871"/>
      <c r="Q90" s="1872"/>
    </row>
    <row r="91" spans="1:17" s="1770" customFormat="1" ht="15.75" thickBot="1">
      <c r="A91" s="1868"/>
      <c r="B91" s="1860"/>
      <c r="C91" s="1873"/>
      <c r="D91" s="1873"/>
      <c r="E91" s="3242"/>
      <c r="F91" s="1873"/>
      <c r="G91" s="3242"/>
      <c r="H91" s="1876"/>
      <c r="I91" s="1876"/>
      <c r="J91" s="1876"/>
      <c r="K91" s="1876"/>
      <c r="L91" s="1876"/>
      <c r="M91" s="1877"/>
      <c r="N91" s="1870"/>
      <c r="O91" s="1870"/>
      <c r="P91" s="1871"/>
      <c r="Q91" s="1872"/>
    </row>
    <row r="92" spans="1:17" ht="15.75" thickTop="1">
      <c r="A92" s="1852"/>
      <c r="B92" s="1857" t="str">
        <f>B28</f>
        <v>建成年代</v>
      </c>
      <c r="C92" s="468"/>
      <c r="D92" s="468"/>
      <c r="E92" s="468"/>
      <c r="F92" s="468"/>
      <c r="G92" s="1578"/>
      <c r="H92" s="1578"/>
      <c r="I92" s="1578"/>
      <c r="J92" s="1578"/>
      <c r="K92" s="473"/>
      <c r="L92" s="473"/>
      <c r="M92" s="1892"/>
      <c r="N92" s="1850"/>
      <c r="O92" s="1850"/>
      <c r="P92" s="1851"/>
      <c r="Q92" s="1820"/>
    </row>
    <row r="93" spans="1:17" ht="15.75" thickBot="1">
      <c r="A93" s="1852"/>
      <c r="B93" s="1860"/>
      <c r="C93" s="1873"/>
      <c r="D93" s="1854"/>
      <c r="E93" s="1854"/>
      <c r="F93" s="1854"/>
      <c r="G93" s="1854"/>
      <c r="H93" s="1854"/>
      <c r="I93" s="1854"/>
      <c r="J93" s="1854"/>
      <c r="K93" s="1854"/>
      <c r="L93" s="1854"/>
      <c r="M93" s="1855"/>
      <c r="N93" s="1856"/>
      <c r="O93" s="1856"/>
      <c r="P93" s="1851"/>
      <c r="Q93" s="1820"/>
    </row>
    <row r="94" spans="1:17" ht="15.75" thickTop="1">
      <c r="A94" s="1852"/>
      <c r="B94" s="1857" t="str">
        <f>B29</f>
        <v>楼层</v>
      </c>
      <c r="C94" s="468" t="str">
        <f>C29</f>
        <v>5/5</v>
      </c>
      <c r="D94" s="3241" t="str">
        <f>E29</f>
        <v>2/6</v>
      </c>
      <c r="E94" s="3241" t="s">
        <v>9854</v>
      </c>
      <c r="F94" s="3241"/>
      <c r="G94" s="1578"/>
      <c r="H94" s="1578"/>
      <c r="I94" s="1578"/>
      <c r="J94" s="1578"/>
      <c r="K94" s="473"/>
      <c r="L94" s="473"/>
      <c r="M94" s="1892"/>
      <c r="N94" s="1850"/>
      <c r="O94" s="1850"/>
      <c r="P94" s="1851"/>
      <c r="Q94" s="1820"/>
    </row>
    <row r="95" spans="1:17" ht="15.75" thickBot="1">
      <c r="A95" s="1852"/>
      <c r="B95" s="1860"/>
      <c r="C95" s="1873">
        <v>100</v>
      </c>
      <c r="D95" s="1873">
        <v>100</v>
      </c>
      <c r="E95" s="1873">
        <v>100</v>
      </c>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8"/>
      <c r="H96" s="1578"/>
      <c r="I96" s="1578"/>
      <c r="J96" s="1578"/>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2273</v>
      </c>
      <c r="B100" s="1846" t="s">
        <v>2322</v>
      </c>
      <c r="C100" s="3231" t="s">
        <v>3093</v>
      </c>
      <c r="D100" s="3231" t="s">
        <v>3094</v>
      </c>
      <c r="E100" s="3231" t="s">
        <v>3095</v>
      </c>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99.5</v>
      </c>
      <c r="E101" s="1861">
        <f t="shared" si="22"/>
        <v>99</v>
      </c>
      <c r="F101" s="1861">
        <f t="shared" si="22"/>
        <v>98.5</v>
      </c>
      <c r="G101" s="1861">
        <f t="shared" si="22"/>
        <v>98</v>
      </c>
      <c r="H101" s="1861">
        <f t="shared" si="22"/>
        <v>97.5</v>
      </c>
      <c r="I101" s="1861">
        <f t="shared" si="22"/>
        <v>97</v>
      </c>
      <c r="J101" s="1861">
        <f t="shared" si="22"/>
        <v>96.5</v>
      </c>
      <c r="K101" s="1861">
        <f t="shared" si="22"/>
        <v>96</v>
      </c>
      <c r="L101" s="1861">
        <f t="shared" si="22"/>
        <v>95.5</v>
      </c>
      <c r="M101" s="1861">
        <f t="shared" si="22"/>
        <v>95</v>
      </c>
      <c r="N101" s="1856"/>
      <c r="O101" s="1856"/>
      <c r="P101" s="1851"/>
      <c r="Q101" s="1820"/>
    </row>
    <row r="102" spans="1:17" ht="15.75" thickTop="1">
      <c r="A102" s="1852"/>
      <c r="B102" s="1857" t="s">
        <v>2323</v>
      </c>
      <c r="C102" s="579" t="str">
        <f>C103&amp;"(含)"&amp;"-"&amp;D103</f>
        <v>0(含)-40</v>
      </c>
      <c r="D102" s="579" t="str">
        <f t="shared" ref="D102:L102" si="23">D103&amp;"(含)"&amp;"-"&amp;E103</f>
        <v>40(含)-80</v>
      </c>
      <c r="E102" s="579" t="str">
        <f t="shared" si="23"/>
        <v>80(含)-120</v>
      </c>
      <c r="F102" s="579" t="str">
        <f t="shared" si="23"/>
        <v>120(含)-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v>0</v>
      </c>
      <c r="D103" s="1900">
        <v>40</v>
      </c>
      <c r="E103" s="1900">
        <v>80</v>
      </c>
      <c r="F103" s="1900">
        <v>120</v>
      </c>
      <c r="G103" s="1900"/>
      <c r="H103" s="1900"/>
      <c r="I103" s="1900"/>
      <c r="J103" s="485"/>
      <c r="K103" s="485"/>
      <c r="L103" s="485"/>
      <c r="M103" s="1901"/>
      <c r="N103" s="1870"/>
      <c r="O103" s="1870"/>
      <c r="P103" s="1871"/>
      <c r="Q103" s="1872"/>
    </row>
    <row r="104" spans="1:17" s="1770" customFormat="1" ht="15.75" thickBot="1">
      <c r="A104" s="1868"/>
      <c r="B104" s="1860"/>
      <c r="C104" s="1873">
        <v>100</v>
      </c>
      <c r="D104" s="1854">
        <v>99</v>
      </c>
      <c r="E104" s="1854">
        <v>98</v>
      </c>
      <c r="F104" s="1854">
        <v>97</v>
      </c>
      <c r="G104" s="1854"/>
      <c r="H104" s="1854"/>
      <c r="I104" s="1854"/>
      <c r="J104" s="1854"/>
      <c r="K104" s="1854"/>
      <c r="L104" s="1854"/>
      <c r="M104" s="1854"/>
      <c r="N104" s="1856"/>
      <c r="O104" s="1856"/>
      <c r="P104" s="1871"/>
      <c r="Q104" s="1872"/>
    </row>
    <row r="105" spans="1:17" ht="15" thickTop="1">
      <c r="A105" s="1902"/>
      <c r="B105" s="1857" t="s">
        <v>2324</v>
      </c>
      <c r="C105" s="3180" t="s">
        <v>3087</v>
      </c>
      <c r="D105" s="3180" t="s">
        <v>3096</v>
      </c>
      <c r="E105" s="1578"/>
      <c r="F105" s="1578"/>
      <c r="G105" s="1578"/>
      <c r="H105" s="1578"/>
      <c r="I105" s="1578"/>
      <c r="J105" s="1578"/>
      <c r="K105" s="473"/>
      <c r="L105" s="473"/>
      <c r="M105" s="1892"/>
      <c r="N105" s="1850"/>
      <c r="O105" s="1850"/>
      <c r="P105" s="1851"/>
      <c r="Q105" s="1820"/>
    </row>
    <row r="106" spans="1:17" ht="15.75" thickBot="1">
      <c r="A106" s="1852"/>
      <c r="B106" s="1860"/>
      <c r="C106" s="1861">
        <v>100</v>
      </c>
      <c r="D106" s="1861">
        <f t="shared" ref="D106:M106" si="24">C106-$K34</f>
        <v>98</v>
      </c>
      <c r="E106" s="1861">
        <f t="shared" si="24"/>
        <v>96</v>
      </c>
      <c r="F106" s="1861">
        <f t="shared" si="24"/>
        <v>94</v>
      </c>
      <c r="G106" s="1861">
        <f t="shared" si="24"/>
        <v>92</v>
      </c>
      <c r="H106" s="1861">
        <f t="shared" si="24"/>
        <v>90</v>
      </c>
      <c r="I106" s="1861">
        <f t="shared" si="24"/>
        <v>88</v>
      </c>
      <c r="J106" s="1861">
        <f t="shared" si="24"/>
        <v>86</v>
      </c>
      <c r="K106" s="1861">
        <f t="shared" si="24"/>
        <v>84</v>
      </c>
      <c r="L106" s="1861">
        <f t="shared" si="24"/>
        <v>82</v>
      </c>
      <c r="M106" s="1861">
        <f t="shared" si="24"/>
        <v>80</v>
      </c>
      <c r="N106" s="1856"/>
      <c r="O106" s="1856"/>
      <c r="P106" s="1851"/>
      <c r="Q106" s="1820"/>
    </row>
    <row r="107" spans="1:17" ht="15" thickTop="1">
      <c r="A107" s="1902"/>
      <c r="B107" s="1857" t="s">
        <v>2325</v>
      </c>
      <c r="C107" s="1578"/>
      <c r="D107" s="1578"/>
      <c r="E107" s="1578"/>
      <c r="F107" s="1578"/>
      <c r="G107" s="1578"/>
      <c r="H107" s="1578"/>
      <c r="I107" s="1578"/>
      <c r="J107" s="1578"/>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2326</v>
      </c>
      <c r="C109" s="3180" t="s">
        <v>2940</v>
      </c>
      <c r="D109" s="3180" t="s">
        <v>3088</v>
      </c>
      <c r="E109" s="3180" t="s">
        <v>3089</v>
      </c>
      <c r="F109" s="1578"/>
      <c r="G109" s="1578"/>
      <c r="H109" s="1578"/>
      <c r="I109" s="1578"/>
      <c r="J109" s="1578"/>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101</v>
      </c>
      <c r="E113" s="1861">
        <f>D113+$K37</f>
        <v>102</v>
      </c>
      <c r="F113" s="1861">
        <f>E113+$K37</f>
        <v>103</v>
      </c>
      <c r="G113" s="1861">
        <f>F113+$K37</f>
        <v>104</v>
      </c>
      <c r="H113" s="1861">
        <f>G113+$K37</f>
        <v>105</v>
      </c>
      <c r="I113" s="1890"/>
      <c r="J113" s="1906"/>
      <c r="K113" s="1906"/>
      <c r="L113" s="1906"/>
      <c r="M113" s="1907"/>
      <c r="N113" s="1870"/>
      <c r="O113" s="1870"/>
      <c r="P113" s="1871"/>
      <c r="Q113" s="1872"/>
    </row>
    <row r="114" spans="1:17" ht="15" thickTop="1">
      <c r="A114" s="1902"/>
      <c r="B114" s="1857" t="s">
        <v>2328</v>
      </c>
      <c r="C114" s="3180" t="s">
        <v>3091</v>
      </c>
      <c r="D114" s="468"/>
      <c r="E114" s="1578"/>
      <c r="F114" s="1578"/>
      <c r="G114" s="1578"/>
      <c r="H114" s="1578"/>
      <c r="I114" s="1578"/>
      <c r="J114" s="1578"/>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c r="O115" s="1856"/>
      <c r="P115" s="1851"/>
      <c r="Q115" s="1820"/>
    </row>
    <row r="116" spans="1:17" ht="15" thickTop="1">
      <c r="A116" s="1902"/>
      <c r="B116" s="1857" t="s">
        <v>2329</v>
      </c>
      <c r="C116" s="3180" t="s">
        <v>2941</v>
      </c>
      <c r="D116" s="3257" t="s">
        <v>3215</v>
      </c>
      <c r="E116" s="3257" t="s">
        <v>3216</v>
      </c>
      <c r="F116" s="468"/>
      <c r="G116" s="468"/>
      <c r="H116" s="1578"/>
      <c r="I116" s="1578"/>
      <c r="J116" s="1578"/>
      <c r="K116" s="473"/>
      <c r="L116" s="473"/>
      <c r="M116" s="1892"/>
      <c r="N116" s="1850"/>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2330</v>
      </c>
      <c r="C118" s="1578"/>
      <c r="D118" s="1578"/>
      <c r="E118" s="1578"/>
      <c r="F118" s="1578"/>
      <c r="G118" s="1578"/>
      <c r="H118" s="1578"/>
      <c r="I118" s="1578"/>
      <c r="J118" s="1578"/>
      <c r="K118" s="473"/>
      <c r="L118" s="473"/>
      <c r="M118" s="1892"/>
      <c r="N118" s="1850"/>
      <c r="O118" s="1850"/>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c r="O119" s="1856"/>
      <c r="P119" s="1851"/>
      <c r="Q119" s="1820"/>
    </row>
    <row r="120" spans="1:17" s="1770" customFormat="1" ht="28.5" thickTop="1">
      <c r="A120" s="1898"/>
      <c r="B120" s="1857" t="s">
        <v>2284</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2331</v>
      </c>
      <c r="C122" s="3180" t="s">
        <v>2940</v>
      </c>
      <c r="D122" s="3180" t="s">
        <v>3088</v>
      </c>
      <c r="E122" s="3180" t="s">
        <v>3089</v>
      </c>
      <c r="F122" s="1578"/>
      <c r="G122" s="1578"/>
      <c r="H122" s="1578"/>
      <c r="I122" s="1578"/>
      <c r="J122" s="1578"/>
      <c r="K122" s="473"/>
      <c r="L122" s="473"/>
      <c r="M122" s="1892"/>
      <c r="N122" s="1850"/>
      <c r="O122" s="1850"/>
      <c r="P122" s="1851"/>
      <c r="Q122" s="1820"/>
    </row>
    <row r="123" spans="1:17" ht="15.75" thickBot="1">
      <c r="A123" s="1852"/>
      <c r="B123" s="1860"/>
      <c r="C123" s="1861">
        <v>100</v>
      </c>
      <c r="D123" s="1861">
        <f t="shared" ref="D123:M123" si="29">C123-$K42</f>
        <v>99</v>
      </c>
      <c r="E123" s="1861">
        <f t="shared" si="29"/>
        <v>98</v>
      </c>
      <c r="F123" s="1861">
        <f t="shared" si="29"/>
        <v>97</v>
      </c>
      <c r="G123" s="1861">
        <f t="shared" si="29"/>
        <v>96</v>
      </c>
      <c r="H123" s="1861">
        <f t="shared" si="29"/>
        <v>95</v>
      </c>
      <c r="I123" s="1861">
        <f t="shared" si="29"/>
        <v>94</v>
      </c>
      <c r="J123" s="1861">
        <f t="shared" si="29"/>
        <v>93</v>
      </c>
      <c r="K123" s="1861">
        <f t="shared" si="29"/>
        <v>92</v>
      </c>
      <c r="L123" s="1861">
        <f t="shared" si="29"/>
        <v>91</v>
      </c>
      <c r="M123" s="1861">
        <f t="shared" si="29"/>
        <v>90</v>
      </c>
      <c r="N123" s="1856"/>
      <c r="O123" s="1856"/>
      <c r="P123" s="1851"/>
      <c r="Q123" s="1820"/>
    </row>
    <row r="124" spans="1:17" ht="15" thickTop="1">
      <c r="A124" s="1902"/>
      <c r="B124" s="1857" t="s">
        <v>2332</v>
      </c>
      <c r="C124" s="579" t="s">
        <v>2307</v>
      </c>
      <c r="D124" s="579" t="s">
        <v>2308</v>
      </c>
      <c r="E124" s="579" t="s">
        <v>2309</v>
      </c>
      <c r="F124" s="579" t="s">
        <v>2310</v>
      </c>
      <c r="G124" s="579" t="s">
        <v>2311</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t="str">
        <f>B44</f>
        <v>电梯</v>
      </c>
      <c r="C126" s="3180" t="s">
        <v>3105</v>
      </c>
      <c r="D126" s="3180" t="s">
        <v>3106</v>
      </c>
      <c r="E126" s="468"/>
      <c r="F126" s="468"/>
      <c r="G126" s="468"/>
      <c r="H126" s="443"/>
      <c r="I126" s="443"/>
      <c r="J126" s="443"/>
      <c r="K126" s="443"/>
      <c r="L126" s="443"/>
      <c r="M126" s="1869"/>
      <c r="N126" s="1870"/>
      <c r="O126" s="1870"/>
      <c r="P126" s="1871"/>
      <c r="Q126" s="1872"/>
    </row>
    <row r="127" spans="1:17" s="1770" customFormat="1" ht="15.75" thickBot="1">
      <c r="A127" s="1868"/>
      <c r="B127" s="1860"/>
      <c r="C127" s="1873">
        <v>100</v>
      </c>
      <c r="D127" s="1854">
        <v>90</v>
      </c>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8"/>
      <c r="H128" s="1578"/>
      <c r="I128" s="1578"/>
      <c r="J128" s="1578"/>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3" t="s">
        <v>2333</v>
      </c>
    </row>
    <row r="137" spans="1:17" ht="15">
      <c r="B137" s="1910" t="s">
        <v>2334</v>
      </c>
      <c r="C137" s="1911"/>
      <c r="D137" s="1911"/>
      <c r="E137" s="1911"/>
      <c r="F137" s="1911"/>
      <c r="G137" s="1912"/>
      <c r="H137" s="1913"/>
      <c r="I137" s="1914" t="s">
        <v>2335</v>
      </c>
      <c r="J137" s="1911"/>
      <c r="K137" s="1915"/>
    </row>
    <row r="138" spans="1:17" ht="15">
      <c r="B138" s="1916"/>
      <c r="C138" s="1917" t="s">
        <v>2336</v>
      </c>
      <c r="D138" s="1917" t="s">
        <v>2337</v>
      </c>
      <c r="E138" s="1918" t="s">
        <v>2338</v>
      </c>
      <c r="F138" s="1919" t="s">
        <v>2339</v>
      </c>
      <c r="G138" s="1917" t="s">
        <v>2337</v>
      </c>
      <c r="H138" s="1920" t="s">
        <v>2338</v>
      </c>
      <c r="I138" s="1921"/>
      <c r="J138" s="1917" t="s">
        <v>2340</v>
      </c>
      <c r="K138" s="1920" t="s">
        <v>2341</v>
      </c>
    </row>
    <row r="139" spans="1:17" ht="15">
      <c r="B139" s="1922">
        <v>6</v>
      </c>
      <c r="C139" s="1923">
        <v>96</v>
      </c>
      <c r="D139" s="1924" t="s">
        <v>2342</v>
      </c>
      <c r="E139" s="1925">
        <v>100</v>
      </c>
      <c r="F139" s="1926">
        <v>102.5</v>
      </c>
      <c r="G139" s="1924" t="s">
        <v>2342</v>
      </c>
      <c r="H139" s="1927">
        <v>105</v>
      </c>
      <c r="I139" s="1928" t="s">
        <v>2343</v>
      </c>
      <c r="J139" s="1923">
        <v>20</v>
      </c>
      <c r="K139" s="1929">
        <f>C145/(J139-2)</f>
        <v>4.0555555555555553E-3</v>
      </c>
    </row>
    <row r="140" spans="1:17" ht="15">
      <c r="B140" s="1930">
        <v>5</v>
      </c>
      <c r="C140" s="1931">
        <v>100</v>
      </c>
      <c r="D140" s="1931"/>
      <c r="E140" s="1932"/>
      <c r="F140" s="1933">
        <v>102</v>
      </c>
      <c r="G140" s="1931"/>
      <c r="H140" s="1934"/>
      <c r="I140" s="1935" t="s">
        <v>2344</v>
      </c>
      <c r="J140" s="1936">
        <f>ROUNDUP((J139-1)/2,0)</f>
        <v>10</v>
      </c>
      <c r="K140" s="1937">
        <v>100</v>
      </c>
    </row>
    <row r="141" spans="1:17" ht="15">
      <c r="B141" s="1930">
        <v>4</v>
      </c>
      <c r="C141" s="1931">
        <v>102</v>
      </c>
      <c r="D141" s="1931"/>
      <c r="E141" s="1932"/>
      <c r="F141" s="1933">
        <v>101.5</v>
      </c>
      <c r="G141" s="1931"/>
      <c r="H141" s="1934"/>
      <c r="I141" s="1935" t="s">
        <v>2345</v>
      </c>
      <c r="J141" s="1936">
        <v>1</v>
      </c>
      <c r="K141" s="1938">
        <f>ROUND(100+(J141-J140)*K139*100,1)</f>
        <v>96.4</v>
      </c>
    </row>
    <row r="142" spans="1:17" ht="15">
      <c r="B142" s="1930">
        <v>3</v>
      </c>
      <c r="C142" s="1931">
        <v>103</v>
      </c>
      <c r="D142" s="1931"/>
      <c r="E142" s="1932"/>
      <c r="F142" s="1933">
        <v>101</v>
      </c>
      <c r="G142" s="1931"/>
      <c r="H142" s="1934"/>
      <c r="I142" s="1935" t="s">
        <v>2346</v>
      </c>
      <c r="J142" s="1936">
        <f>J139</f>
        <v>20</v>
      </c>
      <c r="K142" s="1939">
        <v>95</v>
      </c>
    </row>
    <row r="143" spans="1:17" ht="15">
      <c r="B143" s="1930">
        <v>2</v>
      </c>
      <c r="C143" s="1931">
        <v>100</v>
      </c>
      <c r="D143" s="1931"/>
      <c r="E143" s="1932"/>
      <c r="F143" s="1933">
        <v>100.5</v>
      </c>
      <c r="G143" s="1931"/>
      <c r="H143" s="1934"/>
      <c r="I143" s="1935" t="s">
        <v>2347</v>
      </c>
      <c r="J143" s="1931">
        <v>15</v>
      </c>
      <c r="K143" s="1938">
        <f>ROUND(100+(J143-J140)*K139*100,1)</f>
        <v>102</v>
      </c>
    </row>
    <row r="144" spans="1:17" ht="15">
      <c r="B144" s="1930">
        <v>1</v>
      </c>
      <c r="C144" s="1931">
        <v>98</v>
      </c>
      <c r="D144" s="1420" t="s">
        <v>2348</v>
      </c>
      <c r="E144" s="1932">
        <v>102</v>
      </c>
      <c r="F144" s="1940">
        <v>100</v>
      </c>
      <c r="G144" s="1420" t="s">
        <v>2348</v>
      </c>
      <c r="H144" s="1934">
        <v>105</v>
      </c>
      <c r="I144" s="1935" t="s">
        <v>2347</v>
      </c>
      <c r="J144" s="1931">
        <v>18</v>
      </c>
      <c r="K144" s="1938">
        <f>ROUND(100+(J144-J140)*K139*100,1)</f>
        <v>103.2</v>
      </c>
    </row>
    <row r="145" spans="2:11" ht="15.75" thickBot="1">
      <c r="B145" s="1941" t="s">
        <v>2349</v>
      </c>
      <c r="C145" s="1942">
        <f>ROUND(MAX(C139:C144)/MIN(C139:C144)-1,3)</f>
        <v>7.2999999999999995E-2</v>
      </c>
      <c r="D145" s="1943"/>
      <c r="E145" s="1943"/>
      <c r="F145" s="1574" t="s">
        <v>2350</v>
      </c>
      <c r="G145" s="1944"/>
      <c r="H145" s="1945"/>
      <c r="I145" s="1946" t="s">
        <v>2347</v>
      </c>
      <c r="J145" s="1947">
        <v>8</v>
      </c>
      <c r="K145" s="1948">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805"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2353</v>
      </c>
      <c r="C1" s="1639"/>
      <c r="D1" s="2468"/>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8" customFormat="1" ht="28.5" customHeight="1" thickTop="1">
      <c r="A2" s="1649" t="s">
        <v>1913</v>
      </c>
      <c r="B2" s="1650" t="e">
        <f ca="1">IF(D2="——",IF(C2="元",ROUND(C49*D3,0),ROUND(C49*D3/10000,0)),IF(C2="元",ROUND(C49*D3,0),ROUND(C49*D3/10000,0))-E2)</f>
        <v>#DIV/0!</v>
      </c>
      <c r="C2" s="1651" t="str">
        <f>'数据-取费表'!B3</f>
        <v>元</v>
      </c>
      <c r="D2" s="1652"/>
      <c r="E2" s="2469" t="e">
        <f ca="1">SUMIF(INDIRECT("'"&amp;G2&amp;"'"&amp;"!A:A"),"承租人权益价值",INDIRECT("'"&amp;G2&amp;"'"&amp;"!c:c"))</f>
        <v>#REF!</v>
      </c>
      <c r="F2" s="1654" t="str">
        <f>C2</f>
        <v>元</v>
      </c>
      <c r="G2" s="1655"/>
      <c r="H2" s="3010"/>
      <c r="I2" s="3010"/>
      <c r="J2" s="3010"/>
      <c r="K2" s="3010"/>
      <c r="L2" s="3012"/>
      <c r="M2" s="3010"/>
      <c r="N2" s="3010"/>
      <c r="O2" s="3010"/>
      <c r="P2" s="2470"/>
      <c r="Q2" s="1955"/>
      <c r="R2" s="1955"/>
      <c r="S2" s="1955"/>
      <c r="T2" s="1955"/>
      <c r="U2" s="1955"/>
      <c r="V2" s="1955"/>
      <c r="W2" s="1955"/>
      <c r="X2" s="1955"/>
      <c r="Y2" s="1955"/>
      <c r="Z2" s="1955"/>
      <c r="AA2" s="1955"/>
      <c r="AB2" s="1955"/>
      <c r="AC2" s="1956"/>
    </row>
    <row r="3" spans="1:29" s="1958" customFormat="1" ht="28.5" customHeight="1" thickBot="1">
      <c r="A3" s="1659" t="s">
        <v>1914</v>
      </c>
      <c r="B3" s="1961" t="e">
        <f ca="1">ROUND(IF(D2="——",C49,IF(C2="万元",B2*10000/D3,B2/D3)),0)</f>
        <v>#DIV/0!</v>
      </c>
      <c r="C3" s="1660" t="s">
        <v>2244</v>
      </c>
      <c r="D3" s="1660">
        <f>IF(C1="仅计算典型户型",'数据-取费表'!E5,'数据-取费表'!B5)</f>
        <v>64.19</v>
      </c>
      <c r="F3" s="3009"/>
      <c r="G3" s="3010"/>
      <c r="H3" s="3010"/>
      <c r="I3" s="3010"/>
      <c r="J3" s="3010"/>
      <c r="K3" s="3011"/>
      <c r="L3" s="3012"/>
      <c r="M3" s="3010"/>
      <c r="N3" s="3010"/>
      <c r="O3" s="3010"/>
      <c r="P3" s="2470"/>
      <c r="Q3" s="1955"/>
      <c r="R3" s="1955"/>
      <c r="S3" s="1955"/>
      <c r="T3" s="1955"/>
      <c r="U3" s="1955"/>
      <c r="V3" s="1955"/>
      <c r="W3" s="1955"/>
      <c r="X3" s="1955"/>
      <c r="Y3" s="1955"/>
      <c r="Z3" s="1955"/>
      <c r="AA3" s="1955"/>
      <c r="AB3" s="1955"/>
      <c r="AC3" s="1963"/>
    </row>
    <row r="4" spans="1:29" ht="15">
      <c r="A4" s="1663" t="s">
        <v>2245</v>
      </c>
      <c r="B4" s="1664"/>
      <c r="C4" s="3647" t="s">
        <v>2246</v>
      </c>
      <c r="D4" s="3648"/>
      <c r="E4" s="3649" t="s">
        <v>2247</v>
      </c>
      <c r="F4" s="3650"/>
      <c r="G4" s="3647" t="s">
        <v>2248</v>
      </c>
      <c r="H4" s="3648"/>
      <c r="I4" s="3647" t="s">
        <v>2249</v>
      </c>
      <c r="J4" s="3648"/>
      <c r="K4" s="1964" t="s">
        <v>2250</v>
      </c>
      <c r="L4" s="2995"/>
      <c r="M4" s="2996"/>
      <c r="N4" s="2996"/>
      <c r="O4" s="2996"/>
      <c r="P4" s="3651" t="s">
        <v>2251</v>
      </c>
      <c r="Q4" s="3652"/>
      <c r="R4" s="3657" t="s">
        <v>2247</v>
      </c>
      <c r="S4" s="3658"/>
      <c r="T4" s="3657" t="s">
        <v>2248</v>
      </c>
      <c r="U4" s="3658"/>
      <c r="V4" s="3663" t="s">
        <v>2249</v>
      </c>
      <c r="W4" s="3663"/>
      <c r="X4" s="2073"/>
      <c r="Y4" s="3657" t="s">
        <v>2251</v>
      </c>
      <c r="Z4" s="3658"/>
      <c r="AA4" s="3644" t="s">
        <v>2247</v>
      </c>
      <c r="AB4" s="3663" t="s">
        <v>2248</v>
      </c>
      <c r="AC4" s="3644" t="s">
        <v>2249</v>
      </c>
    </row>
    <row r="5" spans="1:29" ht="15">
      <c r="A5" s="1668"/>
      <c r="B5" s="1669"/>
      <c r="C5" s="3692" t="s">
        <v>2252</v>
      </c>
      <c r="D5" s="3667"/>
      <c r="E5" s="3693" t="s">
        <v>2253</v>
      </c>
      <c r="F5" s="3665"/>
      <c r="G5" s="3692" t="s">
        <v>2254</v>
      </c>
      <c r="H5" s="3667"/>
      <c r="I5" s="3692" t="s">
        <v>2255</v>
      </c>
      <c r="J5" s="3667"/>
      <c r="K5" s="1964"/>
      <c r="L5" s="2995"/>
      <c r="M5" s="2996"/>
      <c r="N5" s="2996"/>
      <c r="O5" s="2996"/>
      <c r="P5" s="3653"/>
      <c r="Q5" s="3654"/>
      <c r="R5" s="3659"/>
      <c r="S5" s="3660"/>
      <c r="T5" s="3659"/>
      <c r="U5" s="3660"/>
      <c r="V5" s="3663"/>
      <c r="W5" s="3663"/>
      <c r="X5" s="2073"/>
      <c r="Y5" s="3659"/>
      <c r="Z5" s="3660"/>
      <c r="AA5" s="3645"/>
      <c r="AB5" s="3663"/>
      <c r="AC5" s="3645"/>
    </row>
    <row r="6" spans="1:29" ht="15.75" thickBot="1">
      <c r="A6" s="1671"/>
      <c r="B6" s="1672"/>
      <c r="C6" s="3668" t="s">
        <v>2256</v>
      </c>
      <c r="D6" s="3669"/>
      <c r="E6" s="3670" t="s">
        <v>2256</v>
      </c>
      <c r="F6" s="3671"/>
      <c r="G6" s="3668" t="s">
        <v>2256</v>
      </c>
      <c r="H6" s="3669"/>
      <c r="I6" s="3668" t="s">
        <v>2256</v>
      </c>
      <c r="J6" s="3669"/>
      <c r="K6" s="1964" t="s">
        <v>2257</v>
      </c>
      <c r="L6" s="2995"/>
      <c r="M6" s="2996"/>
      <c r="N6" s="2996"/>
      <c r="O6" s="2996"/>
      <c r="P6" s="3655"/>
      <c r="Q6" s="3656"/>
      <c r="R6" s="3659"/>
      <c r="S6" s="3660"/>
      <c r="T6" s="3661"/>
      <c r="U6" s="3662"/>
      <c r="V6" s="3663"/>
      <c r="W6" s="3663"/>
      <c r="X6" s="2073"/>
      <c r="Y6" s="3661"/>
      <c r="Z6" s="3662"/>
      <c r="AA6" s="3646"/>
      <c r="AB6" s="3663"/>
      <c r="AC6" s="3646"/>
    </row>
    <row r="7" spans="1:29" s="1685" customFormat="1" ht="15.75" thickBot="1">
      <c r="A7" s="1673" t="s">
        <v>2258</v>
      </c>
      <c r="B7" s="1674"/>
      <c r="C7" s="1675">
        <f>'数据-取费表'!B2</f>
        <v>39004</v>
      </c>
      <c r="D7" s="1676">
        <v>100</v>
      </c>
      <c r="E7" s="1677"/>
      <c r="F7" s="1678">
        <f>SUMIF(58:58,YEAR(E7)&amp;"-"&amp;MONTH(E7),59:59)</f>
        <v>0</v>
      </c>
      <c r="G7" s="1677"/>
      <c r="H7" s="1676">
        <f>SUMIF(58:58,YEAR(G7)&amp;"-"&amp;MONTH(G7),59:59)</f>
        <v>0</v>
      </c>
      <c r="I7" s="1677"/>
      <c r="J7" s="1676">
        <f>SUMIF(58:58,YEAR(I7)&amp;"-"&amp;MONTH(I7),59:59)</f>
        <v>0</v>
      </c>
      <c r="K7" s="1966"/>
      <c r="L7" s="2995"/>
      <c r="M7" s="2968"/>
      <c r="N7" s="2968"/>
      <c r="O7" s="2968"/>
      <c r="P7" s="3679" t="s">
        <v>2259</v>
      </c>
      <c r="Q7" s="3681"/>
      <c r="R7" s="1681" t="s">
        <v>25</v>
      </c>
      <c r="S7" s="1682">
        <f t="shared" ref="S7:S15" si="0">F7</f>
        <v>0</v>
      </c>
      <c r="T7" s="1681" t="s">
        <v>25</v>
      </c>
      <c r="U7" s="1682">
        <f t="shared" ref="U7:U15" si="1">H7</f>
        <v>0</v>
      </c>
      <c r="V7" s="1681" t="s">
        <v>25</v>
      </c>
      <c r="W7" s="1682">
        <f t="shared" ref="W7:W15" si="2">J7</f>
        <v>0</v>
      </c>
      <c r="X7" s="1683"/>
      <c r="Y7" s="3679" t="s">
        <v>2259</v>
      </c>
      <c r="Z7" s="3680"/>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6"/>
      <c r="L8" s="2995"/>
      <c r="M8" s="2968"/>
      <c r="N8" s="2968"/>
      <c r="O8" s="2968"/>
      <c r="P8" s="3679" t="s">
        <v>2262</v>
      </c>
      <c r="Q8" s="3680"/>
      <c r="R8" s="1681" t="s">
        <v>25</v>
      </c>
      <c r="S8" s="1682">
        <f t="shared" si="0"/>
        <v>0</v>
      </c>
      <c r="T8" s="1681" t="s">
        <v>25</v>
      </c>
      <c r="U8" s="1682">
        <f t="shared" si="1"/>
        <v>0</v>
      </c>
      <c r="V8" s="1681" t="s">
        <v>25</v>
      </c>
      <c r="W8" s="1682">
        <f t="shared" si="2"/>
        <v>0</v>
      </c>
      <c r="X8" s="1683"/>
      <c r="Y8" s="3679" t="s">
        <v>2262</v>
      </c>
      <c r="Z8" s="3680"/>
      <c r="AA8" s="1684" t="e">
        <f t="shared" ref="AA8:AA46" si="3">D8/F8</f>
        <v>#DIV/0!</v>
      </c>
      <c r="AB8" s="1684" t="e">
        <f t="shared" ref="AB8:AB46" si="4">D8/H8</f>
        <v>#DIV/0!</v>
      </c>
      <c r="AC8" s="1684" t="e">
        <f t="shared" ref="AC8:AC46" si="5">D8/J8</f>
        <v>#DIV/0!</v>
      </c>
    </row>
    <row r="9" spans="1:29" s="1685" customFormat="1">
      <c r="A9" s="2065"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6"/>
      <c r="L9" s="2995"/>
      <c r="M9" s="2968"/>
      <c r="N9" s="2968"/>
      <c r="O9" s="2968"/>
      <c r="P9" s="3682" t="s">
        <v>2265</v>
      </c>
      <c r="Q9" s="2064" t="str">
        <f t="shared" ref="Q9:Q15" si="6">B9</f>
        <v>用途</v>
      </c>
      <c r="R9" s="1681" t="s">
        <v>25</v>
      </c>
      <c r="S9" s="1682">
        <f t="shared" si="0"/>
        <v>100</v>
      </c>
      <c r="T9" s="1681" t="s">
        <v>25</v>
      </c>
      <c r="U9" s="1682">
        <f t="shared" si="1"/>
        <v>100</v>
      </c>
      <c r="V9" s="1681" t="s">
        <v>25</v>
      </c>
      <c r="W9" s="1682">
        <f t="shared" si="2"/>
        <v>100</v>
      </c>
      <c r="X9" s="1683"/>
      <c r="Y9" s="3545" t="s">
        <v>2266</v>
      </c>
      <c r="Z9" s="1693" t="str">
        <f t="shared" ref="Z9:Z15" si="7">Q9</f>
        <v>用途</v>
      </c>
      <c r="AA9" s="1684">
        <f t="shared" si="3"/>
        <v>1</v>
      </c>
      <c r="AB9" s="1684">
        <f t="shared" si="4"/>
        <v>1</v>
      </c>
      <c r="AC9" s="1684">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1"/>
      <c r="L10" s="2997"/>
      <c r="M10" s="2998"/>
      <c r="N10" s="2998"/>
      <c r="O10" s="2998"/>
      <c r="P10" s="3682"/>
      <c r="Q10" s="2064" t="str">
        <f t="shared" si="6"/>
        <v>土地使用年限（年）</v>
      </c>
      <c r="R10" s="1681" t="s">
        <v>25</v>
      </c>
      <c r="S10" s="1682">
        <f t="shared" si="0"/>
        <v>100</v>
      </c>
      <c r="T10" s="1681" t="s">
        <v>25</v>
      </c>
      <c r="U10" s="1682">
        <f t="shared" si="1"/>
        <v>100</v>
      </c>
      <c r="V10" s="1681" t="s">
        <v>25</v>
      </c>
      <c r="W10" s="1682">
        <f t="shared" si="2"/>
        <v>100</v>
      </c>
      <c r="X10" s="1683"/>
      <c r="Y10" s="3545"/>
      <c r="Z10" s="1693" t="str">
        <f t="shared" si="7"/>
        <v>土地使用年限（年）</v>
      </c>
      <c r="AA10" s="1684">
        <f t="shared" si="3"/>
        <v>1</v>
      </c>
      <c r="AB10" s="1684">
        <f t="shared" si="4"/>
        <v>1</v>
      </c>
      <c r="AC10" s="1684">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1"/>
      <c r="L11" s="2999"/>
      <c r="M11" s="2996"/>
      <c r="N11" s="2996"/>
      <c r="O11" s="2996"/>
      <c r="P11" s="3682"/>
      <c r="Q11" s="2064" t="str">
        <f t="shared" si="6"/>
        <v>容积率</v>
      </c>
      <c r="R11" s="1681" t="s">
        <v>25</v>
      </c>
      <c r="S11" s="1682" t="e">
        <f t="shared" si="0"/>
        <v>#N/A</v>
      </c>
      <c r="T11" s="1681" t="s">
        <v>25</v>
      </c>
      <c r="U11" s="1682" t="e">
        <f t="shared" si="1"/>
        <v>#N/A</v>
      </c>
      <c r="V11" s="1681" t="s">
        <v>25</v>
      </c>
      <c r="W11" s="1682" t="e">
        <f t="shared" si="2"/>
        <v>#N/A</v>
      </c>
      <c r="X11" s="1683"/>
      <c r="Y11" s="3545"/>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8"/>
      <c r="L12" s="2995"/>
      <c r="M12" s="2968"/>
      <c r="N12" s="2968"/>
      <c r="O12" s="2968"/>
      <c r="P12" s="3682"/>
      <c r="Q12" s="2064">
        <f t="shared" si="6"/>
        <v>111</v>
      </c>
      <c r="R12" s="1681" t="s">
        <v>25</v>
      </c>
      <c r="S12" s="1682">
        <f t="shared" si="0"/>
        <v>100</v>
      </c>
      <c r="T12" s="1681" t="s">
        <v>25</v>
      </c>
      <c r="U12" s="1682">
        <f t="shared" si="1"/>
        <v>100</v>
      </c>
      <c r="V12" s="1681" t="s">
        <v>25</v>
      </c>
      <c r="W12" s="1682">
        <f t="shared" si="2"/>
        <v>100</v>
      </c>
      <c r="X12" s="1683"/>
      <c r="Y12" s="3545"/>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8"/>
      <c r="L13" s="3000"/>
      <c r="M13" s="2996"/>
      <c r="N13" s="2996"/>
      <c r="O13" s="2996"/>
      <c r="P13" s="3682"/>
      <c r="Q13" s="2064">
        <f t="shared" si="6"/>
        <v>111</v>
      </c>
      <c r="R13" s="1681" t="s">
        <v>25</v>
      </c>
      <c r="S13" s="1682">
        <f t="shared" si="0"/>
        <v>100</v>
      </c>
      <c r="T13" s="1681" t="s">
        <v>25</v>
      </c>
      <c r="U13" s="1682">
        <f t="shared" si="1"/>
        <v>100</v>
      </c>
      <c r="V13" s="1681" t="s">
        <v>25</v>
      </c>
      <c r="W13" s="1682">
        <f t="shared" si="2"/>
        <v>100</v>
      </c>
      <c r="X13" s="1683"/>
      <c r="Y13" s="3545"/>
      <c r="Z13" s="1693">
        <f t="shared" si="7"/>
        <v>111</v>
      </c>
      <c r="AA13" s="1684">
        <f t="shared" si="3"/>
        <v>1</v>
      </c>
      <c r="AB13" s="1684">
        <f t="shared" si="4"/>
        <v>1</v>
      </c>
      <c r="AC13" s="1684">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8"/>
      <c r="L14" s="3000"/>
      <c r="M14" s="2996"/>
      <c r="N14" s="2996"/>
      <c r="O14" s="2996"/>
      <c r="P14" s="3682"/>
      <c r="Q14" s="2064">
        <f t="shared" si="6"/>
        <v>111</v>
      </c>
      <c r="R14" s="1681" t="s">
        <v>25</v>
      </c>
      <c r="S14" s="1682">
        <f t="shared" si="0"/>
        <v>100</v>
      </c>
      <c r="T14" s="1681" t="s">
        <v>25</v>
      </c>
      <c r="U14" s="1682">
        <f t="shared" si="1"/>
        <v>100</v>
      </c>
      <c r="V14" s="1681" t="s">
        <v>25</v>
      </c>
      <c r="W14" s="1682">
        <f t="shared" si="2"/>
        <v>100</v>
      </c>
      <c r="X14" s="1683"/>
      <c r="Y14" s="3545"/>
      <c r="Z14" s="1693">
        <f t="shared" si="7"/>
        <v>111</v>
      </c>
      <c r="AA14" s="1684">
        <f t="shared" si="3"/>
        <v>1</v>
      </c>
      <c r="AB14" s="1684">
        <f t="shared" si="4"/>
        <v>1</v>
      </c>
      <c r="AC14" s="1684">
        <f t="shared" si="5"/>
        <v>1</v>
      </c>
    </row>
    <row r="15" spans="1:29" ht="71.25">
      <c r="A15" s="1717" t="s">
        <v>2269</v>
      </c>
      <c r="B15" s="1718" t="s">
        <v>2354</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1"/>
      <c r="L15" s="3000"/>
      <c r="M15" s="2996"/>
      <c r="N15" s="2996"/>
      <c r="O15" s="2996"/>
      <c r="P15" s="3685" t="s">
        <v>2270</v>
      </c>
      <c r="Q15" s="2070" t="str">
        <f t="shared" si="6"/>
        <v>商业繁华度</v>
      </c>
      <c r="R15" s="1725" t="s">
        <v>25</v>
      </c>
      <c r="S15" s="1726">
        <f t="shared" si="0"/>
        <v>100</v>
      </c>
      <c r="T15" s="1725" t="s">
        <v>25</v>
      </c>
      <c r="U15" s="1726">
        <f t="shared" si="1"/>
        <v>100</v>
      </c>
      <c r="V15" s="1725" t="s">
        <v>25</v>
      </c>
      <c r="W15" s="1726">
        <f t="shared" si="2"/>
        <v>100</v>
      </c>
      <c r="X15" s="2073"/>
      <c r="Y15" s="3672" t="s">
        <v>2270</v>
      </c>
      <c r="Z15" s="2077" t="str">
        <f t="shared" si="7"/>
        <v>商业繁华度</v>
      </c>
      <c r="AA15" s="2068">
        <f t="shared" si="3"/>
        <v>1</v>
      </c>
      <c r="AB15" s="2068">
        <f t="shared" si="4"/>
        <v>1</v>
      </c>
      <c r="AC15" s="2068">
        <f t="shared" si="5"/>
        <v>1</v>
      </c>
    </row>
    <row r="16" spans="1:29" ht="15">
      <c r="A16" s="1702"/>
      <c r="B16" s="1729"/>
      <c r="C16" s="1730"/>
      <c r="D16" s="1731"/>
      <c r="E16" s="1730"/>
      <c r="F16" s="1733"/>
      <c r="G16" s="1730"/>
      <c r="H16" s="1735"/>
      <c r="I16" s="1730"/>
      <c r="J16" s="1731"/>
      <c r="K16" s="2472"/>
      <c r="L16" s="3000"/>
      <c r="M16" s="2996"/>
      <c r="N16" s="2996"/>
      <c r="O16" s="2996"/>
      <c r="P16" s="3686"/>
      <c r="Q16" s="2070"/>
      <c r="R16" s="1725"/>
      <c r="S16" s="1726"/>
      <c r="T16" s="1725"/>
      <c r="U16" s="1726"/>
      <c r="V16" s="1725"/>
      <c r="W16" s="1726"/>
      <c r="X16" s="2073"/>
      <c r="Y16" s="3673"/>
      <c r="Z16" s="2077"/>
      <c r="AA16" s="2068">
        <v>1</v>
      </c>
      <c r="AB16" s="2068">
        <v>1</v>
      </c>
      <c r="AC16" s="2068">
        <v>1</v>
      </c>
    </row>
    <row r="17" spans="1:29" ht="57">
      <c r="A17" s="1702"/>
      <c r="B17" s="1737" t="s">
        <v>1705</v>
      </c>
      <c r="C17" s="1738" t="str">
        <f>估价对象房地状况!C6</f>
        <v>估价对象周边有多条公交线路，综合评价交通便捷度较好。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1"/>
      <c r="L17" s="3000"/>
      <c r="M17" s="2996"/>
      <c r="N17" s="2996"/>
      <c r="O17" s="2996"/>
      <c r="P17" s="3686"/>
      <c r="Q17" s="2070" t="str">
        <f>B17</f>
        <v>交通便捷度</v>
      </c>
      <c r="R17" s="1725" t="s">
        <v>25</v>
      </c>
      <c r="S17" s="1726">
        <f>F17</f>
        <v>100</v>
      </c>
      <c r="T17" s="1725" t="s">
        <v>25</v>
      </c>
      <c r="U17" s="1726">
        <f>H17</f>
        <v>100</v>
      </c>
      <c r="V17" s="1725" t="s">
        <v>25</v>
      </c>
      <c r="W17" s="1726">
        <f>J17</f>
        <v>100</v>
      </c>
      <c r="X17" s="2073"/>
      <c r="Y17" s="3673"/>
      <c r="Z17" s="2077" t="str">
        <f>Q17</f>
        <v>交通便捷度</v>
      </c>
      <c r="AA17" s="2068">
        <f t="shared" si="3"/>
        <v>1</v>
      </c>
      <c r="AB17" s="2068">
        <f t="shared" si="4"/>
        <v>1</v>
      </c>
      <c r="AC17" s="2068">
        <f t="shared" si="5"/>
        <v>1</v>
      </c>
    </row>
    <row r="18" spans="1:29" ht="15">
      <c r="A18" s="1702"/>
      <c r="B18" s="1743"/>
      <c r="C18" s="1744"/>
      <c r="D18" s="1735"/>
      <c r="E18" s="1745"/>
      <c r="F18" s="1740"/>
      <c r="G18" s="1746"/>
      <c r="H18" s="1731"/>
      <c r="I18" s="1745"/>
      <c r="J18" s="1731"/>
      <c r="K18" s="2472"/>
      <c r="L18" s="3000"/>
      <c r="M18" s="2996"/>
      <c r="N18" s="2996"/>
      <c r="O18" s="2996"/>
      <c r="P18" s="3686"/>
      <c r="Q18" s="2070"/>
      <c r="R18" s="1725"/>
      <c r="S18" s="1726"/>
      <c r="T18" s="1725"/>
      <c r="U18" s="1726"/>
      <c r="V18" s="1725"/>
      <c r="W18" s="1726"/>
      <c r="X18" s="2073"/>
      <c r="Y18" s="3673"/>
      <c r="Z18" s="2077"/>
      <c r="AA18" s="2068">
        <v>1</v>
      </c>
      <c r="AB18" s="2068">
        <v>1</v>
      </c>
      <c r="AC18" s="2068">
        <v>1</v>
      </c>
    </row>
    <row r="19" spans="1:29" ht="299.25">
      <c r="A19" s="1702"/>
      <c r="B19" s="1737" t="s">
        <v>2355</v>
      </c>
      <c r="C19" s="1738"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742">
        <v>100</v>
      </c>
      <c r="E19" s="1747"/>
      <c r="F19" s="1748">
        <f>SUMIF(80:80,E20,81:81)-SUMIF(80:80,C20,81:81)+100</f>
        <v>100</v>
      </c>
      <c r="G19" s="1749"/>
      <c r="H19" s="1735">
        <f>SUMIF(80:80,G20,81:81)-SUMIF(80:80,C20,81:81)+100</f>
        <v>100</v>
      </c>
      <c r="I19" s="1747"/>
      <c r="J19" s="1735">
        <f>SUMIF(80:80,I20,81:81)-SUMIF(80:80,C20,81:81)+100</f>
        <v>100</v>
      </c>
      <c r="K19" s="2471"/>
      <c r="L19" s="3000"/>
      <c r="M19" s="2996"/>
      <c r="N19" s="2996"/>
      <c r="O19" s="2996"/>
      <c r="P19" s="3686"/>
      <c r="Q19" s="2070" t="str">
        <f>B19</f>
        <v>公共配套设施</v>
      </c>
      <c r="R19" s="1725" t="s">
        <v>25</v>
      </c>
      <c r="S19" s="1726">
        <f>F19</f>
        <v>100</v>
      </c>
      <c r="T19" s="1725" t="s">
        <v>25</v>
      </c>
      <c r="U19" s="1726">
        <f>H19</f>
        <v>100</v>
      </c>
      <c r="V19" s="1725" t="s">
        <v>25</v>
      </c>
      <c r="W19" s="1726">
        <f>J19</f>
        <v>100</v>
      </c>
      <c r="X19" s="2073"/>
      <c r="Y19" s="3673"/>
      <c r="Z19" s="2077" t="str">
        <f>Q19</f>
        <v>公共配套设施</v>
      </c>
      <c r="AA19" s="2068">
        <f t="shared" si="3"/>
        <v>1</v>
      </c>
      <c r="AB19" s="2068">
        <f t="shared" si="4"/>
        <v>1</v>
      </c>
      <c r="AC19" s="2068">
        <f t="shared" si="5"/>
        <v>1</v>
      </c>
    </row>
    <row r="20" spans="1:29" ht="15">
      <c r="A20" s="1702"/>
      <c r="B20" s="1743"/>
      <c r="C20" s="1730"/>
      <c r="D20" s="1731"/>
      <c r="E20" s="1732"/>
      <c r="F20" s="1733"/>
      <c r="G20" s="1734"/>
      <c r="H20" s="1731"/>
      <c r="I20" s="1732"/>
      <c r="J20" s="1731"/>
      <c r="K20" s="2472"/>
      <c r="L20" s="3000"/>
      <c r="M20" s="2996"/>
      <c r="N20" s="2996"/>
      <c r="O20" s="2996"/>
      <c r="P20" s="3686"/>
      <c r="Q20" s="2070"/>
      <c r="R20" s="1725"/>
      <c r="S20" s="1726"/>
      <c r="T20" s="1725"/>
      <c r="U20" s="1726"/>
      <c r="V20" s="1725"/>
      <c r="W20" s="1726"/>
      <c r="X20" s="2073"/>
      <c r="Y20" s="3673"/>
      <c r="Z20" s="2077"/>
      <c r="AA20" s="2068">
        <v>1</v>
      </c>
      <c r="AB20" s="2068">
        <v>1</v>
      </c>
      <c r="AC20" s="2068">
        <v>1</v>
      </c>
    </row>
    <row r="21" spans="1:29" ht="42.75">
      <c r="A21" s="1702"/>
      <c r="B21" s="1750" t="s">
        <v>2356</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2471"/>
      <c r="L21" s="3000"/>
      <c r="M21" s="2996"/>
      <c r="N21" s="2996"/>
      <c r="O21" s="2996"/>
      <c r="P21" s="3686"/>
      <c r="Q21" s="2070" t="str">
        <f>B21</f>
        <v>基础设施水平</v>
      </c>
      <c r="R21" s="1725" t="s">
        <v>25</v>
      </c>
      <c r="S21" s="1726">
        <f>F21</f>
        <v>100</v>
      </c>
      <c r="T21" s="1725" t="s">
        <v>25</v>
      </c>
      <c r="U21" s="1726">
        <f>H21</f>
        <v>100</v>
      </c>
      <c r="V21" s="1725" t="s">
        <v>25</v>
      </c>
      <c r="W21" s="1726">
        <f>J21</f>
        <v>100</v>
      </c>
      <c r="X21" s="2073"/>
      <c r="Y21" s="3673"/>
      <c r="Z21" s="2077" t="str">
        <f>Q21</f>
        <v>基础设施水平</v>
      </c>
      <c r="AA21" s="2068">
        <f t="shared" ref="AA21" si="8">D21/F21</f>
        <v>1</v>
      </c>
      <c r="AB21" s="2068">
        <f t="shared" ref="AB21" si="9">D21/H21</f>
        <v>1</v>
      </c>
      <c r="AC21" s="2068">
        <f t="shared" ref="AC21" si="10">D21/J21</f>
        <v>1</v>
      </c>
    </row>
    <row r="22" spans="1:29" ht="15">
      <c r="A22" s="1702"/>
      <c r="B22" s="1750"/>
      <c r="C22" s="1744"/>
      <c r="D22" s="1731"/>
      <c r="E22" s="1730"/>
      <c r="F22" s="1733"/>
      <c r="G22" s="1730"/>
      <c r="H22" s="1731"/>
      <c r="I22" s="1730"/>
      <c r="J22" s="1731"/>
      <c r="K22" s="2473"/>
      <c r="L22" s="3000"/>
      <c r="M22" s="2996"/>
      <c r="N22" s="2996"/>
      <c r="O22" s="2996"/>
      <c r="P22" s="3686"/>
      <c r="Q22" s="2070"/>
      <c r="R22" s="1725"/>
      <c r="S22" s="1726"/>
      <c r="T22" s="1725"/>
      <c r="U22" s="1726"/>
      <c r="V22" s="1725"/>
      <c r="W22" s="1726"/>
      <c r="X22" s="2073"/>
      <c r="Y22" s="3673"/>
      <c r="Z22" s="2077"/>
      <c r="AA22" s="2068">
        <v>1</v>
      </c>
      <c r="AB22" s="2068">
        <v>1</v>
      </c>
      <c r="AC22" s="2068">
        <v>1</v>
      </c>
    </row>
    <row r="23" spans="1:29" ht="71.25">
      <c r="A23" s="1702"/>
      <c r="B23" s="1737" t="s">
        <v>1707</v>
      </c>
      <c r="C23" s="2474" t="str">
        <f>估价对象房地状况!C9</f>
        <v xml:space="preserve">自然环境：昌平公园等；
综上，环境状况一般。
</v>
      </c>
      <c r="D23" s="1735">
        <v>100</v>
      </c>
      <c r="E23" s="1739"/>
      <c r="F23" s="1740">
        <f>SUMIF(84:84,E24,85:85)-SUMIF(84:84,C24,85:85)+100</f>
        <v>100</v>
      </c>
      <c r="G23" s="1741"/>
      <c r="H23" s="1735">
        <f>SUMIF(84:84,G24,85:85)-SUMIF(84:84,C24,85:85)+100</f>
        <v>100</v>
      </c>
      <c r="I23" s="1739"/>
      <c r="J23" s="1735">
        <f>SUMIF(84:84,I24,85:85)-SUMIF(84:84,C24,85:85)+100</f>
        <v>100</v>
      </c>
      <c r="K23" s="2471"/>
      <c r="L23" s="3000"/>
      <c r="M23" s="2996"/>
      <c r="N23" s="2996"/>
      <c r="O23" s="2996"/>
      <c r="P23" s="3686"/>
      <c r="Q23" s="2070" t="str">
        <f>B23</f>
        <v>自然及人文环境</v>
      </c>
      <c r="R23" s="1725" t="s">
        <v>25</v>
      </c>
      <c r="S23" s="1726">
        <f>F23</f>
        <v>100</v>
      </c>
      <c r="T23" s="1725" t="s">
        <v>25</v>
      </c>
      <c r="U23" s="1726">
        <f>H23</f>
        <v>100</v>
      </c>
      <c r="V23" s="1725" t="s">
        <v>25</v>
      </c>
      <c r="W23" s="1726">
        <f>J23</f>
        <v>100</v>
      </c>
      <c r="X23" s="2073"/>
      <c r="Y23" s="3673"/>
      <c r="Z23" s="2077" t="str">
        <f>Q23</f>
        <v>自然及人文环境</v>
      </c>
      <c r="AA23" s="2068">
        <f t="shared" si="3"/>
        <v>1</v>
      </c>
      <c r="AB23" s="2068">
        <f t="shared" si="4"/>
        <v>1</v>
      </c>
      <c r="AC23" s="2068">
        <f t="shared" si="5"/>
        <v>1</v>
      </c>
    </row>
    <row r="24" spans="1:29" ht="15">
      <c r="A24" s="1702"/>
      <c r="B24" s="1743"/>
      <c r="C24" s="1730"/>
      <c r="D24" s="1731"/>
      <c r="E24" s="1732"/>
      <c r="F24" s="1733"/>
      <c r="G24" s="1734"/>
      <c r="H24" s="1731"/>
      <c r="I24" s="1732"/>
      <c r="J24" s="1731"/>
      <c r="K24" s="2472"/>
      <c r="L24" s="3000"/>
      <c r="M24" s="2996"/>
      <c r="N24" s="2996"/>
      <c r="O24" s="2996"/>
      <c r="P24" s="3686"/>
      <c r="Q24" s="2070"/>
      <c r="R24" s="1725"/>
      <c r="S24" s="1726"/>
      <c r="T24" s="1725"/>
      <c r="U24" s="1726"/>
      <c r="V24" s="1725"/>
      <c r="W24" s="1726"/>
      <c r="X24" s="2073"/>
      <c r="Y24" s="3673"/>
      <c r="Z24" s="2077"/>
      <c r="AA24" s="2068">
        <v>1</v>
      </c>
      <c r="AB24" s="2068">
        <v>1</v>
      </c>
      <c r="AC24" s="2068">
        <v>1</v>
      </c>
    </row>
    <row r="25" spans="1:29" ht="15">
      <c r="A25" s="1702"/>
      <c r="B25" s="1695" t="s">
        <v>2357</v>
      </c>
      <c r="C25" s="1990"/>
      <c r="D25" s="1711">
        <v>100</v>
      </c>
      <c r="E25" s="1990"/>
      <c r="F25" s="1754">
        <f>SUMIF(86:86,E25,87:87)-SUMIF(86:86,C25,87:87)+100</f>
        <v>100</v>
      </c>
      <c r="G25" s="1990"/>
      <c r="H25" s="1711">
        <f>SUMIF(86:86,G25,87:87)-SUMIF(86:86,C25,87:87)+100</f>
        <v>100</v>
      </c>
      <c r="I25" s="1990"/>
      <c r="J25" s="1711">
        <f>SUMIF(86:86,I25,87:87)-SUMIF(86:86,C25,87:87)+100</f>
        <v>100</v>
      </c>
      <c r="K25" s="1991"/>
      <c r="L25" s="3000"/>
      <c r="M25" s="2996"/>
      <c r="N25" s="2996"/>
      <c r="O25" s="2996"/>
      <c r="P25" s="3686"/>
      <c r="Q25" s="2070" t="str">
        <f t="shared" ref="Q25:Q46" si="11">B25</f>
        <v>临街状况</v>
      </c>
      <c r="R25" s="1725" t="s">
        <v>25</v>
      </c>
      <c r="S25" s="1726">
        <f>F25</f>
        <v>100</v>
      </c>
      <c r="T25" s="1725" t="s">
        <v>25</v>
      </c>
      <c r="U25" s="1726">
        <f>H25</f>
        <v>100</v>
      </c>
      <c r="V25" s="1725" t="s">
        <v>25</v>
      </c>
      <c r="W25" s="1726">
        <f>J25</f>
        <v>100</v>
      </c>
      <c r="X25" s="2073"/>
      <c r="Y25" s="3673"/>
      <c r="Z25" s="2077" t="str">
        <f>Q25</f>
        <v>临街状况</v>
      </c>
      <c r="AA25" s="2068">
        <f t="shared" si="3"/>
        <v>1</v>
      </c>
      <c r="AB25" s="2068">
        <f t="shared" si="4"/>
        <v>1</v>
      </c>
      <c r="AC25" s="2068">
        <f t="shared" si="5"/>
        <v>1</v>
      </c>
    </row>
    <row r="26" spans="1:29" ht="1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8"/>
      <c r="L26" s="3000"/>
      <c r="M26" s="2996"/>
      <c r="N26" s="2996"/>
      <c r="O26" s="2996"/>
      <c r="P26" s="3686"/>
      <c r="Q26" s="2070" t="str">
        <f t="shared" si="11"/>
        <v>平面位置/可视性</v>
      </c>
      <c r="R26" s="1725" t="s">
        <v>25</v>
      </c>
      <c r="S26" s="1726">
        <f>F26</f>
        <v>100</v>
      </c>
      <c r="T26" s="1725" t="s">
        <v>25</v>
      </c>
      <c r="U26" s="1726">
        <f>H26</f>
        <v>100</v>
      </c>
      <c r="V26" s="1725" t="s">
        <v>25</v>
      </c>
      <c r="W26" s="1726">
        <f>J26</f>
        <v>100</v>
      </c>
      <c r="X26" s="2073"/>
      <c r="Y26" s="3673"/>
      <c r="Z26" s="2077" t="str">
        <f>Q26</f>
        <v>平面位置/可视性</v>
      </c>
      <c r="AA26" s="2068">
        <f t="shared" si="3"/>
        <v>1</v>
      </c>
      <c r="AB26" s="2068">
        <f t="shared" si="4"/>
        <v>1</v>
      </c>
      <c r="AC26" s="2068">
        <f t="shared" si="5"/>
        <v>1</v>
      </c>
    </row>
    <row r="27" spans="1:29" s="1685" customFormat="1" ht="15">
      <c r="A27" s="1705"/>
      <c r="B27" s="1737" t="s">
        <v>2359</v>
      </c>
      <c r="C27" s="2475"/>
      <c r="D27" s="1756">
        <v>100</v>
      </c>
      <c r="E27" s="2475"/>
      <c r="F27" s="1758">
        <f>SUMIF(90:90,E27,91:91)-SUMIF(90:90,C27,91:91)+100</f>
        <v>100</v>
      </c>
      <c r="G27" s="2475"/>
      <c r="H27" s="1756">
        <f>SUMIF(90:90,G27,91:91)-SUMIF(90:90,C27,91:91)+100</f>
        <v>100</v>
      </c>
      <c r="I27" s="2475"/>
      <c r="J27" s="1756">
        <f>SUMIF(90:90,I27,91:91)-SUMIF(90:90,C27,91:91)+100</f>
        <v>100</v>
      </c>
      <c r="K27" s="1991"/>
      <c r="L27" s="2995"/>
      <c r="M27" s="2968"/>
      <c r="N27" s="2968"/>
      <c r="O27" s="2968"/>
      <c r="P27" s="3686"/>
      <c r="Q27" s="2064" t="str">
        <f t="shared" si="11"/>
        <v>人流量</v>
      </c>
      <c r="R27" s="1681" t="s">
        <v>25</v>
      </c>
      <c r="S27" s="1682">
        <f>F27</f>
        <v>100</v>
      </c>
      <c r="T27" s="1681" t="s">
        <v>25</v>
      </c>
      <c r="U27" s="1682">
        <f>H27</f>
        <v>100</v>
      </c>
      <c r="V27" s="1681" t="s">
        <v>25</v>
      </c>
      <c r="W27" s="1682">
        <f>J27</f>
        <v>100</v>
      </c>
      <c r="X27" s="1683"/>
      <c r="Y27" s="3673"/>
      <c r="Z27" s="1693" t="str">
        <f>Q27</f>
        <v>人流量</v>
      </c>
      <c r="AA27" s="2068">
        <f>D27/F27</f>
        <v>1</v>
      </c>
      <c r="AB27" s="2068">
        <f>D27/H27</f>
        <v>1</v>
      </c>
      <c r="AC27" s="2068">
        <f>D27/J27</f>
        <v>1</v>
      </c>
    </row>
    <row r="28" spans="1:29" ht="15">
      <c r="A28" s="1702"/>
      <c r="B28" s="1695" t="s">
        <v>2360</v>
      </c>
      <c r="C28" s="1990"/>
      <c r="D28" s="1711">
        <v>100</v>
      </c>
      <c r="E28" s="1990"/>
      <c r="F28" s="1754">
        <f>SUMIF(92:92,E28,93:93)-SUMIF(92:92,C28,93:93)+100</f>
        <v>100</v>
      </c>
      <c r="G28" s="1990"/>
      <c r="H28" s="1711">
        <f>SUMIF(92:92,G28,93:93)-SUMIF(92:92,C28,93:93)+100</f>
        <v>100</v>
      </c>
      <c r="I28" s="1990"/>
      <c r="J28" s="1711">
        <f>SUMIF(92:92,I28,93:93)-SUMIF(92:92,C28,93:93)+100</f>
        <v>100</v>
      </c>
      <c r="K28" s="1988"/>
      <c r="L28" s="3000"/>
      <c r="M28" s="2996"/>
      <c r="N28" s="2996"/>
      <c r="O28" s="2996"/>
      <c r="P28" s="3686"/>
      <c r="Q28" s="2070" t="str">
        <f t="shared" si="11"/>
        <v>楼层</v>
      </c>
      <c r="R28" s="1725" t="s">
        <v>25</v>
      </c>
      <c r="S28" s="1726">
        <f t="shared" ref="S28:S46" si="12">F28</f>
        <v>100</v>
      </c>
      <c r="T28" s="1725" t="s">
        <v>25</v>
      </c>
      <c r="U28" s="1726">
        <f t="shared" ref="U28:U46" si="13">H28</f>
        <v>100</v>
      </c>
      <c r="V28" s="1725" t="s">
        <v>25</v>
      </c>
      <c r="W28" s="1726">
        <f t="shared" ref="W28:W46" si="14">J28</f>
        <v>100</v>
      </c>
      <c r="X28" s="2073"/>
      <c r="Y28" s="3673"/>
      <c r="Z28" s="2077" t="str">
        <f t="shared" ref="Z28:Z46" si="15">Q28</f>
        <v>楼层</v>
      </c>
      <c r="AA28" s="2068">
        <f t="shared" si="3"/>
        <v>1</v>
      </c>
      <c r="AB28" s="2068">
        <f t="shared" si="4"/>
        <v>1</v>
      </c>
      <c r="AC28" s="206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8"/>
      <c r="L29" s="3000"/>
      <c r="M29" s="2996"/>
      <c r="N29" s="2996"/>
      <c r="O29" s="2996"/>
      <c r="P29" s="3686"/>
      <c r="Q29" s="2070">
        <f t="shared" si="11"/>
        <v>111</v>
      </c>
      <c r="R29" s="1725" t="s">
        <v>25</v>
      </c>
      <c r="S29" s="1726">
        <f t="shared" si="12"/>
        <v>100</v>
      </c>
      <c r="T29" s="1725" t="s">
        <v>25</v>
      </c>
      <c r="U29" s="1726">
        <f t="shared" si="13"/>
        <v>100</v>
      </c>
      <c r="V29" s="1725" t="s">
        <v>25</v>
      </c>
      <c r="W29" s="1726">
        <f t="shared" si="14"/>
        <v>100</v>
      </c>
      <c r="X29" s="2073"/>
      <c r="Y29" s="3673"/>
      <c r="Z29" s="2077">
        <f t="shared" si="15"/>
        <v>111</v>
      </c>
      <c r="AA29" s="2068">
        <f t="shared" si="3"/>
        <v>1</v>
      </c>
      <c r="AB29" s="2068">
        <f t="shared" si="4"/>
        <v>1</v>
      </c>
      <c r="AC29" s="206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8"/>
      <c r="L30" s="3000"/>
      <c r="M30" s="2996"/>
      <c r="N30" s="2996"/>
      <c r="O30" s="2996"/>
      <c r="P30" s="3686"/>
      <c r="Q30" s="2070">
        <f t="shared" si="11"/>
        <v>111</v>
      </c>
      <c r="R30" s="1725" t="s">
        <v>25</v>
      </c>
      <c r="S30" s="1726">
        <f t="shared" si="12"/>
        <v>100</v>
      </c>
      <c r="T30" s="1725" t="s">
        <v>25</v>
      </c>
      <c r="U30" s="1726">
        <f t="shared" si="13"/>
        <v>100</v>
      </c>
      <c r="V30" s="1725" t="s">
        <v>25</v>
      </c>
      <c r="W30" s="1726">
        <f t="shared" si="14"/>
        <v>100</v>
      </c>
      <c r="X30" s="2073"/>
      <c r="Y30" s="3673"/>
      <c r="Z30" s="2077">
        <f t="shared" si="15"/>
        <v>111</v>
      </c>
      <c r="AA30" s="2068">
        <f t="shared" si="3"/>
        <v>1</v>
      </c>
      <c r="AB30" s="2068">
        <f t="shared" si="4"/>
        <v>1</v>
      </c>
      <c r="AC30" s="2068">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8"/>
      <c r="L31" s="3000"/>
      <c r="M31" s="2996"/>
      <c r="N31" s="2996"/>
      <c r="O31" s="2996"/>
      <c r="P31" s="3686"/>
      <c r="Q31" s="2070">
        <f t="shared" si="11"/>
        <v>111</v>
      </c>
      <c r="R31" s="1725" t="s">
        <v>25</v>
      </c>
      <c r="S31" s="1726">
        <f t="shared" si="12"/>
        <v>100</v>
      </c>
      <c r="T31" s="1725" t="s">
        <v>25</v>
      </c>
      <c r="U31" s="1726">
        <f t="shared" si="13"/>
        <v>100</v>
      </c>
      <c r="V31" s="1725" t="s">
        <v>25</v>
      </c>
      <c r="W31" s="1726">
        <f t="shared" si="14"/>
        <v>100</v>
      </c>
      <c r="X31" s="2073"/>
      <c r="Y31" s="3673"/>
      <c r="Z31" s="2077">
        <f t="shared" si="15"/>
        <v>111</v>
      </c>
      <c r="AA31" s="2068">
        <f t="shared" si="3"/>
        <v>1</v>
      </c>
      <c r="AB31" s="2068">
        <f t="shared" si="4"/>
        <v>1</v>
      </c>
      <c r="AC31" s="2068">
        <f t="shared" si="5"/>
        <v>1</v>
      </c>
    </row>
    <row r="32" spans="1:29" ht="1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1"/>
      <c r="L32" s="3000"/>
      <c r="M32" s="2996"/>
      <c r="N32" s="2996"/>
      <c r="O32" s="2996"/>
      <c r="P32" s="3674" t="s">
        <v>2275</v>
      </c>
      <c r="Q32" s="2070" t="str">
        <f t="shared" si="11"/>
        <v>商业类型</v>
      </c>
      <c r="R32" s="1725" t="s">
        <v>25</v>
      </c>
      <c r="S32" s="1726">
        <f t="shared" si="12"/>
        <v>100</v>
      </c>
      <c r="T32" s="1725" t="s">
        <v>25</v>
      </c>
      <c r="U32" s="1726">
        <f t="shared" si="13"/>
        <v>100</v>
      </c>
      <c r="V32" s="1725" t="s">
        <v>25</v>
      </c>
      <c r="W32" s="1726">
        <f t="shared" si="14"/>
        <v>100</v>
      </c>
      <c r="X32" s="2073"/>
      <c r="Y32" s="3677" t="s">
        <v>2275</v>
      </c>
      <c r="Z32" s="2077" t="str">
        <f t="shared" si="15"/>
        <v>商业类型</v>
      </c>
      <c r="AA32" s="2068">
        <f t="shared" si="3"/>
        <v>1</v>
      </c>
      <c r="AB32" s="2068">
        <f t="shared" si="4"/>
        <v>1</v>
      </c>
      <c r="AC32" s="2068">
        <f t="shared" si="5"/>
        <v>1</v>
      </c>
    </row>
    <row r="33" spans="1:29" s="1770" customFormat="1" ht="15">
      <c r="A33" s="1763"/>
      <c r="B33" s="1695" t="s">
        <v>2276</v>
      </c>
      <c r="C33" s="1764"/>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8"/>
      <c r="L33" s="2999"/>
      <c r="M33" s="2058"/>
      <c r="N33" s="2058"/>
      <c r="O33" s="2058"/>
      <c r="P33" s="3675"/>
      <c r="Q33" s="1765" t="str">
        <f t="shared" si="11"/>
        <v>项目建筑规模</v>
      </c>
      <c r="R33" s="1766" t="s">
        <v>25</v>
      </c>
      <c r="S33" s="1767" t="e">
        <f t="shared" si="12"/>
        <v>#N/A</v>
      </c>
      <c r="T33" s="1766" t="s">
        <v>25</v>
      </c>
      <c r="U33" s="1767" t="e">
        <f t="shared" si="13"/>
        <v>#N/A</v>
      </c>
      <c r="V33" s="1766" t="s">
        <v>25</v>
      </c>
      <c r="W33" s="1767" t="e">
        <f t="shared" si="14"/>
        <v>#N/A</v>
      </c>
      <c r="X33" s="1768"/>
      <c r="Y33" s="3677"/>
      <c r="Z33" s="1769" t="str">
        <f t="shared" si="15"/>
        <v>项目建筑规模</v>
      </c>
      <c r="AA33" s="2068" t="e">
        <f t="shared" si="3"/>
        <v>#N/A</v>
      </c>
      <c r="AB33" s="2068" t="e">
        <f t="shared" si="4"/>
        <v>#N/A</v>
      </c>
      <c r="AC33" s="2068" t="e">
        <f t="shared" si="5"/>
        <v>#N/A</v>
      </c>
    </row>
    <row r="34" spans="1:29" ht="15">
      <c r="A34" s="1771"/>
      <c r="B34" s="1695" t="s">
        <v>2277</v>
      </c>
      <c r="C34" s="1772"/>
      <c r="D34" s="1711">
        <v>100</v>
      </c>
      <c r="E34" s="1773"/>
      <c r="F34" s="1754">
        <f>SUMIF(105:105,E34,106:106)-SUMIF(105:105,C34,106:106)+100</f>
        <v>100</v>
      </c>
      <c r="G34" s="1772"/>
      <c r="H34" s="1711">
        <f>SUMIF(105:105,G34,106:106)-SUMIF(105:105,C34,106:106)+100</f>
        <v>100</v>
      </c>
      <c r="I34" s="1772"/>
      <c r="J34" s="1711">
        <f>SUMIF(105:105,I34,106:106)-SUMIF(105:105,C34,106:106)+100</f>
        <v>100</v>
      </c>
      <c r="K34" s="1991"/>
      <c r="L34" s="3000"/>
      <c r="M34" s="2996"/>
      <c r="N34" s="2996"/>
      <c r="O34" s="2996"/>
      <c r="P34" s="3675"/>
      <c r="Q34" s="2070" t="str">
        <f t="shared" si="11"/>
        <v>建筑结构</v>
      </c>
      <c r="R34" s="1725" t="s">
        <v>25</v>
      </c>
      <c r="S34" s="1726">
        <f t="shared" si="12"/>
        <v>100</v>
      </c>
      <c r="T34" s="1725" t="s">
        <v>25</v>
      </c>
      <c r="U34" s="1726">
        <f t="shared" si="13"/>
        <v>100</v>
      </c>
      <c r="V34" s="1725" t="s">
        <v>25</v>
      </c>
      <c r="W34" s="1726">
        <f t="shared" si="14"/>
        <v>100</v>
      </c>
      <c r="X34" s="2073"/>
      <c r="Y34" s="3677"/>
      <c r="Z34" s="2077" t="str">
        <f t="shared" si="15"/>
        <v>建筑结构</v>
      </c>
      <c r="AA34" s="2068">
        <f t="shared" si="3"/>
        <v>1</v>
      </c>
      <c r="AB34" s="2068">
        <f t="shared" si="4"/>
        <v>1</v>
      </c>
      <c r="AC34" s="2068">
        <f t="shared" si="5"/>
        <v>1</v>
      </c>
    </row>
    <row r="35" spans="1:29" ht="15">
      <c r="A35" s="1771"/>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1"/>
      <c r="L35" s="3000"/>
      <c r="M35" s="2996"/>
      <c r="N35" s="2996"/>
      <c r="O35" s="2996"/>
      <c r="P35" s="3675"/>
      <c r="Q35" s="2070" t="str">
        <f t="shared" si="11"/>
        <v>公共部分装修</v>
      </c>
      <c r="R35" s="1725" t="s">
        <v>25</v>
      </c>
      <c r="S35" s="1726">
        <f t="shared" si="12"/>
        <v>100</v>
      </c>
      <c r="T35" s="1725" t="s">
        <v>25</v>
      </c>
      <c r="U35" s="1726">
        <f t="shared" si="13"/>
        <v>100</v>
      </c>
      <c r="V35" s="1725" t="s">
        <v>25</v>
      </c>
      <c r="W35" s="1726">
        <f t="shared" si="14"/>
        <v>100</v>
      </c>
      <c r="X35" s="2073"/>
      <c r="Y35" s="3677"/>
      <c r="Z35" s="2077" t="str">
        <f t="shared" si="15"/>
        <v>公共部分装修</v>
      </c>
      <c r="AA35" s="2068">
        <f t="shared" si="3"/>
        <v>1</v>
      </c>
      <c r="AB35" s="2068">
        <f t="shared" si="4"/>
        <v>1</v>
      </c>
      <c r="AC35" s="2068">
        <f t="shared" si="5"/>
        <v>1</v>
      </c>
    </row>
    <row r="36" spans="1:29" ht="15">
      <c r="A36" s="1771"/>
      <c r="B36" s="1695" t="s">
        <v>2363</v>
      </c>
      <c r="C36" s="1775"/>
      <c r="D36" s="1711">
        <v>100</v>
      </c>
      <c r="E36" s="1775"/>
      <c r="F36" s="1754" t="e">
        <f>LOOKUP(E36,110:110,111:111)-LOOKUP(C36,110:110,111:111)+100</f>
        <v>#N/A</v>
      </c>
      <c r="G36" s="1775"/>
      <c r="H36" s="1754" t="e">
        <f>LOOKUP(G36,110:110,111:111)-LOOKUP(C36,110:110,111:111)+100</f>
        <v>#N/A</v>
      </c>
      <c r="I36" s="1775"/>
      <c r="J36" s="1711" t="e">
        <f>LOOKUP(I36,110:110,111:111)-LOOKUP(C36,110:110,111:111)+100</f>
        <v>#N/A</v>
      </c>
      <c r="K36" s="1991"/>
      <c r="L36" s="3000"/>
      <c r="M36" s="2996"/>
      <c r="N36" s="2996"/>
      <c r="O36" s="2996"/>
      <c r="P36" s="3675"/>
      <c r="Q36" s="2070" t="str">
        <f t="shared" si="11"/>
        <v>成新度</v>
      </c>
      <c r="R36" s="1725" t="s">
        <v>25</v>
      </c>
      <c r="S36" s="1726" t="e">
        <f t="shared" si="12"/>
        <v>#N/A</v>
      </c>
      <c r="T36" s="1725" t="s">
        <v>25</v>
      </c>
      <c r="U36" s="1726" t="e">
        <f t="shared" si="13"/>
        <v>#N/A</v>
      </c>
      <c r="V36" s="1725" t="s">
        <v>25</v>
      </c>
      <c r="W36" s="1726" t="e">
        <f t="shared" si="14"/>
        <v>#N/A</v>
      </c>
      <c r="X36" s="2073"/>
      <c r="Y36" s="3677"/>
      <c r="Z36" s="2077" t="str">
        <f t="shared" si="15"/>
        <v>成新度</v>
      </c>
      <c r="AA36" s="2068" t="e">
        <f t="shared" si="3"/>
        <v>#N/A</v>
      </c>
      <c r="AB36" s="2068" t="e">
        <f t="shared" si="4"/>
        <v>#N/A</v>
      </c>
      <c r="AC36" s="2068" t="e">
        <f t="shared" si="5"/>
        <v>#N/A</v>
      </c>
    </row>
    <row r="37" spans="1:29" s="1685" customFormat="1" ht="15">
      <c r="A37" s="1774"/>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1"/>
      <c r="L37" s="2995"/>
      <c r="M37" s="2968"/>
      <c r="N37" s="2968"/>
      <c r="O37" s="2968"/>
      <c r="P37" s="3675"/>
      <c r="Q37" s="2064" t="str">
        <f t="shared" si="11"/>
        <v>市政基础设施</v>
      </c>
      <c r="R37" s="1681" t="s">
        <v>25</v>
      </c>
      <c r="S37" s="1682">
        <f t="shared" si="12"/>
        <v>100</v>
      </c>
      <c r="T37" s="1681" t="s">
        <v>25</v>
      </c>
      <c r="U37" s="1682">
        <f t="shared" si="13"/>
        <v>100</v>
      </c>
      <c r="V37" s="1681" t="s">
        <v>25</v>
      </c>
      <c r="W37" s="1682">
        <f t="shared" si="14"/>
        <v>100</v>
      </c>
      <c r="X37" s="1683"/>
      <c r="Y37" s="3677"/>
      <c r="Z37" s="1693" t="str">
        <f t="shared" si="15"/>
        <v>市政基础设施</v>
      </c>
      <c r="AA37" s="1684">
        <f t="shared" si="3"/>
        <v>1</v>
      </c>
      <c r="AB37" s="1684">
        <f t="shared" si="4"/>
        <v>1</v>
      </c>
      <c r="AC37" s="1684">
        <f t="shared" si="5"/>
        <v>1</v>
      </c>
    </row>
    <row r="38" spans="1:29" ht="15">
      <c r="A38" s="1771"/>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1"/>
      <c r="L38" s="3000"/>
      <c r="M38" s="2996"/>
      <c r="N38" s="2996"/>
      <c r="O38" s="2996"/>
      <c r="P38" s="3675" t="s">
        <v>2275</v>
      </c>
      <c r="Q38" s="2070" t="str">
        <f t="shared" si="11"/>
        <v>业态</v>
      </c>
      <c r="R38" s="1725" t="s">
        <v>25</v>
      </c>
      <c r="S38" s="1726">
        <f t="shared" si="12"/>
        <v>100</v>
      </c>
      <c r="T38" s="1725" t="s">
        <v>25</v>
      </c>
      <c r="U38" s="1726">
        <f t="shared" si="13"/>
        <v>100</v>
      </c>
      <c r="V38" s="1725" t="s">
        <v>25</v>
      </c>
      <c r="W38" s="1726">
        <f t="shared" si="14"/>
        <v>100</v>
      </c>
      <c r="X38" s="2073"/>
      <c r="Y38" s="3677" t="s">
        <v>2275</v>
      </c>
      <c r="Z38" s="2077" t="str">
        <f t="shared" si="15"/>
        <v>业态</v>
      </c>
      <c r="AA38" s="2068">
        <f t="shared" si="3"/>
        <v>1</v>
      </c>
      <c r="AB38" s="2068">
        <f t="shared" si="4"/>
        <v>1</v>
      </c>
      <c r="AC38" s="2068">
        <f t="shared" si="5"/>
        <v>1</v>
      </c>
    </row>
    <row r="39" spans="1:29" ht="15">
      <c r="A39" s="1771"/>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1"/>
      <c r="L39" s="3000"/>
      <c r="M39" s="2996"/>
      <c r="N39" s="2996"/>
      <c r="O39" s="2996"/>
      <c r="P39" s="3675"/>
      <c r="Q39" s="2070" t="str">
        <f t="shared" si="11"/>
        <v>层高</v>
      </c>
      <c r="R39" s="1725" t="s">
        <v>25</v>
      </c>
      <c r="S39" s="1726">
        <f t="shared" si="12"/>
        <v>100</v>
      </c>
      <c r="T39" s="1725" t="s">
        <v>25</v>
      </c>
      <c r="U39" s="1726">
        <f t="shared" si="13"/>
        <v>100</v>
      </c>
      <c r="V39" s="1725" t="s">
        <v>25</v>
      </c>
      <c r="W39" s="1726">
        <f t="shared" si="14"/>
        <v>100</v>
      </c>
      <c r="X39" s="2073"/>
      <c r="Y39" s="3677"/>
      <c r="Z39" s="2077" t="str">
        <f t="shared" si="15"/>
        <v>层高</v>
      </c>
      <c r="AA39" s="2068">
        <f t="shared" si="3"/>
        <v>1</v>
      </c>
      <c r="AB39" s="2068">
        <f t="shared" si="4"/>
        <v>1</v>
      </c>
      <c r="AC39" s="2068">
        <f t="shared" si="5"/>
        <v>1</v>
      </c>
    </row>
    <row r="40" spans="1:29" ht="15">
      <c r="A40" s="1771"/>
      <c r="B40" s="1695" t="s">
        <v>2367</v>
      </c>
      <c r="C40" s="2476"/>
      <c r="D40" s="1711">
        <v>100</v>
      </c>
      <c r="E40" s="2477"/>
      <c r="F40" s="1754">
        <f>SUMIF(118:118,E40,119:119)-SUMIF(118:118,C40,119:119)+100</f>
        <v>100</v>
      </c>
      <c r="G40" s="2477"/>
      <c r="H40" s="1711">
        <f>SUMIF(118:118,G40,119:119)-SUMIF(118:118,C40,119:119)+100</f>
        <v>100</v>
      </c>
      <c r="I40" s="2477"/>
      <c r="J40" s="1711">
        <f>SUMIF(118:118,I40,119:119)-SUMIF(118:118,C40,119:119)+100</f>
        <v>100</v>
      </c>
      <c r="K40" s="1988"/>
      <c r="L40" s="3000"/>
      <c r="M40" s="2996"/>
      <c r="N40" s="2996"/>
      <c r="O40" s="2996"/>
      <c r="P40" s="3675"/>
      <c r="Q40" s="2070" t="str">
        <f t="shared" si="11"/>
        <v>单套建筑面积</v>
      </c>
      <c r="R40" s="1725" t="s">
        <v>25</v>
      </c>
      <c r="S40" s="1726">
        <f t="shared" si="12"/>
        <v>100</v>
      </c>
      <c r="T40" s="1725" t="s">
        <v>25</v>
      </c>
      <c r="U40" s="1726">
        <f t="shared" si="13"/>
        <v>100</v>
      </c>
      <c r="V40" s="1725" t="s">
        <v>25</v>
      </c>
      <c r="W40" s="1726">
        <f t="shared" si="14"/>
        <v>100</v>
      </c>
      <c r="X40" s="2073"/>
      <c r="Y40" s="3677"/>
      <c r="Z40" s="2077" t="str">
        <f t="shared" si="15"/>
        <v>单套建筑面积</v>
      </c>
      <c r="AA40" s="2068">
        <f t="shared" si="3"/>
        <v>1</v>
      </c>
      <c r="AB40" s="2068">
        <f t="shared" si="4"/>
        <v>1</v>
      </c>
      <c r="AC40" s="2068">
        <f t="shared" si="5"/>
        <v>1</v>
      </c>
    </row>
    <row r="41" spans="1:29" s="1770" customFormat="1" ht="15">
      <c r="A41" s="1763"/>
      <c r="B41" s="2069" t="s">
        <v>2368</v>
      </c>
      <c r="C41" s="1990"/>
      <c r="D41" s="1711">
        <v>100</v>
      </c>
      <c r="E41" s="1990"/>
      <c r="F41" s="1754">
        <f>SUMIF(120:120,E41,121:121)-SUMIF(120:120,C41,121:121)+100</f>
        <v>100</v>
      </c>
      <c r="G41" s="1990"/>
      <c r="H41" s="1711">
        <f>SUMIF(120:120,G41,121:121)-SUMIF(120:120,C41,121:121)+100</f>
        <v>100</v>
      </c>
      <c r="I41" s="1990"/>
      <c r="J41" s="1711">
        <f>SUMIF(120:120,I41,121:121)-SUMIF(120:120,C41,121:121)+100</f>
        <v>100</v>
      </c>
      <c r="K41" s="1991"/>
      <c r="L41" s="2999"/>
      <c r="M41" s="2058"/>
      <c r="N41" s="2058"/>
      <c r="O41" s="2058"/>
      <c r="P41" s="3675"/>
      <c r="Q41" s="1765" t="str">
        <f t="shared" si="11"/>
        <v>进深比</v>
      </c>
      <c r="R41" s="1766" t="s">
        <v>25</v>
      </c>
      <c r="S41" s="1767">
        <f t="shared" si="12"/>
        <v>100</v>
      </c>
      <c r="T41" s="1766" t="s">
        <v>25</v>
      </c>
      <c r="U41" s="1767">
        <f t="shared" si="13"/>
        <v>100</v>
      </c>
      <c r="V41" s="1766" t="s">
        <v>25</v>
      </c>
      <c r="W41" s="1767">
        <f t="shared" si="14"/>
        <v>100</v>
      </c>
      <c r="X41" s="1768"/>
      <c r="Y41" s="3677"/>
      <c r="Z41" s="1769" t="str">
        <f t="shared" si="15"/>
        <v>进深比</v>
      </c>
      <c r="AA41" s="2068">
        <f t="shared" si="3"/>
        <v>1</v>
      </c>
      <c r="AB41" s="2068">
        <f t="shared" si="4"/>
        <v>1</v>
      </c>
      <c r="AC41" s="2068">
        <f t="shared" si="5"/>
        <v>1</v>
      </c>
    </row>
    <row r="42" spans="1:29" ht="15">
      <c r="A42" s="1771"/>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1"/>
      <c r="L42" s="3000"/>
      <c r="M42" s="2996"/>
      <c r="N42" s="2996"/>
      <c r="O42" s="2996"/>
      <c r="P42" s="3675"/>
      <c r="Q42" s="2070" t="str">
        <f t="shared" si="11"/>
        <v>内部装修</v>
      </c>
      <c r="R42" s="1725" t="s">
        <v>25</v>
      </c>
      <c r="S42" s="1726">
        <f t="shared" si="12"/>
        <v>100</v>
      </c>
      <c r="T42" s="1725" t="s">
        <v>25</v>
      </c>
      <c r="U42" s="1726">
        <f t="shared" si="13"/>
        <v>100</v>
      </c>
      <c r="V42" s="1725" t="s">
        <v>25</v>
      </c>
      <c r="W42" s="1726">
        <f t="shared" si="14"/>
        <v>100</v>
      </c>
      <c r="X42" s="2073"/>
      <c r="Y42" s="3677"/>
      <c r="Z42" s="2077" t="str">
        <f t="shared" si="15"/>
        <v>内部装修</v>
      </c>
      <c r="AA42" s="2068">
        <f t="shared" si="3"/>
        <v>1</v>
      </c>
      <c r="AB42" s="2068">
        <f t="shared" si="4"/>
        <v>1</v>
      </c>
      <c r="AC42" s="2068">
        <f t="shared" si="5"/>
        <v>1</v>
      </c>
    </row>
    <row r="43" spans="1:29" ht="15">
      <c r="A43" s="1771"/>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1"/>
      <c r="L43" s="3000"/>
      <c r="M43" s="2996"/>
      <c r="N43" s="2996"/>
      <c r="O43" s="2996"/>
      <c r="P43" s="3675"/>
      <c r="Q43" s="2070" t="str">
        <f t="shared" si="11"/>
        <v>内部装修维护情况</v>
      </c>
      <c r="R43" s="1725" t="s">
        <v>25</v>
      </c>
      <c r="S43" s="1726">
        <f t="shared" si="12"/>
        <v>100</v>
      </c>
      <c r="T43" s="1725" t="s">
        <v>25</v>
      </c>
      <c r="U43" s="1726">
        <f t="shared" si="13"/>
        <v>100</v>
      </c>
      <c r="V43" s="1725" t="s">
        <v>25</v>
      </c>
      <c r="W43" s="1726">
        <f t="shared" si="14"/>
        <v>100</v>
      </c>
      <c r="X43" s="2073"/>
      <c r="Y43" s="3677"/>
      <c r="Z43" s="2077" t="str">
        <f t="shared" si="15"/>
        <v>内部装修维护情况</v>
      </c>
      <c r="AA43" s="2068">
        <f t="shared" si="3"/>
        <v>1</v>
      </c>
      <c r="AB43" s="2068">
        <f t="shared" si="4"/>
        <v>1</v>
      </c>
      <c r="AC43" s="2068">
        <f t="shared" si="5"/>
        <v>1</v>
      </c>
    </row>
    <row r="44" spans="1:29" s="1685" customFormat="1" ht="15">
      <c r="A44" s="1774"/>
      <c r="B44" s="1760">
        <v>111</v>
      </c>
      <c r="C44" s="1764"/>
      <c r="D44" s="1697">
        <v>100</v>
      </c>
      <c r="E44" s="1710"/>
      <c r="F44" s="1699">
        <f>SUMIF(126:126,E44,127:127)-SUMIF(126:126,C44,127:127)+100</f>
        <v>100</v>
      </c>
      <c r="G44" s="1710"/>
      <c r="H44" s="1697">
        <f>SUMIF(126:126,G44,127:127)-SUMIF(126:126,C44,127:127)+100</f>
        <v>100</v>
      </c>
      <c r="I44" s="1710"/>
      <c r="J44" s="1697">
        <f>SUMIF(126:126,I44,127:127)-SUMIF(126:126,C44,127:127)+100</f>
        <v>100</v>
      </c>
      <c r="K44" s="1988"/>
      <c r="L44" s="2995"/>
      <c r="M44" s="2968"/>
      <c r="N44" s="2968"/>
      <c r="O44" s="2968"/>
      <c r="P44" s="3675"/>
      <c r="Q44" s="2064">
        <f t="shared" si="11"/>
        <v>111</v>
      </c>
      <c r="R44" s="1681" t="s">
        <v>25</v>
      </c>
      <c r="S44" s="1682">
        <f t="shared" si="12"/>
        <v>100</v>
      </c>
      <c r="T44" s="1681" t="s">
        <v>25</v>
      </c>
      <c r="U44" s="1682">
        <f t="shared" si="13"/>
        <v>100</v>
      </c>
      <c r="V44" s="1681" t="s">
        <v>25</v>
      </c>
      <c r="W44" s="1682">
        <f t="shared" si="14"/>
        <v>100</v>
      </c>
      <c r="X44" s="1683"/>
      <c r="Y44" s="3677"/>
      <c r="Z44" s="1693">
        <f t="shared" si="15"/>
        <v>111</v>
      </c>
      <c r="AA44" s="1684">
        <f t="shared" si="3"/>
        <v>1</v>
      </c>
      <c r="AB44" s="1684">
        <f t="shared" si="4"/>
        <v>1</v>
      </c>
      <c r="AC44" s="1684">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8"/>
      <c r="L45" s="3000"/>
      <c r="M45" s="2996"/>
      <c r="N45" s="2996"/>
      <c r="O45" s="2996"/>
      <c r="P45" s="3675"/>
      <c r="Q45" s="2070">
        <f t="shared" si="11"/>
        <v>111</v>
      </c>
      <c r="R45" s="1725" t="s">
        <v>25</v>
      </c>
      <c r="S45" s="1726">
        <f t="shared" si="12"/>
        <v>100</v>
      </c>
      <c r="T45" s="1725" t="s">
        <v>25</v>
      </c>
      <c r="U45" s="1726">
        <f t="shared" si="13"/>
        <v>100</v>
      </c>
      <c r="V45" s="1725" t="s">
        <v>25</v>
      </c>
      <c r="W45" s="1726">
        <f t="shared" si="14"/>
        <v>100</v>
      </c>
      <c r="X45" s="2073"/>
      <c r="Y45" s="3677"/>
      <c r="Z45" s="2077">
        <f t="shared" si="15"/>
        <v>111</v>
      </c>
      <c r="AA45" s="2068">
        <f t="shared" si="3"/>
        <v>1</v>
      </c>
      <c r="AB45" s="2068">
        <f t="shared" si="4"/>
        <v>1</v>
      </c>
      <c r="AC45" s="2068">
        <f t="shared" si="5"/>
        <v>1</v>
      </c>
    </row>
    <row r="46" spans="1:29" ht="15.75" thickBot="1">
      <c r="A46" s="1779"/>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8"/>
      <c r="L46" s="3000"/>
      <c r="M46" s="2996"/>
      <c r="N46" s="2996"/>
      <c r="O46" s="2996"/>
      <c r="P46" s="3676"/>
      <c r="Q46" s="2070">
        <f t="shared" si="11"/>
        <v>111</v>
      </c>
      <c r="R46" s="1725" t="s">
        <v>25</v>
      </c>
      <c r="S46" s="1726">
        <f t="shared" si="12"/>
        <v>100</v>
      </c>
      <c r="T46" s="1725" t="s">
        <v>25</v>
      </c>
      <c r="U46" s="1726">
        <f t="shared" si="13"/>
        <v>100</v>
      </c>
      <c r="V46" s="1725" t="s">
        <v>25</v>
      </c>
      <c r="W46" s="1726">
        <f t="shared" si="14"/>
        <v>100</v>
      </c>
      <c r="X46" s="2073"/>
      <c r="Y46" s="3678"/>
      <c r="Z46" s="2077">
        <f t="shared" si="15"/>
        <v>111</v>
      </c>
      <c r="AA46" s="2068">
        <f t="shared" si="3"/>
        <v>1</v>
      </c>
      <c r="AB46" s="2068">
        <f t="shared" si="4"/>
        <v>1</v>
      </c>
      <c r="AC46" s="2068">
        <f t="shared" si="5"/>
        <v>1</v>
      </c>
    </row>
    <row r="47" spans="1:29" ht="15">
      <c r="A47" s="1780" t="s">
        <v>2287</v>
      </c>
      <c r="B47" s="1781"/>
      <c r="C47" s="1782" t="s">
        <v>1</v>
      </c>
      <c r="D47" s="1783"/>
      <c r="E47" s="1784"/>
      <c r="F47" s="1785"/>
      <c r="G47" s="1786"/>
      <c r="H47" s="1787"/>
      <c r="I47" s="1784"/>
      <c r="J47" s="1787"/>
      <c r="K47" s="2012"/>
      <c r="L47" s="3001"/>
      <c r="N47" s="2996"/>
      <c r="P47" s="3683" t="str">
        <f>A47</f>
        <v>成交单价（元/平方米）</v>
      </c>
      <c r="Q47" s="3683"/>
      <c r="R47" s="3684">
        <f>E47</f>
        <v>0</v>
      </c>
      <c r="S47" s="3684"/>
      <c r="T47" s="3684">
        <f>G47</f>
        <v>0</v>
      </c>
      <c r="U47" s="3684"/>
      <c r="V47" s="3684">
        <f>I47</f>
        <v>0</v>
      </c>
      <c r="W47" s="3684"/>
      <c r="X47" s="1790"/>
      <c r="Y47" s="2072"/>
      <c r="Z47" s="1790"/>
      <c r="AA47" s="1790"/>
      <c r="AB47" s="1790"/>
      <c r="AC47" s="1790"/>
    </row>
    <row r="48" spans="1:29" ht="15.75" thickBot="1">
      <c r="A48" s="1792" t="s">
        <v>2370</v>
      </c>
      <c r="B48" s="1793"/>
      <c r="C48" s="1794" t="e">
        <f>R49</f>
        <v>#DIV/0!</v>
      </c>
      <c r="D48" s="1795" t="s">
        <v>2744</v>
      </c>
      <c r="E48" s="1796" t="e">
        <f>R48</f>
        <v>#DIV/0!</v>
      </c>
      <c r="F48" s="1797"/>
      <c r="G48" s="1794" t="e">
        <f>T48</f>
        <v>#DIV/0!</v>
      </c>
      <c r="H48" s="1797"/>
      <c r="I48" s="1796" t="e">
        <f>V48</f>
        <v>#DIV/0!</v>
      </c>
      <c r="J48" s="1797"/>
      <c r="K48" s="2509">
        <f>F48+H48+J48</f>
        <v>0</v>
      </c>
      <c r="L48" s="3001"/>
      <c r="N48" s="2996"/>
      <c r="P48" s="3683" t="str">
        <f>A48</f>
        <v>比较价值（元/平方米）</v>
      </c>
      <c r="Q48" s="3683"/>
      <c r="R48" s="3684" t="e">
        <f>IF(E1="售价",ROUND(PRODUCT(R47,AA7:AA46),0),ROUND(PRODUCT(R47,AA7:AA46),1))</f>
        <v>#DIV/0!</v>
      </c>
      <c r="S48" s="3684"/>
      <c r="T48" s="3684" t="e">
        <f>IF(E1="售价",ROUND(PRODUCT(T47,AB7:AB46),0),ROUND(PRODUCT(T47,AB7:AB46),1))</f>
        <v>#DIV/0!</v>
      </c>
      <c r="U48" s="3684"/>
      <c r="V48" s="3684" t="e">
        <f>IF(E1="售价",ROUND(PRODUCT(V47,AC7:AC46),0),ROUND(PRODUCT(V47,AC7:AC46),1))</f>
        <v>#DIV/0!</v>
      </c>
      <c r="W48" s="3684"/>
      <c r="X48" s="1790"/>
      <c r="Y48" s="1790"/>
      <c r="Z48" s="1790"/>
      <c r="AA48" s="1790"/>
      <c r="AB48" s="1790"/>
      <c r="AC48" s="1790"/>
    </row>
    <row r="49" spans="1:29" ht="15.75" thickBot="1">
      <c r="A49" s="1798" t="s">
        <v>2371</v>
      </c>
      <c r="B49" s="1799"/>
      <c r="C49" s="1801" t="e">
        <f>R49</f>
        <v>#DIV/0!</v>
      </c>
      <c r="D49" s="1801"/>
      <c r="E49" s="1801"/>
      <c r="F49" s="1801"/>
      <c r="G49" s="1801"/>
      <c r="H49" s="1801"/>
      <c r="I49" s="1801"/>
      <c r="J49" s="1801"/>
      <c r="K49" s="2017"/>
      <c r="L49" s="3001"/>
      <c r="N49" s="2996"/>
      <c r="P49" s="3689" t="str">
        <f>A49</f>
        <v>估价对象XX用房的比较价值（楼面单价，元/平方米）</v>
      </c>
      <c r="Q49" s="3690"/>
      <c r="R49" s="3691" t="e">
        <f>IF(E1="售价",ROUND(IF(D48="简单平均",AVERAGE(R48:V48),R48*F48+T48*H48+V48*J48),0),ROUND(IF(D48="简单平均",AVERAGE(R48:V48),R48*F48+T48*H48+V48*J48),1))</f>
        <v>#DIV/0!</v>
      </c>
      <c r="S49" s="3691"/>
      <c r="T49" s="3691"/>
      <c r="U49" s="3691"/>
      <c r="V49" s="3691"/>
      <c r="W49" s="3691"/>
      <c r="X49" s="1790"/>
      <c r="Y49" s="1790"/>
      <c r="Z49" s="1790"/>
      <c r="AA49" s="1790"/>
      <c r="AB49" s="1790"/>
      <c r="AC49" s="1790"/>
    </row>
    <row r="50" spans="1:29">
      <c r="G50" s="3005"/>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2372</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2373</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2374</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8"/>
      <c r="L54" s="3002"/>
      <c r="P54" s="2479"/>
      <c r="Q54" s="1810"/>
      <c r="R54" s="1810"/>
      <c r="S54" s="1810"/>
      <c r="T54" s="1810"/>
      <c r="U54" s="1810"/>
      <c r="V54" s="1810"/>
      <c r="W54" s="1810"/>
      <c r="X54" s="1810"/>
      <c r="Y54" s="1810"/>
      <c r="Z54" s="1810"/>
      <c r="AA54" s="1810"/>
      <c r="AB54" s="1810"/>
      <c r="AC54" s="1810"/>
    </row>
    <row r="55" spans="1:29" s="1812" customFormat="1">
      <c r="B55" s="3006"/>
      <c r="C55" s="3007"/>
      <c r="K55" s="3008"/>
      <c r="L55" s="3002"/>
      <c r="P55" s="2479"/>
      <c r="Q55" s="1810"/>
      <c r="R55" s="1810"/>
      <c r="S55" s="1810"/>
      <c r="T55" s="1810"/>
      <c r="U55" s="1810"/>
      <c r="V55" s="1810"/>
      <c r="W55" s="1810"/>
      <c r="X55" s="1810"/>
      <c r="Y55" s="1810"/>
      <c r="Z55" s="1810"/>
      <c r="AA55" s="1810"/>
      <c r="AB55" s="1810"/>
      <c r="AC55" s="1810"/>
    </row>
    <row r="56" spans="1:29">
      <c r="B56" s="3006"/>
      <c r="C56" s="3007"/>
      <c r="P56" s="2478"/>
      <c r="Q56" s="1789"/>
      <c r="R56" s="1789"/>
      <c r="S56" s="1789"/>
      <c r="T56" s="1789"/>
      <c r="U56" s="1789"/>
      <c r="V56" s="1789"/>
      <c r="W56" s="1789"/>
      <c r="X56" s="1789"/>
      <c r="Y56" s="1789"/>
      <c r="Z56" s="1789"/>
      <c r="AA56" s="1789"/>
      <c r="AB56" s="1789"/>
      <c r="AC56" s="1789"/>
    </row>
    <row r="57" spans="1:29" ht="21.75" thickBot="1">
      <c r="A57" s="1815" t="s">
        <v>2375</v>
      </c>
      <c r="B57" s="1790"/>
      <c r="C57" s="1816"/>
      <c r="D57" s="1816"/>
      <c r="E57" s="1816"/>
      <c r="F57" s="1816"/>
      <c r="G57" s="1816"/>
      <c r="H57" s="1816"/>
      <c r="I57" s="1816"/>
      <c r="J57" s="1816"/>
      <c r="K57" s="1817"/>
      <c r="L57" s="2043"/>
      <c r="M57" s="2041"/>
      <c r="N57" s="3004"/>
      <c r="O57" s="3004"/>
      <c r="P57" s="2480"/>
      <c r="Q57" s="2481"/>
      <c r="R57" s="1789"/>
      <c r="S57" s="1789"/>
      <c r="T57" s="1789"/>
      <c r="U57" s="1789"/>
      <c r="V57" s="1789"/>
      <c r="W57" s="1789"/>
      <c r="X57" s="1789"/>
      <c r="Y57" s="1789"/>
      <c r="Z57" s="1789"/>
      <c r="AA57" s="1789"/>
      <c r="AB57" s="1789"/>
      <c r="AC57" s="1789"/>
    </row>
    <row r="58" spans="1:29" s="1826" customFormat="1" ht="15">
      <c r="A58" s="1821" t="s">
        <v>2258</v>
      </c>
      <c r="B58" s="1822"/>
      <c r="C58" s="1823" t="str">
        <f>YEAR(C7)&amp;"-"&amp;MONTH(C7)</f>
        <v>2006-10</v>
      </c>
      <c r="D58" s="1824">
        <f>EDATE(C58,-1)</f>
        <v>38961</v>
      </c>
      <c r="E58" s="1824">
        <f t="shared" ref="E58:O58" si="16">EDATE(D58,-1)</f>
        <v>38930</v>
      </c>
      <c r="F58" s="1824">
        <f t="shared" si="16"/>
        <v>38899</v>
      </c>
      <c r="G58" s="1824">
        <f t="shared" si="16"/>
        <v>38869</v>
      </c>
      <c r="H58" s="1824">
        <f t="shared" si="16"/>
        <v>38838</v>
      </c>
      <c r="I58" s="1824">
        <f t="shared" si="16"/>
        <v>38808</v>
      </c>
      <c r="J58" s="1824">
        <f t="shared" si="16"/>
        <v>38777</v>
      </c>
      <c r="K58" s="1824">
        <f t="shared" si="16"/>
        <v>38749</v>
      </c>
      <c r="L58" s="1824">
        <f t="shared" si="16"/>
        <v>38718</v>
      </c>
      <c r="M58" s="1824">
        <f t="shared" si="16"/>
        <v>38687</v>
      </c>
      <c r="N58" s="1824">
        <f t="shared" si="16"/>
        <v>38657</v>
      </c>
      <c r="O58" s="1824">
        <f t="shared" si="16"/>
        <v>38626</v>
      </c>
      <c r="P58" s="1825"/>
    </row>
    <row r="59" spans="1:29" s="1685" customFormat="1" ht="15">
      <c r="A59" s="1827"/>
      <c r="B59" s="1828"/>
      <c r="C59" s="1829">
        <v>100</v>
      </c>
      <c r="D59" s="1830"/>
      <c r="E59" s="1830"/>
      <c r="F59" s="1830"/>
      <c r="G59" s="1830"/>
      <c r="H59" s="1830"/>
      <c r="I59" s="1830"/>
      <c r="J59" s="1830"/>
      <c r="K59" s="1830"/>
      <c r="L59" s="1830"/>
      <c r="M59" s="1831"/>
      <c r="N59" s="1830"/>
      <c r="O59" s="1831"/>
      <c r="P59" s="1832"/>
    </row>
    <row r="60" spans="1:29" s="1685" customFormat="1" ht="15.75" thickBot="1">
      <c r="A60" s="1833" t="s">
        <v>2295</v>
      </c>
      <c r="B60" s="1834"/>
      <c r="C60" s="1835"/>
      <c r="D60" s="1836"/>
      <c r="E60" s="1836"/>
      <c r="F60" s="1836"/>
      <c r="G60" s="1836"/>
      <c r="H60" s="1836"/>
      <c r="I60" s="1836"/>
      <c r="J60" s="1836"/>
      <c r="K60" s="1836"/>
      <c r="L60" s="1836"/>
      <c r="M60" s="1837"/>
      <c r="N60" s="1836"/>
      <c r="O60" s="1837"/>
      <c r="P60" s="1832"/>
      <c r="Q60" s="1820"/>
    </row>
    <row r="61" spans="1:29" s="1685" customFormat="1" ht="15">
      <c r="A61" s="1838" t="s">
        <v>2260</v>
      </c>
      <c r="B61" s="1828"/>
      <c r="C61" s="1839" t="s">
        <v>2261</v>
      </c>
      <c r="D61" s="409"/>
      <c r="E61" s="409"/>
      <c r="F61" s="409"/>
      <c r="G61" s="409"/>
      <c r="H61" s="409"/>
      <c r="I61" s="409"/>
      <c r="J61" s="409"/>
      <c r="K61" s="409"/>
      <c r="L61" s="409"/>
      <c r="M61" s="1840"/>
      <c r="N61" s="3013"/>
      <c r="O61" s="3013"/>
      <c r="P61" s="1842"/>
      <c r="Q61" s="1820"/>
    </row>
    <row r="62" spans="1:29" s="1685" customFormat="1" ht="15.75" thickBot="1">
      <c r="A62" s="1838"/>
      <c r="B62" s="1828"/>
      <c r="C62" s="1843">
        <v>100</v>
      </c>
      <c r="D62" s="1830"/>
      <c r="E62" s="1830"/>
      <c r="F62" s="1830"/>
      <c r="G62" s="1830"/>
      <c r="H62" s="1830"/>
      <c r="I62" s="1830"/>
      <c r="J62" s="1830"/>
      <c r="K62" s="1830"/>
      <c r="L62" s="1830"/>
      <c r="M62" s="1844"/>
      <c r="N62" s="3013"/>
      <c r="O62" s="3013"/>
      <c r="P62" s="1832"/>
      <c r="Q62" s="1820"/>
    </row>
    <row r="63" spans="1:29">
      <c r="A63" s="1845" t="s">
        <v>2298</v>
      </c>
      <c r="B63" s="1846" t="s">
        <v>2264</v>
      </c>
      <c r="C63" s="1847">
        <f>C9</f>
        <v>0</v>
      </c>
      <c r="D63" s="1848"/>
      <c r="E63" s="1848"/>
      <c r="F63" s="1848"/>
      <c r="G63" s="1848"/>
      <c r="H63" s="1848"/>
      <c r="I63" s="1848"/>
      <c r="J63" s="1848"/>
      <c r="K63" s="417"/>
      <c r="L63" s="417"/>
      <c r="M63" s="1849"/>
      <c r="N63" s="3014"/>
      <c r="O63" s="3014"/>
      <c r="P63" s="1851"/>
      <c r="Q63" s="1820"/>
    </row>
    <row r="64" spans="1:29" ht="15.75" thickBot="1">
      <c r="A64" s="1852"/>
      <c r="B64" s="1853"/>
      <c r="C64" s="1854">
        <v>100</v>
      </c>
      <c r="D64" s="1854"/>
      <c r="E64" s="1854"/>
      <c r="F64" s="1854"/>
      <c r="G64" s="1854"/>
      <c r="H64" s="1854"/>
      <c r="I64" s="1854"/>
      <c r="J64" s="1854"/>
      <c r="K64" s="1854"/>
      <c r="L64" s="1854"/>
      <c r="M64" s="1855"/>
      <c r="N64" s="3015"/>
      <c r="O64" s="3015"/>
      <c r="P64" s="1851"/>
      <c r="Q64" s="1820"/>
    </row>
    <row r="65" spans="1:17" ht="27.75" thickTop="1">
      <c r="A65" s="1852"/>
      <c r="B65" s="1857" t="s">
        <v>2267</v>
      </c>
      <c r="C65" s="1858" t="s">
        <v>2299</v>
      </c>
      <c r="D65" s="1858" t="s">
        <v>2300</v>
      </c>
      <c r="E65" s="1858" t="s">
        <v>2301</v>
      </c>
      <c r="F65" s="1858" t="s">
        <v>2302</v>
      </c>
      <c r="G65" s="1858" t="s">
        <v>2303</v>
      </c>
      <c r="H65" s="1858" t="s">
        <v>2304</v>
      </c>
      <c r="I65" s="1858" t="s">
        <v>2305</v>
      </c>
      <c r="J65" s="1858"/>
      <c r="K65" s="428"/>
      <c r="L65" s="428"/>
      <c r="M65" s="1859"/>
      <c r="N65" s="3014"/>
      <c r="O65" s="3014"/>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5"/>
      <c r="O66" s="3015"/>
      <c r="P66" s="1851"/>
      <c r="Q66" s="1820"/>
    </row>
    <row r="67" spans="1:17" ht="15.75" thickTop="1">
      <c r="A67" s="1852"/>
      <c r="B67" s="1863" t="s">
        <v>2268</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1" t="str">
        <f>M68&amp;"（含）"&amp;"-"&amp;P68</f>
        <v>（含）-</v>
      </c>
      <c r="N67" s="3015"/>
      <c r="O67" s="3015"/>
      <c r="P67" s="1851"/>
      <c r="Q67" s="1820"/>
    </row>
    <row r="68" spans="1:17" ht="15">
      <c r="A68" s="1852"/>
      <c r="B68" s="1865"/>
      <c r="C68" s="1866"/>
      <c r="D68" s="1866"/>
      <c r="E68" s="1866"/>
      <c r="F68" s="1866"/>
      <c r="G68" s="1866"/>
      <c r="H68" s="1866"/>
      <c r="I68" s="1866"/>
      <c r="J68" s="1866"/>
      <c r="K68" s="438"/>
      <c r="L68" s="438"/>
      <c r="M68" s="1867"/>
      <c r="N68" s="3014"/>
      <c r="O68" s="3014"/>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5"/>
      <c r="O69" s="3015"/>
      <c r="P69" s="1851"/>
      <c r="Q69" s="1820"/>
    </row>
    <row r="70" spans="1:17" s="1770" customFormat="1" ht="15.75" thickTop="1">
      <c r="A70" s="1868"/>
      <c r="B70" s="1857">
        <f>B12</f>
        <v>111</v>
      </c>
      <c r="C70" s="468"/>
      <c r="D70" s="468"/>
      <c r="E70" s="468"/>
      <c r="F70" s="468"/>
      <c r="G70" s="468"/>
      <c r="H70" s="443"/>
      <c r="I70" s="443"/>
      <c r="J70" s="443"/>
      <c r="K70" s="443"/>
      <c r="L70" s="443"/>
      <c r="M70" s="1869"/>
      <c r="N70" s="3016"/>
      <c r="O70" s="3016"/>
      <c r="P70" s="1871"/>
      <c r="Q70" s="1872"/>
    </row>
    <row r="71" spans="1:17" s="1770" customFormat="1" ht="15.75" thickBot="1">
      <c r="A71" s="1868"/>
      <c r="B71" s="1860"/>
      <c r="C71" s="1873"/>
      <c r="D71" s="1854"/>
      <c r="E71" s="1854"/>
      <c r="F71" s="1854"/>
      <c r="G71" s="1854"/>
      <c r="H71" s="1854"/>
      <c r="I71" s="1854"/>
      <c r="J71" s="1854"/>
      <c r="K71" s="1854"/>
      <c r="L71" s="1854"/>
      <c r="M71" s="1855"/>
      <c r="N71" s="3015"/>
      <c r="O71" s="3015"/>
      <c r="P71" s="1871"/>
      <c r="Q71" s="1872"/>
    </row>
    <row r="72" spans="1:17" s="1770" customFormat="1" ht="15.75" thickTop="1">
      <c r="A72" s="1868"/>
      <c r="B72" s="1857">
        <f>B13</f>
        <v>111</v>
      </c>
      <c r="C72" s="468"/>
      <c r="D72" s="468"/>
      <c r="E72" s="468"/>
      <c r="F72" s="468"/>
      <c r="G72" s="468"/>
      <c r="H72" s="443"/>
      <c r="I72" s="443"/>
      <c r="J72" s="443"/>
      <c r="K72" s="443"/>
      <c r="L72" s="443"/>
      <c r="M72" s="1869"/>
      <c r="N72" s="3016"/>
      <c r="O72" s="3016"/>
      <c r="P72" s="1874"/>
      <c r="Q72" s="1875"/>
    </row>
    <row r="73" spans="1:17" s="1770" customFormat="1" ht="15.75" thickBot="1">
      <c r="A73" s="1868"/>
      <c r="B73" s="1860"/>
      <c r="C73" s="1873"/>
      <c r="D73" s="1854"/>
      <c r="E73" s="1854"/>
      <c r="F73" s="1854"/>
      <c r="G73" s="1873"/>
      <c r="H73" s="1876"/>
      <c r="I73" s="1876"/>
      <c r="J73" s="1876"/>
      <c r="K73" s="1876"/>
      <c r="L73" s="1876"/>
      <c r="M73" s="1877"/>
      <c r="N73" s="3016"/>
      <c r="O73" s="3016"/>
      <c r="P73" s="1871"/>
      <c r="Q73" s="1872"/>
    </row>
    <row r="74" spans="1:17" s="1770" customFormat="1" ht="15.75" thickTop="1">
      <c r="A74" s="1868"/>
      <c r="B74" s="1863">
        <f>B14</f>
        <v>111</v>
      </c>
      <c r="C74" s="468"/>
      <c r="D74" s="468"/>
      <c r="E74" s="468"/>
      <c r="F74" s="468"/>
      <c r="G74" s="409"/>
      <c r="H74" s="453"/>
      <c r="I74" s="453"/>
      <c r="J74" s="453"/>
      <c r="K74" s="453"/>
      <c r="L74" s="453"/>
      <c r="M74" s="1878"/>
      <c r="N74" s="3016"/>
      <c r="O74" s="3016"/>
      <c r="P74" s="1871"/>
      <c r="Q74" s="1872"/>
    </row>
    <row r="75" spans="1:17" s="1770" customFormat="1" ht="15.75" thickBot="1">
      <c r="A75" s="1879"/>
      <c r="B75" s="1880"/>
      <c r="C75" s="1881"/>
      <c r="D75" s="1881"/>
      <c r="E75" s="1881"/>
      <c r="F75" s="1881"/>
      <c r="G75" s="1881"/>
      <c r="H75" s="1882"/>
      <c r="I75" s="1882"/>
      <c r="J75" s="1882"/>
      <c r="K75" s="1882"/>
      <c r="L75" s="1882"/>
      <c r="M75" s="1883"/>
      <c r="N75" s="3016"/>
      <c r="O75" s="3016"/>
      <c r="P75" s="1871"/>
      <c r="Q75" s="1872"/>
    </row>
    <row r="76" spans="1:17">
      <c r="A76" s="1845" t="s">
        <v>2269</v>
      </c>
      <c r="B76" s="1846" t="s">
        <v>2306</v>
      </c>
      <c r="C76" s="1884" t="s">
        <v>2307</v>
      </c>
      <c r="D76" s="1884" t="s">
        <v>2308</v>
      </c>
      <c r="E76" s="1884" t="s">
        <v>2309</v>
      </c>
      <c r="F76" s="1884" t="s">
        <v>2310</v>
      </c>
      <c r="G76" s="1884" t="s">
        <v>2311</v>
      </c>
      <c r="H76" s="1847"/>
      <c r="I76" s="1847"/>
      <c r="J76" s="1847"/>
      <c r="K76" s="463"/>
      <c r="L76" s="463"/>
      <c r="M76" s="1885"/>
      <c r="N76" s="3014"/>
      <c r="O76" s="3014"/>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5"/>
      <c r="O77" s="3015"/>
      <c r="P77" s="1851"/>
      <c r="Q77" s="1820"/>
    </row>
    <row r="78" spans="1:17" ht="15.75" thickTop="1">
      <c r="A78" s="1852"/>
      <c r="B78" s="1857" t="s">
        <v>2312</v>
      </c>
      <c r="C78" s="579" t="s">
        <v>2307</v>
      </c>
      <c r="D78" s="579" t="s">
        <v>2308</v>
      </c>
      <c r="E78" s="579" t="s">
        <v>2309</v>
      </c>
      <c r="F78" s="579" t="s">
        <v>2310</v>
      </c>
      <c r="G78" s="579" t="s">
        <v>2311</v>
      </c>
      <c r="H78" s="1858"/>
      <c r="I78" s="1858"/>
      <c r="J78" s="1858"/>
      <c r="K78" s="428"/>
      <c r="L78" s="428"/>
      <c r="M78" s="1859"/>
      <c r="N78" s="3014"/>
      <c r="O78" s="3014"/>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5"/>
      <c r="O79" s="3015"/>
      <c r="P79" s="1851"/>
      <c r="Q79" s="1820"/>
    </row>
    <row r="80" spans="1:17" ht="15.75" thickTop="1">
      <c r="A80" s="1852"/>
      <c r="B80" s="1857" t="s">
        <v>2313</v>
      </c>
      <c r="C80" s="579" t="s">
        <v>2307</v>
      </c>
      <c r="D80" s="579" t="s">
        <v>2308</v>
      </c>
      <c r="E80" s="579" t="s">
        <v>2309</v>
      </c>
      <c r="F80" s="579" t="s">
        <v>2310</v>
      </c>
      <c r="G80" s="579" t="s">
        <v>2311</v>
      </c>
      <c r="H80" s="1858"/>
      <c r="I80" s="1858"/>
      <c r="J80" s="1858"/>
      <c r="K80" s="428"/>
      <c r="L80" s="428"/>
      <c r="M80" s="1859"/>
      <c r="N80" s="3014"/>
      <c r="O80" s="3014"/>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5"/>
      <c r="O81" s="3015"/>
      <c r="P81" s="1851"/>
      <c r="Q81" s="1820"/>
    </row>
    <row r="82" spans="1:17" ht="15.75" thickTop="1">
      <c r="A82" s="1852"/>
      <c r="B82" s="1863" t="s">
        <v>2356</v>
      </c>
      <c r="C82" s="1858" t="s">
        <v>2314</v>
      </c>
      <c r="D82" s="1858" t="s">
        <v>2315</v>
      </c>
      <c r="E82" s="1858" t="s">
        <v>2316</v>
      </c>
      <c r="F82" s="1858" t="s">
        <v>2317</v>
      </c>
      <c r="G82" s="1858" t="s">
        <v>2318</v>
      </c>
      <c r="H82" s="1858"/>
      <c r="I82" s="1858"/>
      <c r="J82" s="1858"/>
      <c r="K82" s="1858"/>
      <c r="L82" s="1858"/>
      <c r="M82" s="1886"/>
      <c r="N82" s="3015"/>
      <c r="O82" s="3015"/>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3015"/>
      <c r="O83" s="3015"/>
      <c r="P83" s="1851"/>
      <c r="Q83" s="1820"/>
    </row>
    <row r="84" spans="1:17" ht="15.75" thickTop="1">
      <c r="A84" s="1852"/>
      <c r="B84" s="1857" t="s">
        <v>2319</v>
      </c>
      <c r="C84" s="579" t="s">
        <v>2307</v>
      </c>
      <c r="D84" s="579" t="s">
        <v>2308</v>
      </c>
      <c r="E84" s="579" t="s">
        <v>2309</v>
      </c>
      <c r="F84" s="579" t="s">
        <v>2310</v>
      </c>
      <c r="G84" s="579" t="s">
        <v>2311</v>
      </c>
      <c r="H84" s="1858"/>
      <c r="I84" s="1858"/>
      <c r="J84" s="1858"/>
      <c r="K84" s="428"/>
      <c r="L84" s="428"/>
      <c r="M84" s="1859"/>
      <c r="N84" s="3014"/>
      <c r="O84" s="3014"/>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5"/>
      <c r="O85" s="3015"/>
      <c r="P85" s="1851"/>
      <c r="Q85" s="1820"/>
    </row>
    <row r="86" spans="1:17" s="1685" customFormat="1" ht="15.75" thickTop="1">
      <c r="A86" s="1888"/>
      <c r="B86" s="1857" t="s">
        <v>2376</v>
      </c>
      <c r="C86" s="468"/>
      <c r="D86" s="468"/>
      <c r="E86" s="468"/>
      <c r="F86" s="468"/>
      <c r="G86" s="468"/>
      <c r="H86" s="468"/>
      <c r="I86" s="468"/>
      <c r="J86" s="468"/>
      <c r="K86" s="468"/>
      <c r="L86" s="468"/>
      <c r="M86" s="1889"/>
      <c r="N86" s="3013"/>
      <c r="O86" s="3013"/>
      <c r="P86" s="1851"/>
      <c r="Q86" s="1820"/>
    </row>
    <row r="87" spans="1:17" s="1685"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5"/>
      <c r="O87" s="3015"/>
      <c r="P87" s="1851"/>
      <c r="Q87" s="1820"/>
    </row>
    <row r="88" spans="1:17" s="1685" customFormat="1" ht="15.75" thickTop="1">
      <c r="A88" s="1888"/>
      <c r="B88" s="1857" t="str">
        <f>B26</f>
        <v>平面位置/可视性</v>
      </c>
      <c r="C88" s="468"/>
      <c r="D88" s="468"/>
      <c r="E88" s="468"/>
      <c r="F88" s="1891"/>
      <c r="G88" s="468"/>
      <c r="H88" s="468"/>
      <c r="I88" s="468"/>
      <c r="J88" s="468"/>
      <c r="K88" s="468"/>
      <c r="L88" s="468"/>
      <c r="M88" s="1889"/>
      <c r="N88" s="3013"/>
      <c r="O88" s="3013"/>
      <c r="P88" s="1851"/>
      <c r="Q88" s="1820"/>
    </row>
    <row r="89" spans="1:17" s="1685" customFormat="1" ht="15.75" thickBot="1">
      <c r="A89" s="1888"/>
      <c r="B89" s="1860"/>
      <c r="C89" s="1873"/>
      <c r="D89" s="1854"/>
      <c r="E89" s="1854"/>
      <c r="F89" s="1854"/>
      <c r="G89" s="1854"/>
      <c r="H89" s="1854"/>
      <c r="I89" s="1854"/>
      <c r="J89" s="1854"/>
      <c r="K89" s="1854"/>
      <c r="L89" s="1854"/>
      <c r="M89" s="1854"/>
      <c r="N89" s="3015"/>
      <c r="O89" s="3015"/>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6"/>
      <c r="O90" s="3016"/>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6"/>
      <c r="O91" s="3016"/>
      <c r="P91" s="1871"/>
      <c r="Q91" s="1872"/>
    </row>
    <row r="92" spans="1:17" ht="15.75" thickTop="1">
      <c r="A92" s="1852"/>
      <c r="B92" s="1857" t="str">
        <f>B28</f>
        <v>楼层</v>
      </c>
      <c r="C92" s="468"/>
      <c r="D92" s="468"/>
      <c r="E92" s="468"/>
      <c r="F92" s="468"/>
      <c r="G92" s="468"/>
      <c r="H92" s="468"/>
      <c r="I92" s="468"/>
      <c r="J92" s="468"/>
      <c r="K92" s="468"/>
      <c r="L92" s="468"/>
      <c r="M92" s="1889"/>
      <c r="N92" s="3014"/>
      <c r="O92" s="3014"/>
      <c r="P92" s="1851"/>
      <c r="Q92" s="1820"/>
    </row>
    <row r="93" spans="1:17" ht="15.75" thickBot="1">
      <c r="A93" s="1852"/>
      <c r="B93" s="1860"/>
      <c r="C93" s="1854"/>
      <c r="D93" s="1854"/>
      <c r="E93" s="1854"/>
      <c r="F93" s="1854"/>
      <c r="G93" s="1854"/>
      <c r="H93" s="1854"/>
      <c r="I93" s="1854"/>
      <c r="J93" s="1854"/>
      <c r="K93" s="1854"/>
      <c r="L93" s="1854"/>
      <c r="M93" s="1855"/>
      <c r="N93" s="3015"/>
      <c r="O93" s="3015"/>
      <c r="P93" s="1851"/>
      <c r="Q93" s="1820"/>
    </row>
    <row r="94" spans="1:17" ht="15.75" thickTop="1">
      <c r="A94" s="1852"/>
      <c r="B94" s="1857">
        <f>B29</f>
        <v>111</v>
      </c>
      <c r="C94" s="468"/>
      <c r="D94" s="468"/>
      <c r="E94" s="468"/>
      <c r="F94" s="468"/>
      <c r="G94" s="1578"/>
      <c r="H94" s="1578"/>
      <c r="I94" s="1578"/>
      <c r="J94" s="1578"/>
      <c r="K94" s="473"/>
      <c r="L94" s="473"/>
      <c r="M94" s="1892"/>
      <c r="N94" s="3014"/>
      <c r="O94" s="3014"/>
      <c r="P94" s="1851"/>
      <c r="Q94" s="1820"/>
    </row>
    <row r="95" spans="1:17" ht="15.75" thickBot="1">
      <c r="A95" s="1852"/>
      <c r="B95" s="1860"/>
      <c r="C95" s="1873"/>
      <c r="D95" s="1854"/>
      <c r="E95" s="1854"/>
      <c r="F95" s="1854"/>
      <c r="G95" s="1854"/>
      <c r="H95" s="1854"/>
      <c r="I95" s="1854"/>
      <c r="J95" s="1854"/>
      <c r="K95" s="1854"/>
      <c r="L95" s="1854"/>
      <c r="M95" s="1855"/>
      <c r="N95" s="3015"/>
      <c r="O95" s="3015"/>
      <c r="P95" s="1851"/>
      <c r="Q95" s="1820"/>
    </row>
    <row r="96" spans="1:17" ht="15.75" thickTop="1">
      <c r="A96" s="1852"/>
      <c r="B96" s="1857">
        <f>B30</f>
        <v>111</v>
      </c>
      <c r="C96" s="468"/>
      <c r="D96" s="468"/>
      <c r="E96" s="468"/>
      <c r="F96" s="468"/>
      <c r="G96" s="1578"/>
      <c r="H96" s="1578"/>
      <c r="I96" s="1578"/>
      <c r="J96" s="1578"/>
      <c r="K96" s="473"/>
      <c r="L96" s="473"/>
      <c r="M96" s="1892"/>
      <c r="N96" s="3014"/>
      <c r="O96" s="3014"/>
      <c r="P96" s="1851"/>
      <c r="Q96" s="1820"/>
    </row>
    <row r="97" spans="1:17" ht="15.75" thickBot="1">
      <c r="A97" s="1852"/>
      <c r="B97" s="1860"/>
      <c r="C97" s="1873"/>
      <c r="D97" s="1854"/>
      <c r="E97" s="1854"/>
      <c r="F97" s="1854"/>
      <c r="G97" s="1854"/>
      <c r="H97" s="1854"/>
      <c r="I97" s="1854"/>
      <c r="J97" s="1854"/>
      <c r="K97" s="1854"/>
      <c r="L97" s="1854"/>
      <c r="M97" s="1855"/>
      <c r="N97" s="3015"/>
      <c r="O97" s="3015"/>
      <c r="P97" s="1851"/>
      <c r="Q97" s="1820"/>
    </row>
    <row r="98" spans="1:17" ht="15.75" thickTop="1">
      <c r="A98" s="1852"/>
      <c r="B98" s="1863">
        <f>B31</f>
        <v>111</v>
      </c>
      <c r="C98" s="468"/>
      <c r="D98" s="468"/>
      <c r="E98" s="468"/>
      <c r="F98" s="468"/>
      <c r="G98" s="1893"/>
      <c r="H98" s="1893"/>
      <c r="I98" s="1893"/>
      <c r="J98" s="1893"/>
      <c r="K98" s="477"/>
      <c r="L98" s="477"/>
      <c r="M98" s="1894"/>
      <c r="N98" s="3014"/>
      <c r="O98" s="3014"/>
      <c r="P98" s="1851"/>
      <c r="Q98" s="1820"/>
    </row>
    <row r="99" spans="1:17" ht="15.75" thickBot="1">
      <c r="A99" s="1895"/>
      <c r="B99" s="1880"/>
      <c r="C99" s="1881"/>
      <c r="D99" s="1881"/>
      <c r="E99" s="1881"/>
      <c r="F99" s="1881"/>
      <c r="G99" s="1896"/>
      <c r="H99" s="1896"/>
      <c r="I99" s="1896"/>
      <c r="J99" s="1896"/>
      <c r="K99" s="1896"/>
      <c r="L99" s="1896"/>
      <c r="M99" s="1897"/>
      <c r="N99" s="3015"/>
      <c r="O99" s="3015"/>
      <c r="P99" s="1851"/>
      <c r="Q99" s="1820"/>
    </row>
    <row r="100" spans="1:17">
      <c r="A100" s="1845" t="s">
        <v>2273</v>
      </c>
      <c r="B100" s="1846" t="s">
        <v>2377</v>
      </c>
      <c r="C100" s="1848"/>
      <c r="D100" s="1848"/>
      <c r="E100" s="1848"/>
      <c r="F100" s="1848"/>
      <c r="G100" s="1848"/>
      <c r="H100" s="1848"/>
      <c r="I100" s="1848"/>
      <c r="J100" s="1848"/>
      <c r="K100" s="417"/>
      <c r="L100" s="417"/>
      <c r="M100" s="1849"/>
      <c r="N100" s="3014"/>
      <c r="O100" s="3014"/>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5"/>
      <c r="O101" s="3015"/>
      <c r="P101" s="1851"/>
      <c r="Q101" s="1820"/>
    </row>
    <row r="102" spans="1:17" ht="15.75" thickTop="1">
      <c r="A102" s="1852"/>
      <c r="B102" s="1857"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3"/>
      <c r="O102" s="3013"/>
      <c r="P102" s="1851"/>
      <c r="Q102" s="1820"/>
    </row>
    <row r="103" spans="1:17" s="1770" customFormat="1">
      <c r="A103" s="1898"/>
      <c r="B103" s="1899"/>
      <c r="C103" s="1900"/>
      <c r="D103" s="1900"/>
      <c r="E103" s="1900"/>
      <c r="F103" s="1900"/>
      <c r="G103" s="1900"/>
      <c r="H103" s="1900"/>
      <c r="I103" s="1900"/>
      <c r="J103" s="485"/>
      <c r="K103" s="485"/>
      <c r="L103" s="485"/>
      <c r="M103" s="1901"/>
      <c r="N103" s="3016"/>
      <c r="O103" s="3016"/>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5"/>
      <c r="O104" s="3015"/>
      <c r="P104" s="1871"/>
      <c r="Q104" s="1872"/>
    </row>
    <row r="105" spans="1:17" ht="15" thickTop="1">
      <c r="A105" s="1902"/>
      <c r="B105" s="1857" t="s">
        <v>2324</v>
      </c>
      <c r="C105" s="468"/>
      <c r="D105" s="468"/>
      <c r="E105" s="1578"/>
      <c r="F105" s="1578"/>
      <c r="G105" s="1578"/>
      <c r="H105" s="1578"/>
      <c r="I105" s="1578"/>
      <c r="J105" s="1578"/>
      <c r="K105" s="473"/>
      <c r="L105" s="473"/>
      <c r="M105" s="1892"/>
      <c r="N105" s="3014"/>
      <c r="O105" s="3014"/>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5"/>
      <c r="O106" s="3015"/>
      <c r="P106" s="1851"/>
      <c r="Q106" s="1820"/>
    </row>
    <row r="107" spans="1:17" ht="15" thickTop="1">
      <c r="A107" s="1902"/>
      <c r="B107" s="1857" t="s">
        <v>2326</v>
      </c>
      <c r="C107" s="468"/>
      <c r="D107" s="468"/>
      <c r="E107" s="468"/>
      <c r="F107" s="1578"/>
      <c r="G107" s="1578"/>
      <c r="H107" s="1578"/>
      <c r="I107" s="1578"/>
      <c r="J107" s="1578"/>
      <c r="K107" s="473"/>
      <c r="L107" s="473"/>
      <c r="M107" s="1892"/>
      <c r="N107" s="3014"/>
      <c r="O107" s="3014"/>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5"/>
      <c r="O108" s="3015"/>
      <c r="P108" s="1851"/>
      <c r="Q108" s="1820"/>
    </row>
    <row r="109" spans="1:17" ht="15" thickTop="1">
      <c r="A109" s="1902"/>
      <c r="B109" s="1857"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2"/>
      <c r="N109" s="3014"/>
      <c r="O109" s="3014"/>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4"/>
      <c r="O110" s="3014"/>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5"/>
      <c r="O111" s="3015"/>
      <c r="P111" s="1851"/>
      <c r="Q111" s="1820"/>
    </row>
    <row r="112" spans="1:17" s="1770" customFormat="1" ht="15" thickTop="1">
      <c r="A112" s="1898"/>
      <c r="B112" s="1857" t="s">
        <v>2329</v>
      </c>
      <c r="C112" s="468"/>
      <c r="D112" s="468"/>
      <c r="E112" s="468"/>
      <c r="F112" s="468"/>
      <c r="G112" s="468"/>
      <c r="H112" s="1578"/>
      <c r="I112" s="1578"/>
      <c r="J112" s="1578"/>
      <c r="K112" s="473"/>
      <c r="L112" s="473"/>
      <c r="M112" s="1892"/>
      <c r="N112" s="3016"/>
      <c r="O112" s="3016"/>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6"/>
      <c r="O113" s="3016"/>
      <c r="P113" s="1871"/>
      <c r="Q113" s="1872"/>
    </row>
    <row r="114" spans="1:17" ht="15" thickTop="1">
      <c r="A114" s="1902"/>
      <c r="B114" s="1857" t="s">
        <v>2378</v>
      </c>
      <c r="C114" s="468"/>
      <c r="D114" s="468"/>
      <c r="E114" s="1578"/>
      <c r="F114" s="1578"/>
      <c r="G114" s="1578"/>
      <c r="H114" s="1578"/>
      <c r="I114" s="1578"/>
      <c r="J114" s="1578"/>
      <c r="K114" s="473"/>
      <c r="L114" s="473"/>
      <c r="M114" s="1892"/>
      <c r="N114" s="3014"/>
      <c r="O114" s="3014"/>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5"/>
      <c r="O115" s="3015"/>
      <c r="P115" s="1851"/>
      <c r="Q115" s="1820"/>
    </row>
    <row r="116" spans="1:17" ht="15" thickTop="1">
      <c r="A116" s="1902"/>
      <c r="B116" s="1857" t="s">
        <v>2379</v>
      </c>
      <c r="C116" s="468"/>
      <c r="D116" s="468"/>
      <c r="E116" s="468"/>
      <c r="F116" s="468"/>
      <c r="G116" s="468"/>
      <c r="H116" s="1578"/>
      <c r="I116" s="1578"/>
      <c r="J116" s="1578"/>
      <c r="K116" s="473"/>
      <c r="L116" s="473"/>
      <c r="M116" s="1892"/>
      <c r="N116" s="3014"/>
      <c r="O116" s="3014"/>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5"/>
      <c r="O117" s="3015"/>
      <c r="P117" s="1851"/>
      <c r="Q117" s="1820"/>
    </row>
    <row r="118" spans="1:17" ht="15" thickTop="1">
      <c r="A118" s="1902"/>
      <c r="B118" s="1857" t="s">
        <v>2380</v>
      </c>
      <c r="C118" s="2484"/>
      <c r="D118" s="2484"/>
      <c r="E118" s="2484"/>
      <c r="F118" s="2484"/>
      <c r="G118" s="2484"/>
      <c r="H118" s="443"/>
      <c r="I118" s="443"/>
      <c r="J118" s="443"/>
      <c r="K118" s="443"/>
      <c r="L118" s="443"/>
      <c r="M118" s="1869"/>
      <c r="N118" s="3014"/>
      <c r="O118" s="3014"/>
      <c r="P118" s="1851"/>
      <c r="Q118" s="1820"/>
    </row>
    <row r="119" spans="1:17" ht="15.75" thickBot="1">
      <c r="A119" s="1852"/>
      <c r="B119" s="1860"/>
      <c r="C119" s="1873"/>
      <c r="D119" s="1854"/>
      <c r="E119" s="1854"/>
      <c r="F119" s="1854"/>
      <c r="G119" s="1854"/>
      <c r="H119" s="1854"/>
      <c r="I119" s="1854"/>
      <c r="J119" s="1854"/>
      <c r="K119" s="1854"/>
      <c r="L119" s="1854"/>
      <c r="M119" s="1855"/>
      <c r="N119" s="3015"/>
      <c r="O119" s="3015"/>
      <c r="P119" s="1851"/>
      <c r="Q119" s="1820"/>
    </row>
    <row r="120" spans="1:17" s="1770" customFormat="1" ht="15" thickTop="1">
      <c r="A120" s="1898"/>
      <c r="B120" s="1857" t="s">
        <v>2381</v>
      </c>
      <c r="C120" s="1578"/>
      <c r="D120" s="1578"/>
      <c r="E120" s="1578"/>
      <c r="F120" s="1578"/>
      <c r="G120" s="443"/>
      <c r="H120" s="443"/>
      <c r="I120" s="443"/>
      <c r="J120" s="443"/>
      <c r="K120" s="443"/>
      <c r="L120" s="443"/>
      <c r="M120" s="1869"/>
      <c r="N120" s="3016"/>
      <c r="O120" s="3016"/>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6"/>
      <c r="O121" s="3016"/>
      <c r="P121" s="1871"/>
      <c r="Q121" s="1872"/>
    </row>
    <row r="122" spans="1:17" ht="15" thickTop="1">
      <c r="A122" s="1902"/>
      <c r="B122" s="1857" t="s">
        <v>2331</v>
      </c>
      <c r="C122" s="468"/>
      <c r="D122" s="468"/>
      <c r="E122" s="468"/>
      <c r="F122" s="1578"/>
      <c r="G122" s="1578"/>
      <c r="H122" s="1578"/>
      <c r="I122" s="1578"/>
      <c r="J122" s="1578"/>
      <c r="K122" s="473"/>
      <c r="L122" s="473"/>
      <c r="M122" s="1892"/>
      <c r="N122" s="3014"/>
      <c r="O122" s="3014"/>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5"/>
      <c r="O123" s="3015"/>
      <c r="P123" s="1851"/>
      <c r="Q123" s="1820"/>
    </row>
    <row r="124" spans="1:17" ht="15" thickTop="1">
      <c r="A124" s="1902"/>
      <c r="B124" s="1857" t="s">
        <v>2332</v>
      </c>
      <c r="C124" s="579" t="s">
        <v>2307</v>
      </c>
      <c r="D124" s="579" t="s">
        <v>2308</v>
      </c>
      <c r="E124" s="579" t="s">
        <v>2309</v>
      </c>
      <c r="F124" s="579" t="s">
        <v>2310</v>
      </c>
      <c r="G124" s="579" t="s">
        <v>2311</v>
      </c>
      <c r="H124" s="1858"/>
      <c r="I124" s="1858"/>
      <c r="J124" s="1858"/>
      <c r="K124" s="428"/>
      <c r="L124" s="428"/>
      <c r="M124" s="1859"/>
      <c r="N124" s="3014"/>
      <c r="O124" s="3014"/>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5"/>
      <c r="O125" s="3015"/>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6"/>
      <c r="O126" s="3016"/>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6"/>
      <c r="O127" s="3016"/>
      <c r="P127" s="1871"/>
      <c r="Q127" s="1872"/>
    </row>
    <row r="128" spans="1:17" ht="15" thickTop="1">
      <c r="A128" s="1902"/>
      <c r="B128" s="1857">
        <f>B45</f>
        <v>111</v>
      </c>
      <c r="C128" s="468"/>
      <c r="D128" s="468"/>
      <c r="E128" s="468"/>
      <c r="F128" s="468"/>
      <c r="G128" s="1578"/>
      <c r="H128" s="1578"/>
      <c r="I128" s="1578"/>
      <c r="J128" s="1578"/>
      <c r="K128" s="473"/>
      <c r="L128" s="473"/>
      <c r="M128" s="1892"/>
      <c r="N128" s="3014"/>
      <c r="O128" s="3014"/>
      <c r="P128" s="1851"/>
      <c r="Q128" s="1820"/>
    </row>
    <row r="129" spans="1:17" ht="15.75" thickBot="1">
      <c r="A129" s="1852"/>
      <c r="B129" s="1860"/>
      <c r="C129" s="1873"/>
      <c r="D129" s="1854"/>
      <c r="E129" s="1854"/>
      <c r="F129" s="1854"/>
      <c r="G129" s="1854"/>
      <c r="H129" s="1854"/>
      <c r="I129" s="1854"/>
      <c r="J129" s="1854"/>
      <c r="K129" s="1854"/>
      <c r="L129" s="1854"/>
      <c r="M129" s="1855"/>
      <c r="N129" s="3015"/>
      <c r="O129" s="3015"/>
      <c r="P129" s="1851"/>
      <c r="Q129" s="1820"/>
    </row>
    <row r="130" spans="1:17" ht="15" thickTop="1">
      <c r="A130" s="1902"/>
      <c r="B130" s="1863">
        <f>B46</f>
        <v>111</v>
      </c>
      <c r="C130" s="468"/>
      <c r="D130" s="468"/>
      <c r="E130" s="468"/>
      <c r="F130" s="468"/>
      <c r="G130" s="1893"/>
      <c r="H130" s="1893"/>
      <c r="I130" s="1893"/>
      <c r="J130" s="1893"/>
      <c r="K130" s="409"/>
      <c r="L130" s="409"/>
      <c r="M130" s="1894"/>
      <c r="N130" s="3014"/>
      <c r="O130" s="3014"/>
      <c r="P130" s="1851"/>
      <c r="Q130" s="1820"/>
    </row>
    <row r="131" spans="1:17" ht="15.75" thickBot="1">
      <c r="A131" s="1895"/>
      <c r="B131" s="1880"/>
      <c r="C131" s="1881"/>
      <c r="D131" s="1881"/>
      <c r="E131" s="1881"/>
      <c r="F131" s="1881"/>
      <c r="G131" s="1896"/>
      <c r="H131" s="1896"/>
      <c r="I131" s="1896"/>
      <c r="J131" s="1896"/>
      <c r="K131" s="1896"/>
      <c r="L131" s="1896"/>
      <c r="M131" s="1897"/>
      <c r="N131" s="3015"/>
      <c r="O131" s="3015"/>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1" xr:uid="{00000000-0002-0000-1600-000014000000}">
      <formula1>"估价对象,仅计算典型户型"</formula1>
    </dataValidation>
    <dataValidation type="list" allowBlank="1" showInputMessage="1" showErrorMessage="1" sqref="C22 E22 G22 I22" xr:uid="{00000000-0002-0000-1600-000015000000}">
      <formula1>基础设施水平</formula1>
    </dataValidation>
    <dataValidation type="list" allowBlank="1" showInputMessage="1" showErrorMessage="1" sqref="E1" xr:uid="{00000000-0002-0000-1600-000016000000}">
      <formula1>"售价,租金"</formula1>
    </dataValidation>
    <dataValidation type="list" allowBlank="1" showInputMessage="1" showErrorMessage="1" sqref="D2" xr:uid="{00000000-0002-0000-1600-000017000000}">
      <formula1>"需扣减承租人权益,——"</formula1>
    </dataValidation>
    <dataValidation type="list" allowBlank="1" showInputMessage="1" showErrorMessage="1" sqref="G2" xr:uid="{00000000-0002-0000-1600-000018000000}">
      <formula1>估价方法</formula1>
    </dataValidation>
    <dataValidation type="list" allowBlank="1" showInputMessage="1" showErrorMessage="1" sqref="D48" xr:uid="{00000000-0002-0000-16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2382</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5"/>
      <c r="AC1" s="1647"/>
    </row>
    <row r="2" spans="1:29" s="1958" customFormat="1" ht="28.5" customHeight="1" thickTop="1">
      <c r="A2" s="1649" t="s">
        <v>1913</v>
      </c>
      <c r="B2" s="1650" t="e">
        <f ca="1">IF(D2="——",IF(C2="元",ROUND(C50*D3,0),ROUND(C50*D3/10000,0)),IF(C2="元",ROUND(C50*D3,0),ROUND(C50*D3/10000,0))-E2)</f>
        <v>#DIV/0!</v>
      </c>
      <c r="C2" s="1651" t="str">
        <f>'数据-取费表'!B3</f>
        <v>元</v>
      </c>
      <c r="D2" s="1652"/>
      <c r="E2" s="2486" t="e">
        <f ca="1">SUMIF(INDIRECT("'"&amp;G2&amp;"'"&amp;"!A:A"),"承租人权益价值",INDIRECT("'"&amp;G2&amp;"'"&amp;"!c:c"))</f>
        <v>#REF!</v>
      </c>
      <c r="F2" s="1654" t="str">
        <f>C2</f>
        <v>元</v>
      </c>
      <c r="G2" s="1655"/>
      <c r="H2" s="3010"/>
      <c r="I2" s="3010"/>
      <c r="J2" s="3010"/>
      <c r="K2" s="3010"/>
      <c r="L2" s="3012"/>
      <c r="M2" s="3010"/>
      <c r="N2" s="3010"/>
      <c r="O2" s="3010"/>
      <c r="P2" s="1955"/>
      <c r="Q2" s="1955"/>
      <c r="R2" s="1955"/>
      <c r="S2" s="1955"/>
      <c r="T2" s="1955"/>
      <c r="U2" s="1955"/>
      <c r="V2" s="1955"/>
      <c r="W2" s="1955"/>
      <c r="X2" s="1955"/>
      <c r="Y2" s="1955"/>
      <c r="Z2" s="1955"/>
      <c r="AA2" s="1955"/>
      <c r="AB2" s="2487"/>
      <c r="AC2" s="1963"/>
    </row>
    <row r="3" spans="1:29" s="1958" customFormat="1" ht="28.5" customHeight="1" thickBot="1">
      <c r="A3" s="1659" t="s">
        <v>1914</v>
      </c>
      <c r="B3" s="1961" t="e">
        <f ca="1">ROUND(IF(D2="——",C50,IF(C2="万元",B2*10000/D3,B2/D3)),0)</f>
        <v>#DIV/0!</v>
      </c>
      <c r="C3" s="1660" t="s">
        <v>2244</v>
      </c>
      <c r="D3" s="1660">
        <f>IF(C1="仅计算典型户型",'数据-取费表'!E5,'数据-取费表'!B5)</f>
        <v>64.19</v>
      </c>
      <c r="F3" s="3009"/>
      <c r="G3" s="3010"/>
      <c r="H3" s="3010"/>
      <c r="I3" s="3010"/>
      <c r="J3" s="3010"/>
      <c r="K3" s="3011"/>
      <c r="L3" s="3012"/>
      <c r="M3" s="3010"/>
      <c r="N3" s="3010"/>
      <c r="O3" s="3010"/>
      <c r="P3" s="3017"/>
      <c r="Q3" s="1950"/>
      <c r="R3" s="1950"/>
      <c r="S3" s="1950"/>
      <c r="T3" s="1950"/>
      <c r="U3" s="1950"/>
      <c r="V3" s="1950"/>
      <c r="W3" s="1950"/>
      <c r="X3" s="1955"/>
      <c r="Y3" s="1950"/>
      <c r="Z3" s="1950"/>
      <c r="AA3" s="1950"/>
      <c r="AB3" s="2488"/>
      <c r="AC3" s="1963"/>
    </row>
    <row r="4" spans="1:29" ht="15">
      <c r="A4" s="1663" t="s">
        <v>2245</v>
      </c>
      <c r="B4" s="1664"/>
      <c r="C4" s="3647" t="s">
        <v>2246</v>
      </c>
      <c r="D4" s="3648"/>
      <c r="E4" s="3649" t="s">
        <v>2247</v>
      </c>
      <c r="F4" s="3650"/>
      <c r="G4" s="3647" t="s">
        <v>2248</v>
      </c>
      <c r="H4" s="3648"/>
      <c r="I4" s="3647" t="s">
        <v>2249</v>
      </c>
      <c r="J4" s="3648"/>
      <c r="K4" s="1964" t="s">
        <v>2250</v>
      </c>
      <c r="L4" s="2995"/>
      <c r="M4" s="2996"/>
      <c r="N4" s="2996"/>
      <c r="O4" s="2996"/>
      <c r="P4" s="3651" t="s">
        <v>2251</v>
      </c>
      <c r="Q4" s="3652"/>
      <c r="R4" s="3657" t="s">
        <v>2247</v>
      </c>
      <c r="S4" s="3658"/>
      <c r="T4" s="3657" t="s">
        <v>2248</v>
      </c>
      <c r="U4" s="3658"/>
      <c r="V4" s="3663" t="s">
        <v>2249</v>
      </c>
      <c r="W4" s="3663"/>
      <c r="X4" s="2073"/>
      <c r="Y4" s="3657" t="s">
        <v>2251</v>
      </c>
      <c r="Z4" s="3658"/>
      <c r="AA4" s="3644" t="s">
        <v>2247</v>
      </c>
      <c r="AB4" s="3644" t="s">
        <v>2248</v>
      </c>
      <c r="AC4" s="3644" t="s">
        <v>2249</v>
      </c>
    </row>
    <row r="5" spans="1:29" ht="15">
      <c r="A5" s="1668"/>
      <c r="B5" s="1669"/>
      <c r="C5" s="3692" t="s">
        <v>2252</v>
      </c>
      <c r="D5" s="3667"/>
      <c r="E5" s="3693" t="s">
        <v>2253</v>
      </c>
      <c r="F5" s="3665"/>
      <c r="G5" s="3692" t="s">
        <v>2254</v>
      </c>
      <c r="H5" s="3667"/>
      <c r="I5" s="3692" t="s">
        <v>2255</v>
      </c>
      <c r="J5" s="3667"/>
      <c r="K5" s="1964"/>
      <c r="L5" s="2995"/>
      <c r="M5" s="2996"/>
      <c r="N5" s="2996"/>
      <c r="O5" s="2996"/>
      <c r="P5" s="3653"/>
      <c r="Q5" s="3654"/>
      <c r="R5" s="3659"/>
      <c r="S5" s="3660"/>
      <c r="T5" s="3659"/>
      <c r="U5" s="3660"/>
      <c r="V5" s="3663"/>
      <c r="W5" s="3663"/>
      <c r="X5" s="2073"/>
      <c r="Y5" s="3659"/>
      <c r="Z5" s="3660"/>
      <c r="AA5" s="3645"/>
      <c r="AB5" s="3645"/>
      <c r="AC5" s="3645"/>
    </row>
    <row r="6" spans="1:29" ht="15.75" thickBot="1">
      <c r="A6" s="1671"/>
      <c r="B6" s="1672"/>
      <c r="C6" s="3668" t="s">
        <v>2256</v>
      </c>
      <c r="D6" s="3669"/>
      <c r="E6" s="3670" t="s">
        <v>2256</v>
      </c>
      <c r="F6" s="3671"/>
      <c r="G6" s="3668" t="s">
        <v>2256</v>
      </c>
      <c r="H6" s="3669"/>
      <c r="I6" s="3668" t="s">
        <v>2256</v>
      </c>
      <c r="J6" s="3669"/>
      <c r="K6" s="1964" t="s">
        <v>2257</v>
      </c>
      <c r="L6" s="2995"/>
      <c r="M6" s="2996"/>
      <c r="N6" s="2996"/>
      <c r="O6" s="2996"/>
      <c r="P6" s="3655"/>
      <c r="Q6" s="3656"/>
      <c r="R6" s="3659"/>
      <c r="S6" s="3660"/>
      <c r="T6" s="3661"/>
      <c r="U6" s="3662"/>
      <c r="V6" s="3663"/>
      <c r="W6" s="3663"/>
      <c r="X6" s="2073"/>
      <c r="Y6" s="3661"/>
      <c r="Z6" s="3662"/>
      <c r="AA6" s="3646"/>
      <c r="AB6" s="3646"/>
      <c r="AC6" s="3646"/>
    </row>
    <row r="7" spans="1:29" s="1685" customFormat="1" ht="15.75" thickBot="1">
      <c r="A7" s="1673" t="s">
        <v>2258</v>
      </c>
      <c r="B7" s="1674"/>
      <c r="C7" s="1675">
        <f>'数据-取费表'!B2</f>
        <v>39004</v>
      </c>
      <c r="D7" s="1676">
        <v>100</v>
      </c>
      <c r="E7" s="1677"/>
      <c r="F7" s="1678">
        <f>SUMIF(59:59,YEAR(E7)&amp;"-"&amp;MONTH(E7),60:60)</f>
        <v>0</v>
      </c>
      <c r="G7" s="1965"/>
      <c r="H7" s="1676">
        <f>SUMIF(59:59,YEAR(G7)&amp;"-"&amp;MONTH(G7),60:60)</f>
        <v>0</v>
      </c>
      <c r="I7" s="1965"/>
      <c r="J7" s="1676">
        <f>SUMIF(59:59,YEAR(I7)&amp;"-"&amp;MONTH(I7),60:60)</f>
        <v>0</v>
      </c>
      <c r="K7" s="1966"/>
      <c r="L7" s="2995"/>
      <c r="M7" s="2968"/>
      <c r="N7" s="2968"/>
      <c r="O7" s="2968"/>
      <c r="P7" s="3679" t="s">
        <v>2259</v>
      </c>
      <c r="Q7" s="3681"/>
      <c r="R7" s="1681" t="s">
        <v>25</v>
      </c>
      <c r="S7" s="1682">
        <f t="shared" ref="S7:S15" si="0">F7</f>
        <v>0</v>
      </c>
      <c r="T7" s="1681" t="s">
        <v>25</v>
      </c>
      <c r="U7" s="1682">
        <f t="shared" ref="U7:U15" si="1">H7</f>
        <v>0</v>
      </c>
      <c r="V7" s="1681" t="s">
        <v>25</v>
      </c>
      <c r="W7" s="1682">
        <f t="shared" ref="W7:W15" si="2">J7</f>
        <v>0</v>
      </c>
      <c r="X7" s="1683"/>
      <c r="Y7" s="3679" t="s">
        <v>2259</v>
      </c>
      <c r="Z7" s="3680"/>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6"/>
      <c r="L8" s="2995"/>
      <c r="M8" s="2968"/>
      <c r="N8" s="2968"/>
      <c r="O8" s="2968"/>
      <c r="P8" s="3679" t="s">
        <v>2262</v>
      </c>
      <c r="Q8" s="3680"/>
      <c r="R8" s="1681" t="s">
        <v>25</v>
      </c>
      <c r="S8" s="1682">
        <f t="shared" si="0"/>
        <v>0</v>
      </c>
      <c r="T8" s="1681" t="s">
        <v>25</v>
      </c>
      <c r="U8" s="1682">
        <f t="shared" si="1"/>
        <v>0</v>
      </c>
      <c r="V8" s="1681" t="s">
        <v>25</v>
      </c>
      <c r="W8" s="1682">
        <f t="shared" si="2"/>
        <v>0</v>
      </c>
      <c r="X8" s="1683"/>
      <c r="Y8" s="3679" t="s">
        <v>2262</v>
      </c>
      <c r="Z8" s="3680"/>
      <c r="AA8" s="1684" t="e">
        <f t="shared" ref="AA8:AA47" si="3">D8/F8</f>
        <v>#DIV/0!</v>
      </c>
      <c r="AB8" s="1684" t="e">
        <f t="shared" ref="AB8:AB47" si="4">D8/H8</f>
        <v>#DIV/0!</v>
      </c>
      <c r="AC8" s="1684" t="e">
        <f t="shared" ref="AC8:AC47" si="5">D8/J8</f>
        <v>#DIV/0!</v>
      </c>
    </row>
    <row r="9" spans="1:29" s="1685" customFormat="1">
      <c r="A9" s="2065" t="s">
        <v>2263</v>
      </c>
      <c r="B9" s="1687" t="s">
        <v>2264</v>
      </c>
      <c r="C9" s="1688"/>
      <c r="D9" s="1689">
        <v>100</v>
      </c>
      <c r="E9" s="1692"/>
      <c r="F9" s="1689">
        <f>SUMIF(64:64,E9,65:65)-SUMIF(64:64,C9,65:65)+100</f>
        <v>100</v>
      </c>
      <c r="G9" s="1690"/>
      <c r="H9" s="1689">
        <f>SUMIF(64:64,G9,65:65)-SUMIF(64:64,C9,65:65)+100</f>
        <v>100</v>
      </c>
      <c r="I9" s="1690"/>
      <c r="J9" s="1689">
        <f>SUMIF(64:64,I9,65:65)-SUMIF(64:64,C9,65:65)+100</f>
        <v>100</v>
      </c>
      <c r="K9" s="1966"/>
      <c r="L9" s="2995"/>
      <c r="M9" s="2968"/>
      <c r="N9" s="2968"/>
      <c r="O9" s="2968"/>
      <c r="P9" s="3683" t="s">
        <v>2265</v>
      </c>
      <c r="Q9" s="2913" t="str">
        <f t="shared" ref="Q9:Q15" si="6">B9</f>
        <v>用途</v>
      </c>
      <c r="R9" s="1681" t="s">
        <v>25</v>
      </c>
      <c r="S9" s="1682">
        <f t="shared" si="0"/>
        <v>100</v>
      </c>
      <c r="T9" s="1681" t="s">
        <v>25</v>
      </c>
      <c r="U9" s="1682">
        <f t="shared" si="1"/>
        <v>100</v>
      </c>
      <c r="V9" s="1681" t="s">
        <v>25</v>
      </c>
      <c r="W9" s="1682">
        <f t="shared" si="2"/>
        <v>100</v>
      </c>
      <c r="X9" s="1683"/>
      <c r="Y9" s="3545" t="s">
        <v>2266</v>
      </c>
      <c r="Z9" s="1693" t="str">
        <f t="shared" ref="Z9:Z15" si="7">Q9</f>
        <v>用途</v>
      </c>
      <c r="AA9" s="1684">
        <f t="shared" si="3"/>
        <v>1</v>
      </c>
      <c r="AB9" s="1684">
        <f t="shared" si="4"/>
        <v>1</v>
      </c>
      <c r="AC9" s="1684">
        <f t="shared" si="5"/>
        <v>1</v>
      </c>
    </row>
    <row r="10" spans="1:29" s="1701" customFormat="1" ht="27">
      <c r="A10" s="1694"/>
      <c r="B10" s="1695" t="s">
        <v>2267</v>
      </c>
      <c r="C10" s="1696"/>
      <c r="D10" s="1697">
        <v>100</v>
      </c>
      <c r="E10" s="1696"/>
      <c r="F10" s="1697">
        <f>SUMIF(66:66,E10,67:67)-SUMIF(66:66,C10,67:67)+100</f>
        <v>100</v>
      </c>
      <c r="G10" s="1698"/>
      <c r="H10" s="1697">
        <f>SUMIF(66:66,G10,67:67)-SUMIF(66:66,C10,67:67)+100</f>
        <v>100</v>
      </c>
      <c r="I10" s="1696"/>
      <c r="J10" s="1697">
        <f>SUMIF(66:66,I10,67:67)-SUMIF(66:66,C10,67:67)+100</f>
        <v>100</v>
      </c>
      <c r="K10" s="1991"/>
      <c r="L10" s="2997"/>
      <c r="M10" s="2998"/>
      <c r="N10" s="2998"/>
      <c r="O10" s="2998"/>
      <c r="P10" s="3683"/>
      <c r="Q10" s="2913" t="str">
        <f t="shared" si="6"/>
        <v>土地使用年限（年）</v>
      </c>
      <c r="R10" s="1681" t="s">
        <v>25</v>
      </c>
      <c r="S10" s="1682">
        <f t="shared" si="0"/>
        <v>100</v>
      </c>
      <c r="T10" s="1681" t="s">
        <v>25</v>
      </c>
      <c r="U10" s="1682">
        <f t="shared" si="1"/>
        <v>100</v>
      </c>
      <c r="V10" s="1681" t="s">
        <v>25</v>
      </c>
      <c r="W10" s="1682">
        <f t="shared" si="2"/>
        <v>100</v>
      </c>
      <c r="X10" s="1683"/>
      <c r="Y10" s="3545"/>
      <c r="Z10" s="1693" t="str">
        <f t="shared" si="7"/>
        <v>土地使用年限（年）</v>
      </c>
      <c r="AA10" s="1684">
        <f t="shared" si="3"/>
        <v>1</v>
      </c>
      <c r="AB10" s="1684">
        <f t="shared" si="4"/>
        <v>1</v>
      </c>
      <c r="AC10" s="1684">
        <f t="shared" si="5"/>
        <v>1</v>
      </c>
    </row>
    <row r="11" spans="1:29" ht="15">
      <c r="A11" s="1702"/>
      <c r="B11" s="1695" t="s">
        <v>2268</v>
      </c>
      <c r="C11" s="1703"/>
      <c r="D11" s="1697">
        <v>100</v>
      </c>
      <c r="E11" s="1703"/>
      <c r="F11" s="1697" t="e">
        <f>LOOKUP(E11,69:69,70:70)-LOOKUP(C11,69:69,70:70)+100</f>
        <v>#N/A</v>
      </c>
      <c r="G11" s="1704"/>
      <c r="H11" s="1697" t="e">
        <f>LOOKUP(G11,69:69,70:70)-LOOKUP(C11,69:69,70:70)+100</f>
        <v>#N/A</v>
      </c>
      <c r="I11" s="1703"/>
      <c r="J11" s="1697" t="e">
        <f>LOOKUP(I11,69:69,70:70)-LOOKUP(C11,69:69,70:70)+100</f>
        <v>#N/A</v>
      </c>
      <c r="K11" s="1991"/>
      <c r="L11" s="2999"/>
      <c r="M11" s="2996"/>
      <c r="N11" s="2996"/>
      <c r="O11" s="2996"/>
      <c r="P11" s="3683"/>
      <c r="Q11" s="2913" t="str">
        <f t="shared" si="6"/>
        <v>容积率</v>
      </c>
      <c r="R11" s="1681" t="s">
        <v>25</v>
      </c>
      <c r="S11" s="1682" t="e">
        <f t="shared" si="0"/>
        <v>#N/A</v>
      </c>
      <c r="T11" s="1681" t="s">
        <v>25</v>
      </c>
      <c r="U11" s="1682" t="e">
        <f t="shared" si="1"/>
        <v>#N/A</v>
      </c>
      <c r="V11" s="1681" t="s">
        <v>25</v>
      </c>
      <c r="W11" s="1682" t="e">
        <f t="shared" si="2"/>
        <v>#N/A</v>
      </c>
      <c r="X11" s="1683"/>
      <c r="Y11" s="3545"/>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8"/>
      <c r="L12" s="2995"/>
      <c r="M12" s="2968"/>
      <c r="N12" s="2968"/>
      <c r="O12" s="2968"/>
      <c r="P12" s="3683"/>
      <c r="Q12" s="2913">
        <f t="shared" si="6"/>
        <v>111</v>
      </c>
      <c r="R12" s="1681" t="s">
        <v>25</v>
      </c>
      <c r="S12" s="1682">
        <f t="shared" si="0"/>
        <v>100</v>
      </c>
      <c r="T12" s="1681" t="s">
        <v>25</v>
      </c>
      <c r="U12" s="1682">
        <f t="shared" si="1"/>
        <v>100</v>
      </c>
      <c r="V12" s="1681" t="s">
        <v>25</v>
      </c>
      <c r="W12" s="1682">
        <f t="shared" si="2"/>
        <v>100</v>
      </c>
      <c r="X12" s="1683"/>
      <c r="Y12" s="3545"/>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8"/>
      <c r="L13" s="3000"/>
      <c r="M13" s="2996"/>
      <c r="N13" s="2996"/>
      <c r="O13" s="2996"/>
      <c r="P13" s="3683"/>
      <c r="Q13" s="2913">
        <f t="shared" si="6"/>
        <v>111</v>
      </c>
      <c r="R13" s="1681" t="s">
        <v>25</v>
      </c>
      <c r="S13" s="1682">
        <f t="shared" si="0"/>
        <v>100</v>
      </c>
      <c r="T13" s="1681" t="s">
        <v>25</v>
      </c>
      <c r="U13" s="1682">
        <f t="shared" si="1"/>
        <v>100</v>
      </c>
      <c r="V13" s="1681" t="s">
        <v>25</v>
      </c>
      <c r="W13" s="1682">
        <f t="shared" si="2"/>
        <v>100</v>
      </c>
      <c r="X13" s="1683"/>
      <c r="Y13" s="3545"/>
      <c r="Z13" s="1693">
        <f t="shared" si="7"/>
        <v>111</v>
      </c>
      <c r="AA13" s="1684">
        <f t="shared" si="3"/>
        <v>1</v>
      </c>
      <c r="AB13" s="1684">
        <f t="shared" si="4"/>
        <v>1</v>
      </c>
      <c r="AC13" s="1684">
        <f t="shared" si="5"/>
        <v>1</v>
      </c>
    </row>
    <row r="14" spans="1:29" ht="15.75"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8"/>
      <c r="L14" s="3000"/>
      <c r="M14" s="2996"/>
      <c r="N14" s="2996"/>
      <c r="O14" s="2996"/>
      <c r="P14" s="3683"/>
      <c r="Q14" s="2913">
        <f t="shared" si="6"/>
        <v>111</v>
      </c>
      <c r="R14" s="1681" t="s">
        <v>25</v>
      </c>
      <c r="S14" s="1682">
        <f t="shared" si="0"/>
        <v>100</v>
      </c>
      <c r="T14" s="1681" t="s">
        <v>25</v>
      </c>
      <c r="U14" s="1682">
        <f t="shared" si="1"/>
        <v>100</v>
      </c>
      <c r="V14" s="1681" t="s">
        <v>25</v>
      </c>
      <c r="W14" s="1682">
        <f t="shared" si="2"/>
        <v>100</v>
      </c>
      <c r="X14" s="1683"/>
      <c r="Y14" s="3545"/>
      <c r="Z14" s="1693">
        <f t="shared" si="7"/>
        <v>111</v>
      </c>
      <c r="AA14" s="1684">
        <f t="shared" si="3"/>
        <v>1</v>
      </c>
      <c r="AB14" s="1684">
        <f t="shared" si="4"/>
        <v>1</v>
      </c>
      <c r="AC14" s="1684">
        <f t="shared" si="5"/>
        <v>1</v>
      </c>
    </row>
    <row r="15" spans="1:29" ht="71.25">
      <c r="A15" s="1717" t="s">
        <v>2269</v>
      </c>
      <c r="B15" s="2491" t="s">
        <v>2383</v>
      </c>
      <c r="C15" s="1972"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1"/>
      <c r="L15" s="3000"/>
      <c r="M15" s="2996"/>
      <c r="N15" s="2996"/>
      <c r="O15" s="2996"/>
      <c r="P15" s="3672" t="s">
        <v>2270</v>
      </c>
      <c r="Q15" s="2914" t="str">
        <f t="shared" si="6"/>
        <v>办公集聚程度</v>
      </c>
      <c r="R15" s="1725" t="s">
        <v>25</v>
      </c>
      <c r="S15" s="1726">
        <f t="shared" si="0"/>
        <v>100</v>
      </c>
      <c r="T15" s="1725" t="s">
        <v>25</v>
      </c>
      <c r="U15" s="1726">
        <f t="shared" si="1"/>
        <v>100</v>
      </c>
      <c r="V15" s="1725" t="s">
        <v>25</v>
      </c>
      <c r="W15" s="1726">
        <f t="shared" si="2"/>
        <v>100</v>
      </c>
      <c r="X15" s="2073"/>
      <c r="Y15" s="3672" t="s">
        <v>2270</v>
      </c>
      <c r="Z15" s="2077" t="str">
        <f t="shared" si="7"/>
        <v>办公集聚程度</v>
      </c>
      <c r="AA15" s="2068">
        <f t="shared" si="3"/>
        <v>1</v>
      </c>
      <c r="AB15" s="2068">
        <f t="shared" si="4"/>
        <v>1</v>
      </c>
      <c r="AC15" s="2068">
        <f t="shared" si="5"/>
        <v>1</v>
      </c>
    </row>
    <row r="16" spans="1:29" ht="15">
      <c r="A16" s="1702"/>
      <c r="B16" s="2492"/>
      <c r="C16" s="1974"/>
      <c r="D16" s="1731"/>
      <c r="E16" s="1730"/>
      <c r="F16" s="1731"/>
      <c r="G16" s="1974"/>
      <c r="H16" s="1735"/>
      <c r="I16" s="1730"/>
      <c r="J16" s="1731"/>
      <c r="K16" s="2472"/>
      <c r="L16" s="3000"/>
      <c r="M16" s="2996"/>
      <c r="N16" s="2996"/>
      <c r="O16" s="2996"/>
      <c r="P16" s="3673"/>
      <c r="Q16" s="2914"/>
      <c r="R16" s="1725"/>
      <c r="S16" s="1726"/>
      <c r="T16" s="1725"/>
      <c r="U16" s="1726"/>
      <c r="V16" s="1725"/>
      <c r="W16" s="1726"/>
      <c r="X16" s="2073"/>
      <c r="Y16" s="3673"/>
      <c r="Z16" s="2077"/>
      <c r="AA16" s="2068">
        <v>1</v>
      </c>
      <c r="AB16" s="2068">
        <v>1</v>
      </c>
      <c r="AC16" s="2068">
        <v>1</v>
      </c>
    </row>
    <row r="17" spans="1:29" ht="57">
      <c r="A17" s="1702"/>
      <c r="B17" s="2493" t="s">
        <v>1705</v>
      </c>
      <c r="C17" s="1979" t="str">
        <f>估价对象房地状况!C6</f>
        <v>估价对象周边有多条公交线路，综合评价交通便捷度较好。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1"/>
      <c r="L17" s="3000"/>
      <c r="M17" s="2996"/>
      <c r="N17" s="2996"/>
      <c r="O17" s="2996"/>
      <c r="P17" s="3673"/>
      <c r="Q17" s="2914" t="str">
        <f>B17</f>
        <v>交通便捷度</v>
      </c>
      <c r="R17" s="1725" t="s">
        <v>25</v>
      </c>
      <c r="S17" s="1726">
        <f>F17</f>
        <v>100</v>
      </c>
      <c r="T17" s="1725" t="s">
        <v>25</v>
      </c>
      <c r="U17" s="1726">
        <f>H17</f>
        <v>100</v>
      </c>
      <c r="V17" s="1725" t="s">
        <v>25</v>
      </c>
      <c r="W17" s="1726">
        <f>J17</f>
        <v>100</v>
      </c>
      <c r="X17" s="2073"/>
      <c r="Y17" s="3673"/>
      <c r="Z17" s="2077" t="str">
        <f>Q17</f>
        <v>交通便捷度</v>
      </c>
      <c r="AA17" s="2068">
        <f t="shared" si="3"/>
        <v>1</v>
      </c>
      <c r="AB17" s="2068">
        <f t="shared" si="4"/>
        <v>1</v>
      </c>
      <c r="AC17" s="2068">
        <f t="shared" si="5"/>
        <v>1</v>
      </c>
    </row>
    <row r="18" spans="1:29" ht="15">
      <c r="A18" s="1702"/>
      <c r="B18" s="2494"/>
      <c r="C18" s="1978"/>
      <c r="D18" s="1735"/>
      <c r="E18" s="1746"/>
      <c r="F18" s="1735"/>
      <c r="G18" s="1745"/>
      <c r="H18" s="1731"/>
      <c r="I18" s="1745"/>
      <c r="J18" s="1731"/>
      <c r="K18" s="2472"/>
      <c r="L18" s="3000"/>
      <c r="M18" s="2996"/>
      <c r="N18" s="2996"/>
      <c r="O18" s="2996"/>
      <c r="P18" s="3673"/>
      <c r="Q18" s="2914"/>
      <c r="R18" s="1725"/>
      <c r="S18" s="1726"/>
      <c r="T18" s="1725"/>
      <c r="U18" s="1726"/>
      <c r="V18" s="1725"/>
      <c r="W18" s="1726"/>
      <c r="X18" s="2073"/>
      <c r="Y18" s="3673"/>
      <c r="Z18" s="2077"/>
      <c r="AA18" s="2068">
        <v>1</v>
      </c>
      <c r="AB18" s="2068">
        <v>1</v>
      </c>
      <c r="AC18" s="2068">
        <v>1</v>
      </c>
    </row>
    <row r="19" spans="1:29" ht="299.25">
      <c r="A19" s="1702"/>
      <c r="B19" s="2493" t="s">
        <v>2384</v>
      </c>
      <c r="C19" s="1979"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742">
        <v>100</v>
      </c>
      <c r="E19" s="1749"/>
      <c r="F19" s="1742">
        <f>SUMIF(81:81,E20,82:82)-SUMIF(81:81,C20,82:82)+100</f>
        <v>100</v>
      </c>
      <c r="G19" s="1747"/>
      <c r="H19" s="1735">
        <f>SUMIF(81:81,G20,82:82)-SUMIF(81:81,C20,82:82)+100</f>
        <v>100</v>
      </c>
      <c r="I19" s="1747"/>
      <c r="J19" s="1735">
        <f>SUMIF(81:81,I20,82:82)-SUMIF(81:81,C20,82:82)+100</f>
        <v>100</v>
      </c>
      <c r="K19" s="2471"/>
      <c r="L19" s="3000"/>
      <c r="M19" s="2996"/>
      <c r="N19" s="2996"/>
      <c r="O19" s="2996"/>
      <c r="P19" s="3673"/>
      <c r="Q19" s="2914" t="str">
        <f>B19</f>
        <v>公共配套设施</v>
      </c>
      <c r="R19" s="1725" t="s">
        <v>25</v>
      </c>
      <c r="S19" s="1726">
        <f>F19</f>
        <v>100</v>
      </c>
      <c r="T19" s="1725" t="s">
        <v>25</v>
      </c>
      <c r="U19" s="1726">
        <f>H19</f>
        <v>100</v>
      </c>
      <c r="V19" s="1725" t="s">
        <v>25</v>
      </c>
      <c r="W19" s="1726">
        <f>J19</f>
        <v>100</v>
      </c>
      <c r="X19" s="2073"/>
      <c r="Y19" s="3673"/>
      <c r="Z19" s="2077" t="str">
        <f>Q19</f>
        <v>公共配套设施</v>
      </c>
      <c r="AA19" s="2068">
        <f t="shared" si="3"/>
        <v>1</v>
      </c>
      <c r="AB19" s="2068">
        <f t="shared" si="4"/>
        <v>1</v>
      </c>
      <c r="AC19" s="2068">
        <f t="shared" si="5"/>
        <v>1</v>
      </c>
    </row>
    <row r="20" spans="1:29" ht="15">
      <c r="A20" s="1702"/>
      <c r="B20" s="2494"/>
      <c r="C20" s="1974"/>
      <c r="D20" s="1731"/>
      <c r="E20" s="1734"/>
      <c r="F20" s="1731"/>
      <c r="G20" s="1732"/>
      <c r="H20" s="1731"/>
      <c r="I20" s="1732"/>
      <c r="J20" s="1731"/>
      <c r="K20" s="2472"/>
      <c r="L20" s="3000"/>
      <c r="M20" s="2996"/>
      <c r="N20" s="2996"/>
      <c r="O20" s="2996"/>
      <c r="P20" s="3673"/>
      <c r="Q20" s="2914"/>
      <c r="R20" s="1725"/>
      <c r="S20" s="1726"/>
      <c r="T20" s="1725"/>
      <c r="U20" s="1726"/>
      <c r="V20" s="1725"/>
      <c r="W20" s="1726"/>
      <c r="X20" s="2073"/>
      <c r="Y20" s="3673"/>
      <c r="Z20" s="2077"/>
      <c r="AA20" s="2068">
        <v>1</v>
      </c>
      <c r="AB20" s="2068">
        <v>1</v>
      </c>
      <c r="AC20" s="2068">
        <v>1</v>
      </c>
    </row>
    <row r="21" spans="1:29" ht="42.75">
      <c r="A21" s="1702"/>
      <c r="B21" s="2495" t="s">
        <v>2385</v>
      </c>
      <c r="C21" s="1979" t="str">
        <f>估价对象房地状况!C8</f>
        <v>估价对象所在区域基础设施水平-七通</v>
      </c>
      <c r="D21" s="1742">
        <v>100</v>
      </c>
      <c r="E21" s="1749"/>
      <c r="F21" s="1742">
        <f>SUMIF(83:83,E22,84:84)-SUMIF(83:83,C22,84:84)+100</f>
        <v>100</v>
      </c>
      <c r="G21" s="1747"/>
      <c r="H21" s="1735">
        <f>SUMIF(83:83,G22,84:84)-SUMIF(83:83,C22,84:84)+100</f>
        <v>100</v>
      </c>
      <c r="I21" s="1747"/>
      <c r="J21" s="1735">
        <f>SUMIF(83:83,I22,84:84)-SUMIF(83:83,C22,84:84)+100</f>
        <v>100</v>
      </c>
      <c r="K21" s="2471"/>
      <c r="L21" s="3000"/>
      <c r="M21" s="2996"/>
      <c r="N21" s="2996"/>
      <c r="O21" s="2996"/>
      <c r="P21" s="3673"/>
      <c r="Q21" s="2914" t="str">
        <f>B21</f>
        <v>基础设施水平</v>
      </c>
      <c r="R21" s="1725" t="s">
        <v>25</v>
      </c>
      <c r="S21" s="1726">
        <f>F21</f>
        <v>100</v>
      </c>
      <c r="T21" s="1725" t="s">
        <v>25</v>
      </c>
      <c r="U21" s="1726">
        <f>H21</f>
        <v>100</v>
      </c>
      <c r="V21" s="1725" t="s">
        <v>25</v>
      </c>
      <c r="W21" s="1726">
        <f>J21</f>
        <v>100</v>
      </c>
      <c r="X21" s="2073"/>
      <c r="Y21" s="3673"/>
      <c r="Z21" s="2077" t="str">
        <f>Q21</f>
        <v>基础设施水平</v>
      </c>
      <c r="AA21" s="2068">
        <f t="shared" ref="AA21" si="8">D21/F21</f>
        <v>1</v>
      </c>
      <c r="AB21" s="2068">
        <f t="shared" ref="AB21" si="9">D21/H21</f>
        <v>1</v>
      </c>
      <c r="AC21" s="2068">
        <f t="shared" ref="AC21" si="10">D21/J21</f>
        <v>1</v>
      </c>
    </row>
    <row r="22" spans="1:29" ht="15">
      <c r="A22" s="1702"/>
      <c r="B22" s="2495"/>
      <c r="C22" s="1978"/>
      <c r="D22" s="1731"/>
      <c r="E22" s="1730"/>
      <c r="F22" s="1731"/>
      <c r="G22" s="1974"/>
      <c r="H22" s="1731"/>
      <c r="I22" s="1974"/>
      <c r="J22" s="1731"/>
      <c r="K22" s="2473"/>
      <c r="L22" s="3000"/>
      <c r="M22" s="2996"/>
      <c r="N22" s="2996"/>
      <c r="O22" s="2996"/>
      <c r="P22" s="3673"/>
      <c r="Q22" s="2914"/>
      <c r="R22" s="1725"/>
      <c r="S22" s="1726"/>
      <c r="T22" s="1725"/>
      <c r="U22" s="1726"/>
      <c r="V22" s="1725"/>
      <c r="W22" s="1726"/>
      <c r="X22" s="2073"/>
      <c r="Y22" s="3673"/>
      <c r="Z22" s="2077"/>
      <c r="AA22" s="2068">
        <v>1</v>
      </c>
      <c r="AB22" s="2068">
        <v>1</v>
      </c>
      <c r="AC22" s="2068">
        <v>1</v>
      </c>
    </row>
    <row r="23" spans="1:29" ht="71.25">
      <c r="A23" s="1702"/>
      <c r="B23" s="2493" t="s">
        <v>2386</v>
      </c>
      <c r="C23" s="1979" t="str">
        <f>估价对象房地状况!C9</f>
        <v xml:space="preserve">自然环境：昌平公园等；
综上，环境状况一般。
</v>
      </c>
      <c r="D23" s="1735">
        <v>100</v>
      </c>
      <c r="E23" s="1741"/>
      <c r="F23" s="1735">
        <f>SUMIF(85:85,E24,86:86)-SUMIF(85:85,C24,86:86)+100</f>
        <v>100</v>
      </c>
      <c r="G23" s="1739"/>
      <c r="H23" s="1735">
        <f>SUMIF(85:85,G24,86:86)-SUMIF(85:85,C24,86:86)+100</f>
        <v>100</v>
      </c>
      <c r="I23" s="1739"/>
      <c r="J23" s="1735">
        <f>SUMIF(85:85,I24,86:86)-SUMIF(85:85,C24,86:86)+100</f>
        <v>100</v>
      </c>
      <c r="K23" s="2471"/>
      <c r="L23" s="3000"/>
      <c r="M23" s="2996"/>
      <c r="N23" s="2996"/>
      <c r="O23" s="2996"/>
      <c r="P23" s="3673"/>
      <c r="Q23" s="2914" t="str">
        <f>B23</f>
        <v>环境质量</v>
      </c>
      <c r="R23" s="1725" t="s">
        <v>25</v>
      </c>
      <c r="S23" s="1726">
        <f>F23</f>
        <v>100</v>
      </c>
      <c r="T23" s="1725" t="s">
        <v>25</v>
      </c>
      <c r="U23" s="1726">
        <f>H23</f>
        <v>100</v>
      </c>
      <c r="V23" s="1725" t="s">
        <v>25</v>
      </c>
      <c r="W23" s="1726">
        <f>J23</f>
        <v>100</v>
      </c>
      <c r="X23" s="2073"/>
      <c r="Y23" s="3673"/>
      <c r="Z23" s="2077" t="str">
        <f>Q23</f>
        <v>环境质量</v>
      </c>
      <c r="AA23" s="2068">
        <f t="shared" si="3"/>
        <v>1</v>
      </c>
      <c r="AB23" s="2068">
        <f t="shared" si="4"/>
        <v>1</v>
      </c>
      <c r="AC23" s="2068">
        <f t="shared" si="5"/>
        <v>1</v>
      </c>
    </row>
    <row r="24" spans="1:29" ht="15">
      <c r="A24" s="1702"/>
      <c r="B24" s="2495"/>
      <c r="C24" s="1974"/>
      <c r="D24" s="1731"/>
      <c r="E24" s="1734"/>
      <c r="F24" s="1731"/>
      <c r="G24" s="1732"/>
      <c r="H24" s="1731"/>
      <c r="I24" s="1732"/>
      <c r="J24" s="1731"/>
      <c r="K24" s="2472"/>
      <c r="L24" s="3000"/>
      <c r="M24" s="2996"/>
      <c r="N24" s="2996"/>
      <c r="O24" s="2996"/>
      <c r="P24" s="3673"/>
      <c r="Q24" s="2914"/>
      <c r="R24" s="1725"/>
      <c r="S24" s="1726"/>
      <c r="T24" s="1725"/>
      <c r="U24" s="1726"/>
      <c r="V24" s="1725"/>
      <c r="W24" s="1726"/>
      <c r="X24" s="2073"/>
      <c r="Y24" s="3673"/>
      <c r="Z24" s="2077"/>
      <c r="AA24" s="2068">
        <v>1</v>
      </c>
      <c r="AB24" s="2068">
        <v>1</v>
      </c>
      <c r="AC24" s="2068">
        <v>1</v>
      </c>
    </row>
    <row r="25" spans="1:29" ht="27">
      <c r="A25" s="1668"/>
      <c r="B25" s="2493" t="s">
        <v>2387</v>
      </c>
      <c r="C25" s="2496"/>
      <c r="D25" s="1711">
        <v>100</v>
      </c>
      <c r="E25" s="1710"/>
      <c r="F25" s="1711">
        <f>SUMIF(87:87,E26,88:88)-SUMIF(87:87,C26,88:88)+100</f>
        <v>100</v>
      </c>
      <c r="G25" s="2496"/>
      <c r="H25" s="1711">
        <f>SUMIF(87:87,G26,88:88)-SUMIF(87:87,C26,88:88)+100</f>
        <v>100</v>
      </c>
      <c r="I25" s="1710"/>
      <c r="J25" s="1711">
        <f>SUMIF(87:87,I26,88:88)-SUMIF(87:87,C26,88:88)+100</f>
        <v>100</v>
      </c>
      <c r="K25" s="2471"/>
      <c r="L25" s="3000"/>
      <c r="M25" s="2996"/>
      <c r="N25" s="2996"/>
      <c r="O25" s="2996"/>
      <c r="P25" s="3673"/>
      <c r="Q25" s="2914" t="str">
        <f>B25</f>
        <v>毗邻道路的类型与等级</v>
      </c>
      <c r="R25" s="1725" t="s">
        <v>25</v>
      </c>
      <c r="S25" s="1726">
        <f>F25</f>
        <v>100</v>
      </c>
      <c r="T25" s="1725" t="s">
        <v>25</v>
      </c>
      <c r="U25" s="1726">
        <f>H25</f>
        <v>100</v>
      </c>
      <c r="V25" s="1725" t="s">
        <v>25</v>
      </c>
      <c r="W25" s="1726">
        <f>J25</f>
        <v>100</v>
      </c>
      <c r="X25" s="2073"/>
      <c r="Y25" s="3673"/>
      <c r="Z25" s="2077" t="str">
        <f>Q25</f>
        <v>毗邻道路的类型与等级</v>
      </c>
      <c r="AA25" s="2068">
        <f t="shared" si="3"/>
        <v>1</v>
      </c>
      <c r="AB25" s="2068">
        <f t="shared" si="4"/>
        <v>1</v>
      </c>
      <c r="AC25" s="2068">
        <f t="shared" si="5"/>
        <v>1</v>
      </c>
    </row>
    <row r="26" spans="1:29" ht="15">
      <c r="A26" s="1668"/>
      <c r="B26" s="2494"/>
      <c r="C26" s="1982"/>
      <c r="D26" s="1711"/>
      <c r="E26" s="1990"/>
      <c r="F26" s="1711"/>
      <c r="G26" s="1982"/>
      <c r="H26" s="1711"/>
      <c r="I26" s="1990"/>
      <c r="J26" s="1711"/>
      <c r="K26" s="2472"/>
      <c r="L26" s="3000"/>
      <c r="M26" s="2996"/>
      <c r="N26" s="2996"/>
      <c r="O26" s="2996"/>
      <c r="P26" s="3673"/>
      <c r="Q26" s="2914"/>
      <c r="R26" s="1725"/>
      <c r="S26" s="1726"/>
      <c r="T26" s="1725"/>
      <c r="U26" s="1726"/>
      <c r="V26" s="1725"/>
      <c r="W26" s="1726"/>
      <c r="X26" s="2073"/>
      <c r="Y26" s="3673"/>
      <c r="Z26" s="2077"/>
      <c r="AA26" s="2068">
        <v>1</v>
      </c>
      <c r="AB26" s="2068">
        <v>1</v>
      </c>
      <c r="AC26" s="2068">
        <v>1</v>
      </c>
    </row>
    <row r="27" spans="1:29" ht="15">
      <c r="A27" s="1702"/>
      <c r="B27" s="2494" t="s">
        <v>2360</v>
      </c>
      <c r="C27" s="1982"/>
      <c r="D27" s="1711">
        <v>100</v>
      </c>
      <c r="E27" s="1990"/>
      <c r="F27" s="1711">
        <f>SUMIF(89:89,E27,90:90)-SUMIF(89:89,C27,90:90)+100</f>
        <v>100</v>
      </c>
      <c r="G27" s="1982"/>
      <c r="H27" s="1711">
        <f>SUMIF(89:89,G27,90:90)-SUMIF(89:89,C27,90:90)+100</f>
        <v>100</v>
      </c>
      <c r="I27" s="1990"/>
      <c r="J27" s="1711">
        <f>SUMIF(89:89,I27,90:90)-SUMIF(89:89,C27,90:90)+100</f>
        <v>100</v>
      </c>
      <c r="K27" s="1991"/>
      <c r="L27" s="3000"/>
      <c r="M27" s="2996"/>
      <c r="N27" s="2996"/>
      <c r="O27" s="2996"/>
      <c r="P27" s="3673"/>
      <c r="Q27" s="2914" t="str">
        <f t="shared" ref="Q27:Q47" si="11">B27</f>
        <v>楼层</v>
      </c>
      <c r="R27" s="1725" t="s">
        <v>25</v>
      </c>
      <c r="S27" s="1726">
        <f>F27</f>
        <v>100</v>
      </c>
      <c r="T27" s="1725" t="s">
        <v>25</v>
      </c>
      <c r="U27" s="1726">
        <f>H27</f>
        <v>100</v>
      </c>
      <c r="V27" s="1725" t="s">
        <v>25</v>
      </c>
      <c r="W27" s="1726">
        <f>J27</f>
        <v>100</v>
      </c>
      <c r="X27" s="2073"/>
      <c r="Y27" s="3673"/>
      <c r="Z27" s="2077" t="str">
        <f>Q27</f>
        <v>楼层</v>
      </c>
      <c r="AA27" s="2068">
        <f t="shared" si="3"/>
        <v>1</v>
      </c>
      <c r="AB27" s="2068">
        <f t="shared" si="4"/>
        <v>1</v>
      </c>
      <c r="AC27" s="2068">
        <f t="shared" si="5"/>
        <v>1</v>
      </c>
    </row>
    <row r="28" spans="1:29" s="1685" customFormat="1" ht="15">
      <c r="A28" s="1705"/>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1"/>
      <c r="L28" s="2995"/>
      <c r="M28" s="2968"/>
      <c r="N28" s="2968"/>
      <c r="O28" s="2968"/>
      <c r="P28" s="3673"/>
      <c r="Q28" s="2913" t="str">
        <f t="shared" si="11"/>
        <v>朝向</v>
      </c>
      <c r="R28" s="1681" t="s">
        <v>25</v>
      </c>
      <c r="S28" s="1682">
        <f>F28</f>
        <v>100</v>
      </c>
      <c r="T28" s="1681" t="s">
        <v>25</v>
      </c>
      <c r="U28" s="1682">
        <f>H28</f>
        <v>100</v>
      </c>
      <c r="V28" s="1681" t="s">
        <v>25</v>
      </c>
      <c r="W28" s="1682">
        <f>J28</f>
        <v>100</v>
      </c>
      <c r="X28" s="1683"/>
      <c r="Y28" s="3673"/>
      <c r="Z28" s="1693" t="str">
        <f>Q28</f>
        <v>朝向</v>
      </c>
      <c r="AA28" s="2068">
        <f>D28/F28</f>
        <v>1</v>
      </c>
      <c r="AB28" s="2068">
        <f>D28/H28</f>
        <v>1</v>
      </c>
      <c r="AC28" s="2068">
        <f>D28/J28</f>
        <v>1</v>
      </c>
    </row>
    <row r="29" spans="1:29" ht="15">
      <c r="A29" s="1702"/>
      <c r="B29" s="2498">
        <v>111</v>
      </c>
      <c r="C29" s="2496"/>
      <c r="D29" s="1711">
        <v>100</v>
      </c>
      <c r="E29" s="1707"/>
      <c r="F29" s="1711">
        <f>SUMIF(93:93,E29,94:94)-SUMIF(93:93,C29,94:94)+100</f>
        <v>100</v>
      </c>
      <c r="G29" s="2489"/>
      <c r="H29" s="1711">
        <f>SUMIF(93:93,G29,94:94)-SUMIF(93:93,C29,94:94)+100</f>
        <v>100</v>
      </c>
      <c r="I29" s="1707"/>
      <c r="J29" s="1711">
        <f>SUMIF(93:93,I29,94:94)-SUMIF(93:93,C29,94:94)+100</f>
        <v>100</v>
      </c>
      <c r="K29" s="1988"/>
      <c r="L29" s="3000"/>
      <c r="M29" s="2996"/>
      <c r="N29" s="2996"/>
      <c r="O29" s="2996"/>
      <c r="P29" s="3673"/>
      <c r="Q29" s="2914">
        <f t="shared" si="11"/>
        <v>111</v>
      </c>
      <c r="R29" s="1725" t="s">
        <v>25</v>
      </c>
      <c r="S29" s="1726">
        <f t="shared" ref="S29:S47" si="12">F29</f>
        <v>100</v>
      </c>
      <c r="T29" s="1725" t="s">
        <v>25</v>
      </c>
      <c r="U29" s="1726">
        <f t="shared" ref="U29:U47" si="13">H29</f>
        <v>100</v>
      </c>
      <c r="V29" s="1725" t="s">
        <v>25</v>
      </c>
      <c r="W29" s="1726">
        <f t="shared" ref="W29:W47" si="14">J29</f>
        <v>100</v>
      </c>
      <c r="X29" s="2073"/>
      <c r="Y29" s="3673"/>
      <c r="Z29" s="2077">
        <f t="shared" ref="Z29:Z47" si="15">Q29</f>
        <v>111</v>
      </c>
      <c r="AA29" s="2068">
        <f t="shared" si="3"/>
        <v>1</v>
      </c>
      <c r="AB29" s="2068">
        <f t="shared" si="4"/>
        <v>1</v>
      </c>
      <c r="AC29" s="2068">
        <f t="shared" si="5"/>
        <v>1</v>
      </c>
    </row>
    <row r="30" spans="1:29" ht="15">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8"/>
      <c r="L30" s="3000"/>
      <c r="M30" s="2996"/>
      <c r="N30" s="2996"/>
      <c r="O30" s="2996"/>
      <c r="P30" s="3673"/>
      <c r="Q30" s="2914">
        <f t="shared" si="11"/>
        <v>111</v>
      </c>
      <c r="R30" s="1725" t="s">
        <v>25</v>
      </c>
      <c r="S30" s="1726">
        <f t="shared" si="12"/>
        <v>100</v>
      </c>
      <c r="T30" s="1725" t="s">
        <v>25</v>
      </c>
      <c r="U30" s="1726">
        <f t="shared" si="13"/>
        <v>100</v>
      </c>
      <c r="V30" s="1725" t="s">
        <v>25</v>
      </c>
      <c r="W30" s="1726">
        <f t="shared" si="14"/>
        <v>100</v>
      </c>
      <c r="X30" s="2073"/>
      <c r="Y30" s="3673"/>
      <c r="Z30" s="2077">
        <f t="shared" si="15"/>
        <v>111</v>
      </c>
      <c r="AA30" s="2068">
        <f t="shared" si="3"/>
        <v>1</v>
      </c>
      <c r="AB30" s="2068">
        <f t="shared" si="4"/>
        <v>1</v>
      </c>
      <c r="AC30" s="2068">
        <f t="shared" si="5"/>
        <v>1</v>
      </c>
    </row>
    <row r="31" spans="1:29" ht="15">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8"/>
      <c r="L31" s="3000"/>
      <c r="M31" s="2996"/>
      <c r="N31" s="2996"/>
      <c r="O31" s="2996"/>
      <c r="P31" s="3673"/>
      <c r="Q31" s="2914">
        <f t="shared" si="11"/>
        <v>111</v>
      </c>
      <c r="R31" s="1725" t="s">
        <v>25</v>
      </c>
      <c r="S31" s="1726">
        <f t="shared" si="12"/>
        <v>100</v>
      </c>
      <c r="T31" s="1725" t="s">
        <v>25</v>
      </c>
      <c r="U31" s="1726">
        <f t="shared" si="13"/>
        <v>100</v>
      </c>
      <c r="V31" s="1725" t="s">
        <v>25</v>
      </c>
      <c r="W31" s="1726">
        <f t="shared" si="14"/>
        <v>100</v>
      </c>
      <c r="X31" s="2073"/>
      <c r="Y31" s="3673"/>
      <c r="Z31" s="2077">
        <f t="shared" si="15"/>
        <v>111</v>
      </c>
      <c r="AA31" s="2068">
        <f t="shared" si="3"/>
        <v>1</v>
      </c>
      <c r="AB31" s="2068">
        <f t="shared" si="4"/>
        <v>1</v>
      </c>
      <c r="AC31" s="2068">
        <f t="shared" si="5"/>
        <v>1</v>
      </c>
    </row>
    <row r="32" spans="1:29" ht="15.75"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8"/>
      <c r="L32" s="3000"/>
      <c r="M32" s="2996"/>
      <c r="N32" s="2996"/>
      <c r="O32" s="2996"/>
      <c r="P32" s="3673"/>
      <c r="Q32" s="2914">
        <f t="shared" si="11"/>
        <v>111</v>
      </c>
      <c r="R32" s="1725" t="s">
        <v>25</v>
      </c>
      <c r="S32" s="1726">
        <f t="shared" si="12"/>
        <v>100</v>
      </c>
      <c r="T32" s="1725" t="s">
        <v>25</v>
      </c>
      <c r="U32" s="1726">
        <f t="shared" si="13"/>
        <v>100</v>
      </c>
      <c r="V32" s="1725" t="s">
        <v>25</v>
      </c>
      <c r="W32" s="1726">
        <f t="shared" si="14"/>
        <v>100</v>
      </c>
      <c r="X32" s="2073"/>
      <c r="Y32" s="3673"/>
      <c r="Z32" s="2077">
        <f t="shared" si="15"/>
        <v>111</v>
      </c>
      <c r="AA32" s="2068">
        <f t="shared" si="3"/>
        <v>1</v>
      </c>
      <c r="AB32" s="2068">
        <f t="shared" si="4"/>
        <v>1</v>
      </c>
      <c r="AC32" s="2068">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1"/>
      <c r="L33" s="3000"/>
      <c r="M33" s="2996"/>
      <c r="N33" s="2996"/>
      <c r="O33" s="2996"/>
      <c r="P33" s="3694" t="s">
        <v>2275</v>
      </c>
      <c r="Q33" s="2914" t="str">
        <f t="shared" si="11"/>
        <v>建筑类型</v>
      </c>
      <c r="R33" s="1725" t="s">
        <v>25</v>
      </c>
      <c r="S33" s="1726">
        <f t="shared" si="12"/>
        <v>100</v>
      </c>
      <c r="T33" s="1725" t="s">
        <v>25</v>
      </c>
      <c r="U33" s="1726">
        <f t="shared" si="13"/>
        <v>100</v>
      </c>
      <c r="V33" s="1725" t="s">
        <v>25</v>
      </c>
      <c r="W33" s="1726">
        <f t="shared" si="14"/>
        <v>100</v>
      </c>
      <c r="X33" s="2073"/>
      <c r="Y33" s="3677" t="s">
        <v>2275</v>
      </c>
      <c r="Z33" s="2077" t="str">
        <f t="shared" si="15"/>
        <v>建筑类型</v>
      </c>
      <c r="AA33" s="2068">
        <f t="shared" si="3"/>
        <v>1</v>
      </c>
      <c r="AB33" s="2068">
        <f t="shared" si="4"/>
        <v>1</v>
      </c>
      <c r="AC33" s="2068">
        <f t="shared" si="5"/>
        <v>1</v>
      </c>
    </row>
    <row r="34" spans="1:29" s="1770" customFormat="1" ht="15">
      <c r="A34" s="1763"/>
      <c r="B34" s="1695" t="s">
        <v>2276</v>
      </c>
      <c r="C34" s="1764"/>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8"/>
      <c r="L34" s="2999"/>
      <c r="M34" s="2058"/>
      <c r="N34" s="2058"/>
      <c r="O34" s="2058"/>
      <c r="P34" s="3677"/>
      <c r="Q34" s="1765" t="str">
        <f t="shared" si="11"/>
        <v>项目建筑规模</v>
      </c>
      <c r="R34" s="1766" t="s">
        <v>25</v>
      </c>
      <c r="S34" s="1767" t="e">
        <f t="shared" si="12"/>
        <v>#N/A</v>
      </c>
      <c r="T34" s="1766" t="s">
        <v>25</v>
      </c>
      <c r="U34" s="1767" t="e">
        <f t="shared" si="13"/>
        <v>#N/A</v>
      </c>
      <c r="V34" s="1766" t="s">
        <v>25</v>
      </c>
      <c r="W34" s="1767" t="e">
        <f t="shared" si="14"/>
        <v>#N/A</v>
      </c>
      <c r="X34" s="1768"/>
      <c r="Y34" s="3677"/>
      <c r="Z34" s="1769" t="str">
        <f t="shared" si="15"/>
        <v>项目建筑规模</v>
      </c>
      <c r="AA34" s="2068" t="e">
        <f t="shared" si="3"/>
        <v>#N/A</v>
      </c>
      <c r="AB34" s="2068" t="e">
        <f t="shared" si="4"/>
        <v>#N/A</v>
      </c>
      <c r="AC34" s="2068" t="e">
        <f t="shared" si="5"/>
        <v>#N/A</v>
      </c>
    </row>
    <row r="35" spans="1:29" ht="15">
      <c r="A35" s="1771"/>
      <c r="B35" s="1695" t="s">
        <v>2277</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1"/>
      <c r="L35" s="3000"/>
      <c r="M35" s="2996"/>
      <c r="N35" s="2996"/>
      <c r="O35" s="2996"/>
      <c r="P35" s="3677"/>
      <c r="Q35" s="2914" t="str">
        <f t="shared" si="11"/>
        <v>建筑结构</v>
      </c>
      <c r="R35" s="1725" t="s">
        <v>25</v>
      </c>
      <c r="S35" s="1726">
        <f t="shared" si="12"/>
        <v>100</v>
      </c>
      <c r="T35" s="1725" t="s">
        <v>25</v>
      </c>
      <c r="U35" s="1726">
        <f t="shared" si="13"/>
        <v>100</v>
      </c>
      <c r="V35" s="1725" t="s">
        <v>25</v>
      </c>
      <c r="W35" s="1726">
        <f t="shared" si="14"/>
        <v>100</v>
      </c>
      <c r="X35" s="2073"/>
      <c r="Y35" s="3677"/>
      <c r="Z35" s="2077" t="str">
        <f t="shared" si="15"/>
        <v>建筑结构</v>
      </c>
      <c r="AA35" s="2068">
        <f t="shared" si="3"/>
        <v>1</v>
      </c>
      <c r="AB35" s="2068">
        <f t="shared" si="4"/>
        <v>1</v>
      </c>
      <c r="AC35" s="2068">
        <f t="shared" si="5"/>
        <v>1</v>
      </c>
    </row>
    <row r="36" spans="1:29" ht="15">
      <c r="A36" s="1771"/>
      <c r="B36" s="1695" t="s">
        <v>2362</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1"/>
      <c r="L36" s="3000"/>
      <c r="M36" s="2996"/>
      <c r="N36" s="2996"/>
      <c r="O36" s="2996"/>
      <c r="P36" s="3677"/>
      <c r="Q36" s="2914" t="str">
        <f t="shared" si="11"/>
        <v>公共部分装修</v>
      </c>
      <c r="R36" s="1725" t="s">
        <v>25</v>
      </c>
      <c r="S36" s="1726">
        <f t="shared" si="12"/>
        <v>100</v>
      </c>
      <c r="T36" s="1725" t="s">
        <v>25</v>
      </c>
      <c r="U36" s="1726">
        <f t="shared" si="13"/>
        <v>100</v>
      </c>
      <c r="V36" s="1725" t="s">
        <v>25</v>
      </c>
      <c r="W36" s="1726">
        <f t="shared" si="14"/>
        <v>100</v>
      </c>
      <c r="X36" s="2073"/>
      <c r="Y36" s="3677"/>
      <c r="Z36" s="2077" t="str">
        <f t="shared" si="15"/>
        <v>公共部分装修</v>
      </c>
      <c r="AA36" s="2068">
        <f t="shared" si="3"/>
        <v>1</v>
      </c>
      <c r="AB36" s="2068">
        <f t="shared" si="4"/>
        <v>1</v>
      </c>
      <c r="AC36" s="2068">
        <f t="shared" si="5"/>
        <v>1</v>
      </c>
    </row>
    <row r="37" spans="1:29" ht="15">
      <c r="A37" s="1771"/>
      <c r="B37" s="1695" t="s">
        <v>2363</v>
      </c>
      <c r="C37" s="1775"/>
      <c r="D37" s="1711">
        <v>100</v>
      </c>
      <c r="E37" s="1775"/>
      <c r="F37" s="1754" t="e">
        <f>LOOKUP(E37,111:111,112:112)-LOOKUP(C37,111:111,112:112)+100</f>
        <v>#N/A</v>
      </c>
      <c r="G37" s="1775"/>
      <c r="H37" s="1754" t="e">
        <f>LOOKUP(G37,111:111,112:112)-LOOKUP(C37,111:111,112:112)+100</f>
        <v>#N/A</v>
      </c>
      <c r="I37" s="1775"/>
      <c r="J37" s="1711" t="e">
        <f>LOOKUP(I37,111:111,112:112)-LOOKUP(C37,111:111,112:112)+100</f>
        <v>#N/A</v>
      </c>
      <c r="K37" s="1991"/>
      <c r="L37" s="3000"/>
      <c r="M37" s="2996"/>
      <c r="N37" s="2996"/>
      <c r="O37" s="2996"/>
      <c r="P37" s="3677"/>
      <c r="Q37" s="2914" t="str">
        <f t="shared" si="11"/>
        <v>成新度</v>
      </c>
      <c r="R37" s="1725" t="s">
        <v>25</v>
      </c>
      <c r="S37" s="1726" t="e">
        <f t="shared" si="12"/>
        <v>#N/A</v>
      </c>
      <c r="T37" s="1725" t="s">
        <v>25</v>
      </c>
      <c r="U37" s="1726" t="e">
        <f t="shared" si="13"/>
        <v>#N/A</v>
      </c>
      <c r="V37" s="1725" t="s">
        <v>25</v>
      </c>
      <c r="W37" s="1726" t="e">
        <f t="shared" si="14"/>
        <v>#N/A</v>
      </c>
      <c r="X37" s="2073"/>
      <c r="Y37" s="3677"/>
      <c r="Z37" s="2077" t="str">
        <f t="shared" si="15"/>
        <v>成新度</v>
      </c>
      <c r="AA37" s="2068" t="e">
        <f t="shared" si="3"/>
        <v>#N/A</v>
      </c>
      <c r="AB37" s="2068" t="e">
        <f t="shared" si="4"/>
        <v>#N/A</v>
      </c>
      <c r="AC37" s="2068" t="e">
        <f t="shared" si="5"/>
        <v>#N/A</v>
      </c>
    </row>
    <row r="38" spans="1:29" s="1685" customFormat="1" ht="15">
      <c r="A38" s="1774"/>
      <c r="B38" s="1695" t="s">
        <v>2390</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1"/>
      <c r="L38" s="2995"/>
      <c r="M38" s="2968"/>
      <c r="N38" s="2968"/>
      <c r="O38" s="2968"/>
      <c r="P38" s="3677"/>
      <c r="Q38" s="2913" t="str">
        <f t="shared" si="11"/>
        <v>写字楼等级</v>
      </c>
      <c r="R38" s="1681" t="s">
        <v>25</v>
      </c>
      <c r="S38" s="1682">
        <f t="shared" si="12"/>
        <v>100</v>
      </c>
      <c r="T38" s="1681" t="s">
        <v>25</v>
      </c>
      <c r="U38" s="1682">
        <f t="shared" si="13"/>
        <v>100</v>
      </c>
      <c r="V38" s="1681" t="s">
        <v>25</v>
      </c>
      <c r="W38" s="1682">
        <f t="shared" si="14"/>
        <v>100</v>
      </c>
      <c r="X38" s="1683"/>
      <c r="Y38" s="3677"/>
      <c r="Z38" s="1693" t="str">
        <f t="shared" si="15"/>
        <v>写字楼等级</v>
      </c>
      <c r="AA38" s="1684">
        <f t="shared" si="3"/>
        <v>1</v>
      </c>
      <c r="AB38" s="1684">
        <f t="shared" si="4"/>
        <v>1</v>
      </c>
      <c r="AC38" s="1684">
        <f t="shared" si="5"/>
        <v>1</v>
      </c>
    </row>
    <row r="39" spans="1:29" ht="15">
      <c r="A39" s="1771"/>
      <c r="B39" s="1695" t="s">
        <v>2391</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1"/>
      <c r="L39" s="3000"/>
      <c r="M39" s="2996"/>
      <c r="N39" s="2996"/>
      <c r="O39" s="2996"/>
      <c r="P39" s="3677" t="s">
        <v>2275</v>
      </c>
      <c r="Q39" s="2914" t="str">
        <f t="shared" si="11"/>
        <v>物业管理</v>
      </c>
      <c r="R39" s="1725" t="s">
        <v>25</v>
      </c>
      <c r="S39" s="1726">
        <f t="shared" si="12"/>
        <v>100</v>
      </c>
      <c r="T39" s="1725" t="s">
        <v>25</v>
      </c>
      <c r="U39" s="1726">
        <f t="shared" si="13"/>
        <v>100</v>
      </c>
      <c r="V39" s="1725" t="s">
        <v>25</v>
      </c>
      <c r="W39" s="1726">
        <f t="shared" si="14"/>
        <v>100</v>
      </c>
      <c r="X39" s="2073"/>
      <c r="Y39" s="3677" t="s">
        <v>2275</v>
      </c>
      <c r="Z39" s="2077" t="str">
        <f t="shared" si="15"/>
        <v>物业管理</v>
      </c>
      <c r="AA39" s="2068">
        <f t="shared" si="3"/>
        <v>1</v>
      </c>
      <c r="AB39" s="2068">
        <f t="shared" si="4"/>
        <v>1</v>
      </c>
      <c r="AC39" s="2068">
        <f t="shared" si="5"/>
        <v>1</v>
      </c>
    </row>
    <row r="40" spans="1:29" ht="15">
      <c r="A40" s="1771"/>
      <c r="B40" s="1695" t="s">
        <v>2364</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1"/>
      <c r="L40" s="3000"/>
      <c r="M40" s="2996"/>
      <c r="N40" s="2996"/>
      <c r="O40" s="2996"/>
      <c r="P40" s="3677"/>
      <c r="Q40" s="2914" t="str">
        <f t="shared" si="11"/>
        <v>市政基础设施</v>
      </c>
      <c r="R40" s="1725" t="s">
        <v>25</v>
      </c>
      <c r="S40" s="1726">
        <f t="shared" si="12"/>
        <v>100</v>
      </c>
      <c r="T40" s="1725" t="s">
        <v>25</v>
      </c>
      <c r="U40" s="1726">
        <f t="shared" si="13"/>
        <v>100</v>
      </c>
      <c r="V40" s="1725" t="s">
        <v>25</v>
      </c>
      <c r="W40" s="1726">
        <f t="shared" si="14"/>
        <v>100</v>
      </c>
      <c r="X40" s="2073"/>
      <c r="Y40" s="3677"/>
      <c r="Z40" s="2077" t="str">
        <f t="shared" si="15"/>
        <v>市政基础设施</v>
      </c>
      <c r="AA40" s="2068">
        <f t="shared" si="3"/>
        <v>1</v>
      </c>
      <c r="AB40" s="2068">
        <f t="shared" si="4"/>
        <v>1</v>
      </c>
      <c r="AC40" s="2068">
        <f t="shared" si="5"/>
        <v>1</v>
      </c>
    </row>
    <row r="41" spans="1:29" ht="15">
      <c r="A41" s="1771"/>
      <c r="B41" s="1695" t="s">
        <v>2366</v>
      </c>
      <c r="C41" s="1990"/>
      <c r="D41" s="1711">
        <v>100</v>
      </c>
      <c r="E41" s="1990"/>
      <c r="F41" s="1754">
        <f>SUMIF(119:119,E41,120:120)-SUMIF(119:119,C41,120:120)+100</f>
        <v>100</v>
      </c>
      <c r="G41" s="1990"/>
      <c r="H41" s="1711">
        <f>SUMIF(119:119,G41,120:120)-SUMIF(119:119,C41,120:120)+100</f>
        <v>100</v>
      </c>
      <c r="I41" s="1990"/>
      <c r="J41" s="1711">
        <f>SUMIF(119:119,I41,120:120)-SUMIF(119:119,C41,120:120)+100</f>
        <v>100</v>
      </c>
      <c r="K41" s="1991"/>
      <c r="L41" s="3000"/>
      <c r="M41" s="2996"/>
      <c r="N41" s="2996"/>
      <c r="O41" s="2996"/>
      <c r="P41" s="3677"/>
      <c r="Q41" s="2914" t="str">
        <f t="shared" si="11"/>
        <v>层高</v>
      </c>
      <c r="R41" s="1725" t="s">
        <v>25</v>
      </c>
      <c r="S41" s="1726">
        <f t="shared" si="12"/>
        <v>100</v>
      </c>
      <c r="T41" s="1725" t="s">
        <v>25</v>
      </c>
      <c r="U41" s="1726">
        <f t="shared" si="13"/>
        <v>100</v>
      </c>
      <c r="V41" s="1725" t="s">
        <v>25</v>
      </c>
      <c r="W41" s="1726">
        <f t="shared" si="14"/>
        <v>100</v>
      </c>
      <c r="X41" s="2073"/>
      <c r="Y41" s="3677"/>
      <c r="Z41" s="2077" t="str">
        <f t="shared" si="15"/>
        <v>层高</v>
      </c>
      <c r="AA41" s="2068">
        <f t="shared" si="3"/>
        <v>1</v>
      </c>
      <c r="AB41" s="2068">
        <f t="shared" si="4"/>
        <v>1</v>
      </c>
      <c r="AC41" s="2068">
        <f t="shared" si="5"/>
        <v>1</v>
      </c>
    </row>
    <row r="42" spans="1:29" s="1770" customFormat="1" ht="15">
      <c r="A42" s="1763"/>
      <c r="B42" s="2069"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8"/>
      <c r="L42" s="2999"/>
      <c r="M42" s="2058"/>
      <c r="N42" s="2058"/>
      <c r="O42" s="2058"/>
      <c r="P42" s="3677"/>
      <c r="Q42" s="1765" t="str">
        <f t="shared" si="11"/>
        <v>单套建筑面积</v>
      </c>
      <c r="R42" s="1766" t="s">
        <v>25</v>
      </c>
      <c r="S42" s="1767">
        <f t="shared" si="12"/>
        <v>100</v>
      </c>
      <c r="T42" s="1766" t="s">
        <v>25</v>
      </c>
      <c r="U42" s="1767">
        <f t="shared" si="13"/>
        <v>100</v>
      </c>
      <c r="V42" s="1766" t="s">
        <v>25</v>
      </c>
      <c r="W42" s="1767">
        <f t="shared" si="14"/>
        <v>100</v>
      </c>
      <c r="X42" s="1768"/>
      <c r="Y42" s="3677"/>
      <c r="Z42" s="1769" t="str">
        <f t="shared" si="15"/>
        <v>单套建筑面积</v>
      </c>
      <c r="AA42" s="2068">
        <f t="shared" si="3"/>
        <v>1</v>
      </c>
      <c r="AB42" s="2068">
        <f t="shared" si="4"/>
        <v>1</v>
      </c>
      <c r="AC42" s="2068">
        <f t="shared" si="5"/>
        <v>1</v>
      </c>
    </row>
    <row r="43" spans="1:29" ht="15">
      <c r="A43" s="1771"/>
      <c r="B43" s="1695" t="s">
        <v>2369</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1"/>
      <c r="L43" s="3000"/>
      <c r="M43" s="2996"/>
      <c r="N43" s="2996"/>
      <c r="O43" s="2996"/>
      <c r="P43" s="3677"/>
      <c r="Q43" s="2914" t="str">
        <f t="shared" si="11"/>
        <v>内部装修</v>
      </c>
      <c r="R43" s="1725" t="s">
        <v>25</v>
      </c>
      <c r="S43" s="1726">
        <f t="shared" si="12"/>
        <v>100</v>
      </c>
      <c r="T43" s="1725" t="s">
        <v>25</v>
      </c>
      <c r="U43" s="1726">
        <f t="shared" si="13"/>
        <v>100</v>
      </c>
      <c r="V43" s="1725" t="s">
        <v>25</v>
      </c>
      <c r="W43" s="1726">
        <f t="shared" si="14"/>
        <v>100</v>
      </c>
      <c r="X43" s="2073"/>
      <c r="Y43" s="3677"/>
      <c r="Z43" s="2077" t="str">
        <f t="shared" si="15"/>
        <v>内部装修</v>
      </c>
      <c r="AA43" s="2068">
        <f t="shared" si="3"/>
        <v>1</v>
      </c>
      <c r="AB43" s="2068">
        <f t="shared" si="4"/>
        <v>1</v>
      </c>
      <c r="AC43" s="2068">
        <f t="shared" si="5"/>
        <v>1</v>
      </c>
    </row>
    <row r="44" spans="1:29" ht="15">
      <c r="A44" s="1771"/>
      <c r="B44" s="1695" t="s">
        <v>2286</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1"/>
      <c r="L44" s="3000"/>
      <c r="M44" s="2996"/>
      <c r="N44" s="2996"/>
      <c r="O44" s="2996"/>
      <c r="P44" s="3677"/>
      <c r="Q44" s="2914" t="str">
        <f t="shared" si="11"/>
        <v>内部装修维护情况</v>
      </c>
      <c r="R44" s="1725" t="s">
        <v>25</v>
      </c>
      <c r="S44" s="1726">
        <f t="shared" si="12"/>
        <v>100</v>
      </c>
      <c r="T44" s="1725" t="s">
        <v>25</v>
      </c>
      <c r="U44" s="1726">
        <f t="shared" si="13"/>
        <v>100</v>
      </c>
      <c r="V44" s="1725" t="s">
        <v>25</v>
      </c>
      <c r="W44" s="1726">
        <f t="shared" si="14"/>
        <v>100</v>
      </c>
      <c r="X44" s="2073"/>
      <c r="Y44" s="3677"/>
      <c r="Z44" s="2077" t="str">
        <f t="shared" si="15"/>
        <v>内部装修维护情况</v>
      </c>
      <c r="AA44" s="2068">
        <f t="shared" si="3"/>
        <v>1</v>
      </c>
      <c r="AB44" s="2068">
        <f t="shared" si="4"/>
        <v>1</v>
      </c>
      <c r="AC44" s="2068">
        <f t="shared" si="5"/>
        <v>1</v>
      </c>
    </row>
    <row r="45" spans="1:29" s="1685" customFormat="1" ht="15">
      <c r="A45" s="1774"/>
      <c r="B45" s="1760">
        <v>111</v>
      </c>
      <c r="C45" s="1764"/>
      <c r="D45" s="1697">
        <v>100</v>
      </c>
      <c r="E45" s="1707"/>
      <c r="F45" s="1699">
        <f>SUMIF(127:127,E45,128:128)-SUMIF(127:127,C45,128:128)+100</f>
        <v>100</v>
      </c>
      <c r="G45" s="1707"/>
      <c r="H45" s="1697">
        <f>SUMIF(127:127,G45,128:128)-SUMIF(127:127,C45,128:128)+100</f>
        <v>100</v>
      </c>
      <c r="I45" s="1707"/>
      <c r="J45" s="1697">
        <f>SUMIF(127:127,I45,128:128)-SUMIF(127:127,C45,128:128)+100</f>
        <v>100</v>
      </c>
      <c r="K45" s="1988"/>
      <c r="L45" s="2995"/>
      <c r="M45" s="2968"/>
      <c r="N45" s="2968"/>
      <c r="O45" s="2968"/>
      <c r="P45" s="3677"/>
      <c r="Q45" s="2913">
        <f t="shared" si="11"/>
        <v>111</v>
      </c>
      <c r="R45" s="1681" t="s">
        <v>25</v>
      </c>
      <c r="S45" s="1682">
        <f t="shared" si="12"/>
        <v>100</v>
      </c>
      <c r="T45" s="1681" t="s">
        <v>25</v>
      </c>
      <c r="U45" s="1682">
        <f t="shared" si="13"/>
        <v>100</v>
      </c>
      <c r="V45" s="1681" t="s">
        <v>25</v>
      </c>
      <c r="W45" s="1682">
        <f t="shared" si="14"/>
        <v>100</v>
      </c>
      <c r="X45" s="1683"/>
      <c r="Y45" s="3677"/>
      <c r="Z45" s="1693">
        <f t="shared" si="15"/>
        <v>111</v>
      </c>
      <c r="AA45" s="1684">
        <f t="shared" si="3"/>
        <v>1</v>
      </c>
      <c r="AB45" s="1684">
        <f t="shared" si="4"/>
        <v>1</v>
      </c>
      <c r="AC45" s="1684">
        <f t="shared" si="5"/>
        <v>1</v>
      </c>
    </row>
    <row r="46" spans="1:29" ht="15">
      <c r="A46" s="1771"/>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8"/>
      <c r="L46" s="3000"/>
      <c r="M46" s="2996"/>
      <c r="N46" s="2996"/>
      <c r="O46" s="2996"/>
      <c r="P46" s="3677"/>
      <c r="Q46" s="2914">
        <f t="shared" si="11"/>
        <v>111</v>
      </c>
      <c r="R46" s="1725" t="s">
        <v>25</v>
      </c>
      <c r="S46" s="1726">
        <f t="shared" si="12"/>
        <v>100</v>
      </c>
      <c r="T46" s="1725" t="s">
        <v>25</v>
      </c>
      <c r="U46" s="1726">
        <f t="shared" si="13"/>
        <v>100</v>
      </c>
      <c r="V46" s="1725" t="s">
        <v>25</v>
      </c>
      <c r="W46" s="1726">
        <f t="shared" si="14"/>
        <v>100</v>
      </c>
      <c r="X46" s="2073"/>
      <c r="Y46" s="3677"/>
      <c r="Z46" s="2077">
        <f t="shared" si="15"/>
        <v>111</v>
      </c>
      <c r="AA46" s="2068">
        <f t="shared" si="3"/>
        <v>1</v>
      </c>
      <c r="AB46" s="2068">
        <f t="shared" si="4"/>
        <v>1</v>
      </c>
      <c r="AC46" s="2068">
        <f t="shared" si="5"/>
        <v>1</v>
      </c>
    </row>
    <row r="47" spans="1:29" ht="15.75" thickBot="1">
      <c r="A47" s="1779"/>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8"/>
      <c r="L47" s="3000"/>
      <c r="M47" s="2996"/>
      <c r="N47" s="2996"/>
      <c r="O47" s="2996"/>
      <c r="P47" s="3678"/>
      <c r="Q47" s="2914">
        <f t="shared" si="11"/>
        <v>111</v>
      </c>
      <c r="R47" s="1725" t="s">
        <v>25</v>
      </c>
      <c r="S47" s="1726">
        <f t="shared" si="12"/>
        <v>100</v>
      </c>
      <c r="T47" s="1725" t="s">
        <v>25</v>
      </c>
      <c r="U47" s="1726">
        <f t="shared" si="13"/>
        <v>100</v>
      </c>
      <c r="V47" s="1725" t="s">
        <v>25</v>
      </c>
      <c r="W47" s="1726">
        <f t="shared" si="14"/>
        <v>100</v>
      </c>
      <c r="X47" s="2073"/>
      <c r="Y47" s="3678"/>
      <c r="Z47" s="2077">
        <f t="shared" si="15"/>
        <v>111</v>
      </c>
      <c r="AA47" s="2068">
        <f t="shared" si="3"/>
        <v>1</v>
      </c>
      <c r="AB47" s="2068">
        <f t="shared" si="4"/>
        <v>1</v>
      </c>
      <c r="AC47" s="2068">
        <f t="shared" si="5"/>
        <v>1</v>
      </c>
    </row>
    <row r="48" spans="1:29" ht="15">
      <c r="A48" s="1780" t="s">
        <v>2287</v>
      </c>
      <c r="B48" s="1781"/>
      <c r="C48" s="1782" t="s">
        <v>1</v>
      </c>
      <c r="D48" s="1783"/>
      <c r="E48" s="1784"/>
      <c r="F48" s="1785"/>
      <c r="G48" s="1786"/>
      <c r="H48" s="1787"/>
      <c r="I48" s="1784"/>
      <c r="J48" s="1787"/>
      <c r="K48" s="2012"/>
      <c r="L48" s="3001"/>
      <c r="M48" s="2996"/>
      <c r="N48" s="2996"/>
      <c r="O48" s="2996"/>
      <c r="P48" s="3683" t="str">
        <f>A48</f>
        <v>成交单价（元/平方米）</v>
      </c>
      <c r="Q48" s="3683"/>
      <c r="R48" s="3684">
        <f>E48</f>
        <v>0</v>
      </c>
      <c r="S48" s="3684"/>
      <c r="T48" s="3684">
        <f>G48</f>
        <v>0</v>
      </c>
      <c r="U48" s="3684"/>
      <c r="V48" s="3684">
        <f>I48</f>
        <v>0</v>
      </c>
      <c r="W48" s="3684"/>
      <c r="X48" s="1790"/>
      <c r="Y48" s="2072"/>
      <c r="Z48" s="1790"/>
      <c r="AA48" s="1790"/>
      <c r="AB48" s="1790"/>
      <c r="AC48" s="1790"/>
    </row>
    <row r="49" spans="1:29" ht="15.75" thickBot="1">
      <c r="A49" s="1792" t="s">
        <v>2370</v>
      </c>
      <c r="B49" s="1793"/>
      <c r="C49" s="1794" t="e">
        <f>R50</f>
        <v>#DIV/0!</v>
      </c>
      <c r="D49" s="1795" t="s">
        <v>2744</v>
      </c>
      <c r="E49" s="1796" t="e">
        <f>R49</f>
        <v>#DIV/0!</v>
      </c>
      <c r="F49" s="1797"/>
      <c r="G49" s="1794" t="e">
        <f>T49</f>
        <v>#DIV/0!</v>
      </c>
      <c r="H49" s="1797"/>
      <c r="I49" s="1796" t="e">
        <f>V49</f>
        <v>#DIV/0!</v>
      </c>
      <c r="J49" s="1797"/>
      <c r="K49" s="2509">
        <f>F49+H49+J49</f>
        <v>0</v>
      </c>
      <c r="L49" s="3001"/>
      <c r="M49" s="2996"/>
      <c r="N49" s="2996"/>
      <c r="O49" s="2996"/>
      <c r="P49" s="3683" t="str">
        <f>A49</f>
        <v>比较价值（元/平方米）</v>
      </c>
      <c r="Q49" s="3683"/>
      <c r="R49" s="3684" t="e">
        <f>IF(E1="售价",ROUND(PRODUCT(R48,AA7:AA47),0),ROUND(PRODUCT(R48,AA7:AA47),1))</f>
        <v>#DIV/0!</v>
      </c>
      <c r="S49" s="3684"/>
      <c r="T49" s="3684" t="e">
        <f>IF(E1="售价",ROUND(PRODUCT(T48,AB7:AB47),0),ROUND(PRODUCT(T48,AB7:AB47),1))</f>
        <v>#DIV/0!</v>
      </c>
      <c r="U49" s="3684"/>
      <c r="V49" s="3684" t="e">
        <f>IF(E1="售价",ROUND(PRODUCT(V48,AC7:AC47),0),ROUND(PRODUCT(V48,AC7:AC47),1))</f>
        <v>#DIV/0!</v>
      </c>
      <c r="W49" s="3684"/>
      <c r="X49" s="1790"/>
      <c r="Y49" s="1790"/>
      <c r="Z49" s="1790"/>
      <c r="AA49" s="1790"/>
      <c r="AB49" s="1790"/>
      <c r="AC49" s="1790"/>
    </row>
    <row r="50" spans="1:29" ht="15.75" thickBot="1">
      <c r="A50" s="1798" t="s">
        <v>2393</v>
      </c>
      <c r="B50" s="1799"/>
      <c r="C50" s="1801" t="e">
        <f>R50</f>
        <v>#DIV/0!</v>
      </c>
      <c r="D50" s="1801"/>
      <c r="E50" s="1801"/>
      <c r="F50" s="1801"/>
      <c r="G50" s="1801"/>
      <c r="H50" s="1801"/>
      <c r="I50" s="1801"/>
      <c r="J50" s="1801"/>
      <c r="K50" s="2017"/>
      <c r="L50" s="3001"/>
      <c r="M50" s="2996"/>
      <c r="N50" s="2996"/>
      <c r="O50" s="2996"/>
      <c r="P50" s="3689" t="str">
        <f>A50</f>
        <v>估价对象XX用房的比较价值（楼面单价，元/平方米）</v>
      </c>
      <c r="Q50" s="3690"/>
      <c r="R50" s="3691" t="e">
        <f>IF(E1="售价",ROUND(IF(D49="简单平均",AVERAGE(R49:V49),R49*F49+T49*H49+V49*J49),0),ROUND(IF(D49="简单平均",AVERAGE(R49:V49),R49*F49+T49*H49+V49*J49),1))</f>
        <v>#DIV/0!</v>
      </c>
      <c r="S50" s="3691"/>
      <c r="T50" s="3691"/>
      <c r="U50" s="3691"/>
      <c r="V50" s="3691"/>
      <c r="W50" s="3691"/>
      <c r="X50" s="1790"/>
      <c r="Y50" s="1790"/>
      <c r="Z50" s="1790"/>
      <c r="AA50" s="1790"/>
      <c r="AB50" s="1790"/>
      <c r="AC50" s="1790"/>
    </row>
    <row r="51" spans="1:29">
      <c r="G51" s="3005"/>
    </row>
    <row r="53" spans="1:29" ht="13.5" customHeight="1">
      <c r="C53" s="383" t="s">
        <v>2372</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2373</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2374</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08"/>
      <c r="L55" s="3002"/>
    </row>
    <row r="56" spans="1:29" s="1812" customFormat="1">
      <c r="B56" s="3006"/>
      <c r="C56" s="3007"/>
      <c r="K56" s="3008"/>
      <c r="L56" s="3002"/>
    </row>
    <row r="57" spans="1:29">
      <c r="B57" s="3006"/>
      <c r="C57" s="3007"/>
    </row>
    <row r="58" spans="1:29" ht="21.75" thickBot="1">
      <c r="A58" s="1815" t="s">
        <v>2375</v>
      </c>
      <c r="B58" s="1790"/>
      <c r="C58" s="1816"/>
      <c r="D58" s="1816"/>
      <c r="E58" s="1816"/>
      <c r="F58" s="1816"/>
      <c r="G58" s="1816"/>
      <c r="H58" s="1816"/>
      <c r="I58" s="1816"/>
      <c r="J58" s="1816"/>
      <c r="K58" s="1817"/>
      <c r="L58" s="1818"/>
      <c r="M58" s="1816"/>
      <c r="N58" s="3004"/>
      <c r="O58" s="3004"/>
      <c r="P58" s="2044"/>
      <c r="Q58" s="1820"/>
    </row>
    <row r="59" spans="1:29" s="1826" customFormat="1" ht="15">
      <c r="A59" s="1821" t="s">
        <v>2258</v>
      </c>
      <c r="B59" s="1822"/>
      <c r="C59" s="1823" t="str">
        <f>YEAR(C7)&amp;"-"&amp;MONTH(C7)</f>
        <v>2006-10</v>
      </c>
      <c r="D59" s="1824">
        <f>EDATE(C59,-1)</f>
        <v>38961</v>
      </c>
      <c r="E59" s="1824">
        <f t="shared" ref="E59:O59" si="16">EDATE(D59,-1)</f>
        <v>38930</v>
      </c>
      <c r="F59" s="1824">
        <f t="shared" si="16"/>
        <v>38899</v>
      </c>
      <c r="G59" s="1824">
        <f t="shared" si="16"/>
        <v>38869</v>
      </c>
      <c r="H59" s="1824">
        <f t="shared" si="16"/>
        <v>38838</v>
      </c>
      <c r="I59" s="1824">
        <f t="shared" si="16"/>
        <v>38808</v>
      </c>
      <c r="J59" s="1824">
        <f t="shared" si="16"/>
        <v>38777</v>
      </c>
      <c r="K59" s="1824">
        <f t="shared" si="16"/>
        <v>38749</v>
      </c>
      <c r="L59" s="1824">
        <f t="shared" si="16"/>
        <v>38718</v>
      </c>
      <c r="M59" s="1824">
        <f t="shared" si="16"/>
        <v>38687</v>
      </c>
      <c r="N59" s="1824">
        <f t="shared" si="16"/>
        <v>38657</v>
      </c>
      <c r="O59" s="1824">
        <f t="shared" si="16"/>
        <v>38626</v>
      </c>
      <c r="P59" s="2502"/>
    </row>
    <row r="60" spans="1:29" s="1685" customFormat="1" ht="15">
      <c r="A60" s="1827"/>
      <c r="B60" s="1828"/>
      <c r="C60" s="1829">
        <v>100</v>
      </c>
      <c r="D60" s="1830"/>
      <c r="E60" s="1830"/>
      <c r="F60" s="1830"/>
      <c r="G60" s="1830"/>
      <c r="H60" s="1830"/>
      <c r="I60" s="1830"/>
      <c r="J60" s="1830"/>
      <c r="K60" s="1830"/>
      <c r="L60" s="1830"/>
      <c r="M60" s="1831"/>
      <c r="N60" s="1830"/>
      <c r="O60" s="1844"/>
      <c r="P60" s="1820"/>
    </row>
    <row r="61" spans="1:29" s="1685" customFormat="1" ht="15.75" thickBot="1">
      <c r="A61" s="1833" t="s">
        <v>2295</v>
      </c>
      <c r="B61" s="1834"/>
      <c r="C61" s="1835"/>
      <c r="D61" s="1836"/>
      <c r="E61" s="1836"/>
      <c r="F61" s="1836"/>
      <c r="G61" s="1836"/>
      <c r="H61" s="1836"/>
      <c r="I61" s="1836"/>
      <c r="J61" s="1836"/>
      <c r="K61" s="1836"/>
      <c r="L61" s="1836"/>
      <c r="M61" s="1837"/>
      <c r="N61" s="1836"/>
      <c r="O61" s="2503"/>
      <c r="P61" s="1820"/>
      <c r="Q61" s="1820"/>
    </row>
    <row r="62" spans="1:29" s="1685" customFormat="1" ht="15">
      <c r="A62" s="1838" t="s">
        <v>2260</v>
      </c>
      <c r="B62" s="1828"/>
      <c r="C62" s="1839" t="s">
        <v>2261</v>
      </c>
      <c r="D62" s="409"/>
      <c r="E62" s="409"/>
      <c r="F62" s="409"/>
      <c r="G62" s="409"/>
      <c r="H62" s="409"/>
      <c r="I62" s="409"/>
      <c r="J62" s="409"/>
      <c r="K62" s="409"/>
      <c r="L62" s="409"/>
      <c r="M62" s="1840"/>
      <c r="N62" s="3013"/>
      <c r="O62" s="3013"/>
      <c r="P62" s="2055"/>
      <c r="Q62" s="1820"/>
    </row>
    <row r="63" spans="1:29" s="1685" customFormat="1" ht="15.75" thickBot="1">
      <c r="A63" s="1838"/>
      <c r="B63" s="1828"/>
      <c r="C63" s="1843">
        <v>100</v>
      </c>
      <c r="D63" s="1830"/>
      <c r="E63" s="1830"/>
      <c r="F63" s="1830"/>
      <c r="G63" s="1830"/>
      <c r="H63" s="1830"/>
      <c r="I63" s="1830"/>
      <c r="J63" s="1830"/>
      <c r="K63" s="1830"/>
      <c r="L63" s="1830"/>
      <c r="M63" s="1844"/>
      <c r="N63" s="3013"/>
      <c r="O63" s="3013"/>
      <c r="P63" s="1820"/>
      <c r="Q63" s="1820"/>
    </row>
    <row r="64" spans="1:29">
      <c r="A64" s="1845" t="s">
        <v>2298</v>
      </c>
      <c r="B64" s="1846" t="s">
        <v>2264</v>
      </c>
      <c r="C64" s="1847">
        <f>C9</f>
        <v>0</v>
      </c>
      <c r="D64" s="1848"/>
      <c r="E64" s="1848"/>
      <c r="F64" s="1848"/>
      <c r="G64" s="1848"/>
      <c r="H64" s="1848"/>
      <c r="I64" s="1848"/>
      <c r="J64" s="1848"/>
      <c r="K64" s="417"/>
      <c r="L64" s="417"/>
      <c r="M64" s="1849"/>
      <c r="N64" s="3014"/>
      <c r="O64" s="3014"/>
      <c r="P64" s="2056"/>
      <c r="Q64" s="1820"/>
    </row>
    <row r="65" spans="1:17" ht="15.75" thickBot="1">
      <c r="A65" s="1852"/>
      <c r="B65" s="1853"/>
      <c r="C65" s="1854">
        <v>100</v>
      </c>
      <c r="D65" s="1854"/>
      <c r="E65" s="1854"/>
      <c r="F65" s="1854"/>
      <c r="G65" s="1854"/>
      <c r="H65" s="1854"/>
      <c r="I65" s="1854"/>
      <c r="J65" s="1854"/>
      <c r="K65" s="1854"/>
      <c r="L65" s="1854"/>
      <c r="M65" s="1855"/>
      <c r="N65" s="3015"/>
      <c r="O65" s="3015"/>
      <c r="P65" s="2056"/>
      <c r="Q65" s="1820"/>
    </row>
    <row r="66" spans="1:17" ht="27.75" thickTop="1">
      <c r="A66" s="1852"/>
      <c r="B66" s="1857" t="s">
        <v>2267</v>
      </c>
      <c r="C66" s="1858" t="s">
        <v>2299</v>
      </c>
      <c r="D66" s="1858" t="s">
        <v>2300</v>
      </c>
      <c r="E66" s="1858" t="s">
        <v>2301</v>
      </c>
      <c r="F66" s="1858" t="s">
        <v>2302</v>
      </c>
      <c r="G66" s="1858" t="s">
        <v>2303</v>
      </c>
      <c r="H66" s="1858" t="s">
        <v>2304</v>
      </c>
      <c r="I66" s="1858" t="s">
        <v>2305</v>
      </c>
      <c r="J66" s="1858"/>
      <c r="K66" s="428"/>
      <c r="L66" s="428"/>
      <c r="M66" s="1859"/>
      <c r="N66" s="3014"/>
      <c r="O66" s="3014"/>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5"/>
      <c r="O67" s="3015"/>
      <c r="P67" s="2056"/>
      <c r="Q67" s="1820"/>
    </row>
    <row r="68" spans="1:17" ht="15.75" thickTop="1">
      <c r="A68" s="1852"/>
      <c r="B68" s="1863" t="s">
        <v>2268</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1" t="str">
        <f>M69&amp;"（含）"&amp;"-"&amp;P69</f>
        <v>（含）-</v>
      </c>
      <c r="N68" s="3015"/>
      <c r="O68" s="3015"/>
      <c r="P68" s="2056"/>
      <c r="Q68" s="1820"/>
    </row>
    <row r="69" spans="1:17" ht="15">
      <c r="A69" s="1852"/>
      <c r="B69" s="1865"/>
      <c r="C69" s="1866"/>
      <c r="D69" s="1866"/>
      <c r="E69" s="1866"/>
      <c r="F69" s="1866"/>
      <c r="G69" s="1866"/>
      <c r="H69" s="1866"/>
      <c r="I69" s="1866"/>
      <c r="J69" s="1866"/>
      <c r="K69" s="438"/>
      <c r="L69" s="438"/>
      <c r="M69" s="1867"/>
      <c r="N69" s="3014"/>
      <c r="O69" s="3014"/>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5"/>
      <c r="O70" s="3015"/>
      <c r="P70" s="2056"/>
      <c r="Q70" s="1820"/>
    </row>
    <row r="71" spans="1:17" s="1770" customFormat="1" ht="15.75" thickTop="1">
      <c r="A71" s="1868"/>
      <c r="B71" s="1857">
        <f>B12</f>
        <v>111</v>
      </c>
      <c r="C71" s="468"/>
      <c r="D71" s="468"/>
      <c r="E71" s="468"/>
      <c r="F71" s="468"/>
      <c r="G71" s="468"/>
      <c r="H71" s="443"/>
      <c r="I71" s="443"/>
      <c r="J71" s="443"/>
      <c r="K71" s="443"/>
      <c r="L71" s="443"/>
      <c r="M71" s="1869"/>
      <c r="N71" s="3016"/>
      <c r="O71" s="3016"/>
      <c r="P71" s="2057"/>
      <c r="Q71" s="1872"/>
    </row>
    <row r="72" spans="1:17" s="1770" customFormat="1" ht="15.75" thickBot="1">
      <c r="A72" s="1868"/>
      <c r="B72" s="1860"/>
      <c r="C72" s="1873"/>
      <c r="D72" s="1854"/>
      <c r="E72" s="1854"/>
      <c r="F72" s="1854"/>
      <c r="G72" s="1854"/>
      <c r="H72" s="1854"/>
      <c r="I72" s="1854"/>
      <c r="J72" s="1854"/>
      <c r="K72" s="1854"/>
      <c r="L72" s="1854"/>
      <c r="M72" s="1855"/>
      <c r="N72" s="3015"/>
      <c r="O72" s="3015"/>
      <c r="P72" s="2057"/>
      <c r="Q72" s="1872"/>
    </row>
    <row r="73" spans="1:17" s="1770" customFormat="1" ht="15.75" thickTop="1">
      <c r="A73" s="1868"/>
      <c r="B73" s="1857">
        <f>B13</f>
        <v>111</v>
      </c>
      <c r="C73" s="468"/>
      <c r="D73" s="468"/>
      <c r="E73" s="468"/>
      <c r="F73" s="468"/>
      <c r="G73" s="468"/>
      <c r="H73" s="443"/>
      <c r="I73" s="443"/>
      <c r="J73" s="443"/>
      <c r="K73" s="443"/>
      <c r="L73" s="443"/>
      <c r="M73" s="1869"/>
      <c r="N73" s="3016"/>
      <c r="O73" s="3016"/>
      <c r="P73" s="2058"/>
      <c r="Q73" s="1875"/>
    </row>
    <row r="74" spans="1:17" s="1770" customFormat="1" ht="15.75" thickBot="1">
      <c r="A74" s="1868"/>
      <c r="B74" s="1860"/>
      <c r="C74" s="1873"/>
      <c r="D74" s="1873"/>
      <c r="E74" s="1873"/>
      <c r="F74" s="1873"/>
      <c r="G74" s="1873"/>
      <c r="H74" s="1876"/>
      <c r="I74" s="1876"/>
      <c r="J74" s="1876"/>
      <c r="K74" s="1876"/>
      <c r="L74" s="1876"/>
      <c r="M74" s="1877"/>
      <c r="N74" s="3016"/>
      <c r="O74" s="3016"/>
      <c r="P74" s="2057"/>
      <c r="Q74" s="1872"/>
    </row>
    <row r="75" spans="1:17" s="1770" customFormat="1" ht="15.75" thickTop="1">
      <c r="A75" s="1868"/>
      <c r="B75" s="1863">
        <f>B14</f>
        <v>111</v>
      </c>
      <c r="C75" s="409"/>
      <c r="D75" s="409"/>
      <c r="E75" s="409"/>
      <c r="F75" s="409"/>
      <c r="G75" s="409"/>
      <c r="H75" s="453"/>
      <c r="I75" s="453"/>
      <c r="J75" s="453"/>
      <c r="K75" s="453"/>
      <c r="L75" s="453"/>
      <c r="M75" s="1878"/>
      <c r="N75" s="3016"/>
      <c r="O75" s="3016"/>
      <c r="P75" s="2057"/>
      <c r="Q75" s="1872"/>
    </row>
    <row r="76" spans="1:17" s="1770" customFormat="1" ht="15.75" thickBot="1">
      <c r="A76" s="1879"/>
      <c r="B76" s="1880"/>
      <c r="C76" s="1881"/>
      <c r="D76" s="1881"/>
      <c r="E76" s="1881"/>
      <c r="F76" s="1881"/>
      <c r="G76" s="1881"/>
      <c r="H76" s="1882"/>
      <c r="I76" s="1882"/>
      <c r="J76" s="1882"/>
      <c r="K76" s="1882"/>
      <c r="L76" s="1882"/>
      <c r="M76" s="1883"/>
      <c r="N76" s="3016"/>
      <c r="O76" s="3016"/>
      <c r="P76" s="2057"/>
      <c r="Q76" s="1872"/>
    </row>
    <row r="77" spans="1:17">
      <c r="A77" s="1845" t="s">
        <v>2269</v>
      </c>
      <c r="B77" s="1846" t="s">
        <v>2394</v>
      </c>
      <c r="C77" s="1884" t="s">
        <v>2307</v>
      </c>
      <c r="D77" s="1884" t="s">
        <v>2308</v>
      </c>
      <c r="E77" s="1884" t="s">
        <v>2309</v>
      </c>
      <c r="F77" s="1884" t="s">
        <v>2310</v>
      </c>
      <c r="G77" s="1884" t="s">
        <v>2311</v>
      </c>
      <c r="H77" s="1847"/>
      <c r="I77" s="1847"/>
      <c r="J77" s="1847"/>
      <c r="K77" s="463"/>
      <c r="L77" s="463"/>
      <c r="M77" s="1885"/>
      <c r="N77" s="3014"/>
      <c r="O77" s="3014"/>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5"/>
      <c r="O78" s="3015"/>
      <c r="P78" s="2056"/>
      <c r="Q78" s="1820"/>
    </row>
    <row r="79" spans="1:17" ht="15.75" thickTop="1">
      <c r="A79" s="1852"/>
      <c r="B79" s="1857" t="s">
        <v>2312</v>
      </c>
      <c r="C79" s="579" t="s">
        <v>2307</v>
      </c>
      <c r="D79" s="579" t="s">
        <v>2308</v>
      </c>
      <c r="E79" s="579" t="s">
        <v>2309</v>
      </c>
      <c r="F79" s="579" t="s">
        <v>2310</v>
      </c>
      <c r="G79" s="579" t="s">
        <v>2311</v>
      </c>
      <c r="H79" s="1858"/>
      <c r="I79" s="1858"/>
      <c r="J79" s="1858"/>
      <c r="K79" s="428"/>
      <c r="L79" s="428"/>
      <c r="M79" s="1859"/>
      <c r="N79" s="3014"/>
      <c r="O79" s="3014"/>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5"/>
      <c r="O80" s="3015"/>
      <c r="P80" s="2056"/>
      <c r="Q80" s="1820"/>
    </row>
    <row r="81" spans="1:17" ht="15.75" thickTop="1">
      <c r="A81" s="1852"/>
      <c r="B81" s="1857" t="s">
        <v>2313</v>
      </c>
      <c r="C81" s="579" t="s">
        <v>2307</v>
      </c>
      <c r="D81" s="579" t="s">
        <v>2308</v>
      </c>
      <c r="E81" s="579" t="s">
        <v>2309</v>
      </c>
      <c r="F81" s="579" t="s">
        <v>2310</v>
      </c>
      <c r="G81" s="579" t="s">
        <v>2311</v>
      </c>
      <c r="H81" s="1858"/>
      <c r="I81" s="1858"/>
      <c r="J81" s="1858"/>
      <c r="K81" s="428"/>
      <c r="L81" s="428"/>
      <c r="M81" s="1859"/>
      <c r="N81" s="3014"/>
      <c r="O81" s="3014"/>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5"/>
      <c r="O82" s="3015"/>
      <c r="P82" s="2056"/>
      <c r="Q82" s="1820"/>
    </row>
    <row r="83" spans="1:17" ht="15.75" thickTop="1">
      <c r="A83" s="1852"/>
      <c r="B83" s="1863" t="s">
        <v>2356</v>
      </c>
      <c r="C83" s="1858" t="s">
        <v>2314</v>
      </c>
      <c r="D83" s="1858" t="s">
        <v>2315</v>
      </c>
      <c r="E83" s="1858" t="s">
        <v>2316</v>
      </c>
      <c r="F83" s="1858" t="s">
        <v>2317</v>
      </c>
      <c r="G83" s="1858" t="s">
        <v>2318</v>
      </c>
      <c r="H83" s="1858"/>
      <c r="I83" s="1858"/>
      <c r="J83" s="1858"/>
      <c r="K83" s="1858"/>
      <c r="L83" s="1858"/>
      <c r="M83" s="1886"/>
      <c r="N83" s="3015"/>
      <c r="O83" s="3015"/>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5"/>
      <c r="N84" s="3015"/>
      <c r="O84" s="3015"/>
      <c r="P84" s="2056"/>
      <c r="Q84" s="1820"/>
    </row>
    <row r="85" spans="1:17" ht="15.75" thickTop="1">
      <c r="A85" s="1852"/>
      <c r="B85" s="1857" t="s">
        <v>2395</v>
      </c>
      <c r="C85" s="579" t="s">
        <v>2307</v>
      </c>
      <c r="D85" s="579" t="s">
        <v>2308</v>
      </c>
      <c r="E85" s="579" t="s">
        <v>2309</v>
      </c>
      <c r="F85" s="579" t="s">
        <v>2310</v>
      </c>
      <c r="G85" s="579" t="s">
        <v>2311</v>
      </c>
      <c r="H85" s="1858"/>
      <c r="I85" s="1858"/>
      <c r="J85" s="1858"/>
      <c r="K85" s="428"/>
      <c r="L85" s="428"/>
      <c r="M85" s="1859"/>
      <c r="N85" s="3014"/>
      <c r="O85" s="3014"/>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5"/>
      <c r="O86" s="3015"/>
      <c r="P86" s="2056"/>
      <c r="Q86" s="1820"/>
    </row>
    <row r="87" spans="1:17" s="1685" customFormat="1" ht="27.75" thickTop="1">
      <c r="A87" s="1888"/>
      <c r="B87" s="1857" t="s">
        <v>2396</v>
      </c>
      <c r="C87" s="468"/>
      <c r="D87" s="468"/>
      <c r="E87" s="468"/>
      <c r="F87" s="468"/>
      <c r="G87" s="468"/>
      <c r="H87" s="468"/>
      <c r="I87" s="468"/>
      <c r="J87" s="468"/>
      <c r="K87" s="468"/>
      <c r="L87" s="468"/>
      <c r="M87" s="1889"/>
      <c r="N87" s="3013"/>
      <c r="O87" s="3013"/>
      <c r="P87" s="2056"/>
      <c r="Q87" s="1820"/>
    </row>
    <row r="88" spans="1:17" s="1685"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5"/>
      <c r="O88" s="3015"/>
      <c r="P88" s="2056"/>
      <c r="Q88" s="1820"/>
    </row>
    <row r="89" spans="1:17" s="1685" customFormat="1" ht="15.75" thickTop="1">
      <c r="A89" s="1888"/>
      <c r="B89" s="1857" t="str">
        <f>B27</f>
        <v>楼层</v>
      </c>
      <c r="C89" s="468"/>
      <c r="D89" s="468"/>
      <c r="E89" s="468"/>
      <c r="F89" s="1891"/>
      <c r="G89" s="468"/>
      <c r="H89" s="468"/>
      <c r="I89" s="468"/>
      <c r="J89" s="468"/>
      <c r="K89" s="468"/>
      <c r="L89" s="468"/>
      <c r="M89" s="1889"/>
      <c r="N89" s="3013"/>
      <c r="O89" s="3013"/>
      <c r="P89" s="2056"/>
      <c r="Q89" s="1820"/>
    </row>
    <row r="90" spans="1:17" s="1685"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5"/>
      <c r="O90" s="3015"/>
      <c r="P90" s="2056"/>
      <c r="Q90" s="1820"/>
    </row>
    <row r="91" spans="1:17" s="1770" customFormat="1" ht="15.75" thickTop="1">
      <c r="A91" s="1868"/>
      <c r="B91" s="1857" t="str">
        <f>B28</f>
        <v>朝向</v>
      </c>
      <c r="C91" s="468"/>
      <c r="D91" s="468"/>
      <c r="E91" s="468"/>
      <c r="F91" s="468"/>
      <c r="G91" s="468"/>
      <c r="H91" s="443"/>
      <c r="I91" s="443"/>
      <c r="J91" s="443"/>
      <c r="K91" s="443"/>
      <c r="L91" s="443"/>
      <c r="M91" s="1869"/>
      <c r="N91" s="3016"/>
      <c r="O91" s="3016"/>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6"/>
      <c r="O92" s="3016"/>
      <c r="P92" s="2057"/>
      <c r="Q92" s="1872"/>
    </row>
    <row r="93" spans="1:17" ht="15.75" thickTop="1">
      <c r="A93" s="1852"/>
      <c r="B93" s="1857">
        <f>B29</f>
        <v>111</v>
      </c>
      <c r="C93" s="468"/>
      <c r="D93" s="468"/>
      <c r="E93" s="468"/>
      <c r="F93" s="468"/>
      <c r="G93" s="468"/>
      <c r="H93" s="468"/>
      <c r="I93" s="468"/>
      <c r="J93" s="468"/>
      <c r="K93" s="468"/>
      <c r="L93" s="468"/>
      <c r="M93" s="1889"/>
      <c r="N93" s="3014"/>
      <c r="O93" s="3014"/>
      <c r="P93" s="2056"/>
      <c r="Q93" s="1820"/>
    </row>
    <row r="94" spans="1:17" ht="15.75" thickBot="1">
      <c r="A94" s="1852"/>
      <c r="B94" s="1860"/>
      <c r="C94" s="1873"/>
      <c r="D94" s="1854"/>
      <c r="E94" s="1854"/>
      <c r="F94" s="1854"/>
      <c r="G94" s="1854"/>
      <c r="H94" s="1854"/>
      <c r="I94" s="1854"/>
      <c r="J94" s="1854"/>
      <c r="K94" s="1854"/>
      <c r="L94" s="1854"/>
      <c r="M94" s="1855"/>
      <c r="N94" s="3015"/>
      <c r="O94" s="3015"/>
      <c r="P94" s="2056"/>
      <c r="Q94" s="1820"/>
    </row>
    <row r="95" spans="1:17" ht="15.75" thickTop="1">
      <c r="A95" s="1852"/>
      <c r="B95" s="1857">
        <f>B30</f>
        <v>111</v>
      </c>
      <c r="C95" s="468"/>
      <c r="D95" s="468"/>
      <c r="E95" s="468"/>
      <c r="F95" s="468"/>
      <c r="G95" s="1578"/>
      <c r="H95" s="1578"/>
      <c r="I95" s="1578"/>
      <c r="J95" s="1578"/>
      <c r="K95" s="473"/>
      <c r="L95" s="473"/>
      <c r="M95" s="1892"/>
      <c r="N95" s="3014"/>
      <c r="O95" s="3014"/>
      <c r="P95" s="2056"/>
      <c r="Q95" s="1820"/>
    </row>
    <row r="96" spans="1:17" ht="15.75" thickBot="1">
      <c r="A96" s="1852"/>
      <c r="B96" s="1860"/>
      <c r="C96" s="1873"/>
      <c r="D96" s="1873"/>
      <c r="E96" s="1873"/>
      <c r="F96" s="1873"/>
      <c r="G96" s="1854"/>
      <c r="H96" s="1854"/>
      <c r="I96" s="1854"/>
      <c r="J96" s="1854"/>
      <c r="K96" s="1854"/>
      <c r="L96" s="1854"/>
      <c r="M96" s="1855"/>
      <c r="N96" s="3015"/>
      <c r="O96" s="3015"/>
      <c r="P96" s="2056"/>
      <c r="Q96" s="1820"/>
    </row>
    <row r="97" spans="1:17" ht="15.75" thickTop="1">
      <c r="A97" s="1852"/>
      <c r="B97" s="1857">
        <f>B31</f>
        <v>111</v>
      </c>
      <c r="C97" s="468"/>
      <c r="D97" s="468"/>
      <c r="E97" s="468"/>
      <c r="F97" s="468"/>
      <c r="G97" s="1578"/>
      <c r="H97" s="1578"/>
      <c r="I97" s="1578"/>
      <c r="J97" s="1578"/>
      <c r="K97" s="473"/>
      <c r="L97" s="473"/>
      <c r="M97" s="1892"/>
      <c r="N97" s="3014"/>
      <c r="O97" s="3014"/>
      <c r="P97" s="2056"/>
      <c r="Q97" s="1820"/>
    </row>
    <row r="98" spans="1:17" ht="15.75" thickBot="1">
      <c r="A98" s="1852"/>
      <c r="B98" s="1860"/>
      <c r="C98" s="1873"/>
      <c r="D98" s="1854"/>
      <c r="E98" s="1854"/>
      <c r="F98" s="1854"/>
      <c r="G98" s="1854"/>
      <c r="H98" s="1854"/>
      <c r="I98" s="1854"/>
      <c r="J98" s="1854"/>
      <c r="K98" s="1854"/>
      <c r="L98" s="1854"/>
      <c r="M98" s="1855"/>
      <c r="N98" s="3015"/>
      <c r="O98" s="3015"/>
      <c r="P98" s="2056"/>
      <c r="Q98" s="1820"/>
    </row>
    <row r="99" spans="1:17" ht="15.75" thickTop="1">
      <c r="A99" s="1852"/>
      <c r="B99" s="1863">
        <f>B32</f>
        <v>111</v>
      </c>
      <c r="C99" s="409"/>
      <c r="D99" s="409"/>
      <c r="E99" s="409"/>
      <c r="F99" s="409"/>
      <c r="G99" s="1893"/>
      <c r="H99" s="1893"/>
      <c r="I99" s="1893"/>
      <c r="J99" s="1893"/>
      <c r="K99" s="477"/>
      <c r="L99" s="477"/>
      <c r="M99" s="1894"/>
      <c r="N99" s="3014"/>
      <c r="O99" s="3014"/>
      <c r="P99" s="2056"/>
      <c r="Q99" s="1820"/>
    </row>
    <row r="100" spans="1:17" ht="15.75" thickBot="1">
      <c r="A100" s="1895"/>
      <c r="B100" s="1880"/>
      <c r="C100" s="1881"/>
      <c r="D100" s="1881"/>
      <c r="E100" s="1881"/>
      <c r="F100" s="1881"/>
      <c r="G100" s="1896"/>
      <c r="H100" s="1896"/>
      <c r="I100" s="1896"/>
      <c r="J100" s="1896"/>
      <c r="K100" s="1896"/>
      <c r="L100" s="1896"/>
      <c r="M100" s="1897"/>
      <c r="N100" s="3015"/>
      <c r="O100" s="3015"/>
      <c r="P100" s="2056"/>
      <c r="Q100" s="1820"/>
    </row>
    <row r="101" spans="1:17">
      <c r="A101" s="1845" t="s">
        <v>2273</v>
      </c>
      <c r="B101" s="1846" t="s">
        <v>2322</v>
      </c>
      <c r="C101" s="1848"/>
      <c r="D101" s="1848"/>
      <c r="E101" s="1848"/>
      <c r="F101" s="1848"/>
      <c r="G101" s="1848"/>
      <c r="H101" s="1848"/>
      <c r="I101" s="1848"/>
      <c r="J101" s="1848"/>
      <c r="K101" s="417"/>
      <c r="L101" s="417"/>
      <c r="M101" s="1849"/>
      <c r="N101" s="3014"/>
      <c r="O101" s="3014"/>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5"/>
      <c r="O102" s="3015"/>
      <c r="P102" s="2056"/>
      <c r="Q102" s="1820"/>
    </row>
    <row r="103" spans="1:17" ht="15.75" thickTop="1">
      <c r="A103" s="1852"/>
      <c r="B103" s="1857"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3"/>
      <c r="O103" s="3013"/>
      <c r="P103" s="2056"/>
      <c r="Q103" s="1820"/>
    </row>
    <row r="104" spans="1:17" s="1770" customFormat="1">
      <c r="A104" s="1898"/>
      <c r="B104" s="1899"/>
      <c r="C104" s="1900"/>
      <c r="D104" s="1900"/>
      <c r="E104" s="1900"/>
      <c r="F104" s="1900"/>
      <c r="G104" s="1900"/>
      <c r="H104" s="1900"/>
      <c r="I104" s="1900"/>
      <c r="J104" s="485"/>
      <c r="K104" s="485"/>
      <c r="L104" s="485"/>
      <c r="M104" s="1901"/>
      <c r="N104" s="3016"/>
      <c r="O104" s="3016"/>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5"/>
      <c r="O105" s="3015"/>
      <c r="P105" s="2057"/>
      <c r="Q105" s="1872"/>
    </row>
    <row r="106" spans="1:17" ht="15" thickTop="1">
      <c r="A106" s="1902"/>
      <c r="B106" s="1857" t="s">
        <v>2324</v>
      </c>
      <c r="C106" s="468"/>
      <c r="D106" s="468"/>
      <c r="E106" s="1578"/>
      <c r="F106" s="1578"/>
      <c r="G106" s="1578"/>
      <c r="H106" s="1578"/>
      <c r="I106" s="1578"/>
      <c r="J106" s="1578"/>
      <c r="K106" s="473"/>
      <c r="L106" s="473"/>
      <c r="M106" s="1892"/>
      <c r="N106" s="3014"/>
      <c r="O106" s="3014"/>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5"/>
      <c r="O107" s="3015"/>
      <c r="P107" s="2056"/>
      <c r="Q107" s="1820"/>
    </row>
    <row r="108" spans="1:17" ht="15" thickTop="1">
      <c r="A108" s="1902"/>
      <c r="B108" s="1857" t="s">
        <v>2326</v>
      </c>
      <c r="C108" s="468"/>
      <c r="D108" s="468"/>
      <c r="E108" s="468"/>
      <c r="F108" s="1578"/>
      <c r="G108" s="1578"/>
      <c r="H108" s="1578"/>
      <c r="I108" s="1578"/>
      <c r="J108" s="1578"/>
      <c r="K108" s="473"/>
      <c r="L108" s="473"/>
      <c r="M108" s="1892"/>
      <c r="N108" s="3014"/>
      <c r="O108" s="3014"/>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5"/>
      <c r="O109" s="3015"/>
      <c r="P109" s="2056"/>
      <c r="Q109" s="1820"/>
    </row>
    <row r="110" spans="1:17" ht="15" thickTop="1">
      <c r="A110" s="1902"/>
      <c r="B110" s="1857"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2"/>
      <c r="N110" s="3014"/>
      <c r="O110" s="3014"/>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4"/>
      <c r="O111" s="3014"/>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5"/>
      <c r="O112" s="3015"/>
      <c r="P112" s="2056"/>
      <c r="Q112" s="1820"/>
    </row>
    <row r="113" spans="1:17" s="1770" customFormat="1" ht="15" thickTop="1">
      <c r="A113" s="1898"/>
      <c r="B113" s="1857" t="s">
        <v>2397</v>
      </c>
      <c r="C113" s="468"/>
      <c r="D113" s="468"/>
      <c r="E113" s="468"/>
      <c r="F113" s="468"/>
      <c r="G113" s="468"/>
      <c r="H113" s="1578"/>
      <c r="I113" s="1578"/>
      <c r="J113" s="1578"/>
      <c r="K113" s="473"/>
      <c r="L113" s="473"/>
      <c r="M113" s="1892"/>
      <c r="N113" s="3016"/>
      <c r="O113" s="3016"/>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6"/>
      <c r="O114" s="3016"/>
      <c r="P114" s="2057"/>
      <c r="Q114" s="1872"/>
    </row>
    <row r="115" spans="1:17" ht="15" thickTop="1">
      <c r="A115" s="1902"/>
      <c r="B115" s="1857" t="s">
        <v>2328</v>
      </c>
      <c r="C115" s="468"/>
      <c r="D115" s="468"/>
      <c r="E115" s="1578"/>
      <c r="F115" s="1578"/>
      <c r="G115" s="1578"/>
      <c r="H115" s="1578"/>
      <c r="I115" s="1578"/>
      <c r="J115" s="1578"/>
      <c r="K115" s="473"/>
      <c r="L115" s="473"/>
      <c r="M115" s="1892"/>
      <c r="N115" s="3014"/>
      <c r="O115" s="3014"/>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5"/>
      <c r="O116" s="3015"/>
      <c r="P116" s="2056"/>
      <c r="Q116" s="1820"/>
    </row>
    <row r="117" spans="1:17" ht="15" thickTop="1">
      <c r="A117" s="1902"/>
      <c r="B117" s="1857" t="s">
        <v>2329</v>
      </c>
      <c r="C117" s="468"/>
      <c r="D117" s="468"/>
      <c r="E117" s="468"/>
      <c r="F117" s="468"/>
      <c r="G117" s="468"/>
      <c r="H117" s="1578"/>
      <c r="I117" s="1578"/>
      <c r="J117" s="1578"/>
      <c r="K117" s="473"/>
      <c r="L117" s="473"/>
      <c r="M117" s="1892"/>
      <c r="N117" s="3014"/>
      <c r="O117" s="3014"/>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5"/>
      <c r="O118" s="3015"/>
      <c r="P118" s="2056"/>
      <c r="Q118" s="1820"/>
    </row>
    <row r="119" spans="1:17" ht="15" thickTop="1">
      <c r="A119" s="1902"/>
      <c r="B119" s="2504" t="s">
        <v>2398</v>
      </c>
      <c r="C119" s="1578"/>
      <c r="D119" s="1578"/>
      <c r="E119" s="1578"/>
      <c r="F119" s="1578"/>
      <c r="G119" s="1578"/>
      <c r="H119" s="1578"/>
      <c r="I119" s="1578"/>
      <c r="J119" s="1578"/>
      <c r="K119" s="1578"/>
      <c r="L119" s="1578"/>
      <c r="M119" s="2505"/>
      <c r="N119" s="3015"/>
      <c r="O119" s="3015"/>
      <c r="P119" s="2506"/>
      <c r="Q119" s="2507"/>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5"/>
      <c r="O120" s="3015"/>
      <c r="P120" s="2056"/>
      <c r="Q120" s="1820"/>
    </row>
    <row r="121" spans="1:17" s="1770" customFormat="1" ht="15" thickTop="1">
      <c r="A121" s="1898"/>
      <c r="B121" s="1857" t="s">
        <v>2380</v>
      </c>
      <c r="C121" s="468"/>
      <c r="D121" s="468"/>
      <c r="E121" s="468"/>
      <c r="F121" s="1578"/>
      <c r="G121" s="443"/>
      <c r="H121" s="443"/>
      <c r="I121" s="443"/>
      <c r="J121" s="443"/>
      <c r="K121" s="443"/>
      <c r="L121" s="443"/>
      <c r="M121" s="1869"/>
      <c r="N121" s="3016"/>
      <c r="O121" s="3016"/>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6"/>
      <c r="O122" s="3016"/>
      <c r="P122" s="2057"/>
      <c r="Q122" s="1872"/>
    </row>
    <row r="123" spans="1:17" ht="15" thickTop="1">
      <c r="A123" s="1902"/>
      <c r="B123" s="1857" t="s">
        <v>2331</v>
      </c>
      <c r="C123" s="468"/>
      <c r="D123" s="468"/>
      <c r="E123" s="468"/>
      <c r="F123" s="1578"/>
      <c r="G123" s="1578"/>
      <c r="H123" s="1578"/>
      <c r="I123" s="1578"/>
      <c r="J123" s="1578"/>
      <c r="K123" s="473"/>
      <c r="L123" s="473"/>
      <c r="M123" s="1892"/>
      <c r="N123" s="3014"/>
      <c r="O123" s="3014"/>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5"/>
      <c r="O124" s="3015"/>
      <c r="P124" s="2056"/>
      <c r="Q124" s="1820"/>
    </row>
    <row r="125" spans="1:17" ht="15" thickTop="1">
      <c r="A125" s="1902"/>
      <c r="B125" s="1857" t="s">
        <v>2332</v>
      </c>
      <c r="C125" s="579" t="s">
        <v>2307</v>
      </c>
      <c r="D125" s="579" t="s">
        <v>2308</v>
      </c>
      <c r="E125" s="579" t="s">
        <v>2309</v>
      </c>
      <c r="F125" s="579" t="s">
        <v>2310</v>
      </c>
      <c r="G125" s="579" t="s">
        <v>2311</v>
      </c>
      <c r="H125" s="1858"/>
      <c r="I125" s="1858"/>
      <c r="J125" s="1858"/>
      <c r="K125" s="428"/>
      <c r="L125" s="428"/>
      <c r="M125" s="1859"/>
      <c r="N125" s="3014"/>
      <c r="O125" s="3014"/>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5"/>
      <c r="O126" s="3015"/>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6"/>
      <c r="O127" s="3016"/>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6"/>
      <c r="O128" s="3016"/>
      <c r="P128" s="2057"/>
      <c r="Q128" s="1872"/>
    </row>
    <row r="129" spans="1:17" ht="15" thickTop="1">
      <c r="A129" s="1902"/>
      <c r="B129" s="1857">
        <f>B46</f>
        <v>111</v>
      </c>
      <c r="C129" s="468"/>
      <c r="D129" s="468"/>
      <c r="E129" s="468"/>
      <c r="F129" s="468"/>
      <c r="G129" s="1578"/>
      <c r="H129" s="1578"/>
      <c r="I129" s="1578"/>
      <c r="J129" s="1578"/>
      <c r="K129" s="473"/>
      <c r="L129" s="473"/>
      <c r="M129" s="1892"/>
      <c r="N129" s="3014"/>
      <c r="O129" s="3014"/>
      <c r="P129" s="2056"/>
      <c r="Q129" s="1820"/>
    </row>
    <row r="130" spans="1:17" ht="15.75" thickBot="1">
      <c r="A130" s="1852"/>
      <c r="B130" s="1860"/>
      <c r="C130" s="1873"/>
      <c r="D130" s="1873"/>
      <c r="E130" s="1873"/>
      <c r="F130" s="1873"/>
      <c r="G130" s="1854"/>
      <c r="H130" s="1854"/>
      <c r="I130" s="1854"/>
      <c r="J130" s="1854"/>
      <c r="K130" s="1854"/>
      <c r="L130" s="1854"/>
      <c r="M130" s="1855"/>
      <c r="N130" s="3015"/>
      <c r="O130" s="3015"/>
      <c r="P130" s="2056"/>
      <c r="Q130" s="1820"/>
    </row>
    <row r="131" spans="1:17" ht="15" thickTop="1">
      <c r="A131" s="1902"/>
      <c r="B131" s="1863">
        <f>B47</f>
        <v>111</v>
      </c>
      <c r="C131" s="409"/>
      <c r="D131" s="409"/>
      <c r="E131" s="409"/>
      <c r="F131" s="409"/>
      <c r="G131" s="1893"/>
      <c r="H131" s="1893"/>
      <c r="I131" s="1893"/>
      <c r="J131" s="1893"/>
      <c r="K131" s="409"/>
      <c r="L131" s="409"/>
      <c r="M131" s="1894"/>
      <c r="N131" s="3014"/>
      <c r="O131" s="3014"/>
      <c r="P131" s="2056"/>
      <c r="Q131" s="1820"/>
    </row>
    <row r="132" spans="1:17" ht="15.75" thickBot="1">
      <c r="A132" s="2508"/>
      <c r="B132" s="1880"/>
      <c r="C132" s="1881"/>
      <c r="D132" s="1881"/>
      <c r="E132" s="1881"/>
      <c r="F132" s="1881"/>
      <c r="G132" s="1896"/>
      <c r="H132" s="1896"/>
      <c r="I132" s="1896"/>
      <c r="J132" s="1896"/>
      <c r="K132" s="1896"/>
      <c r="L132" s="1896"/>
      <c r="M132" s="1897"/>
      <c r="N132" s="3015"/>
      <c r="O132" s="3015"/>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2399</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64.19</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707" t="s">
        <v>2246</v>
      </c>
      <c r="D4" s="3708"/>
      <c r="E4" s="3709" t="s">
        <v>2247</v>
      </c>
      <c r="F4" s="3710"/>
      <c r="G4" s="3707" t="s">
        <v>2248</v>
      </c>
      <c r="H4" s="3708"/>
      <c r="I4" s="3707" t="s">
        <v>2249</v>
      </c>
      <c r="J4" s="3708"/>
      <c r="K4" s="496" t="s">
        <v>2250</v>
      </c>
      <c r="L4" s="3023"/>
      <c r="M4" s="3024"/>
      <c r="N4" s="3024"/>
      <c r="O4" s="3024"/>
      <c r="P4" s="3711" t="s">
        <v>2251</v>
      </c>
      <c r="Q4" s="3712"/>
      <c r="R4" s="3717" t="s">
        <v>2247</v>
      </c>
      <c r="S4" s="3718"/>
      <c r="T4" s="3717" t="s">
        <v>2248</v>
      </c>
      <c r="U4" s="3718"/>
      <c r="V4" s="3723" t="s">
        <v>2249</v>
      </c>
      <c r="W4" s="3723"/>
      <c r="X4" s="1335"/>
      <c r="Y4" s="3717" t="s">
        <v>2251</v>
      </c>
      <c r="Z4" s="3718"/>
      <c r="AA4" s="3704" t="s">
        <v>2247</v>
      </c>
      <c r="AB4" s="3705" t="s">
        <v>2248</v>
      </c>
      <c r="AC4" s="3704" t="s">
        <v>2249</v>
      </c>
    </row>
    <row r="5" spans="1:29" ht="15">
      <c r="A5" s="297"/>
      <c r="B5" s="298"/>
      <c r="C5" s="3700" t="s">
        <v>2252</v>
      </c>
      <c r="D5" s="3701"/>
      <c r="E5" s="3724" t="s">
        <v>2253</v>
      </c>
      <c r="F5" s="3725"/>
      <c r="G5" s="3700" t="s">
        <v>2254</v>
      </c>
      <c r="H5" s="3701"/>
      <c r="I5" s="3700" t="s">
        <v>2255</v>
      </c>
      <c r="J5" s="3701"/>
      <c r="K5" s="496"/>
      <c r="L5" s="3023"/>
      <c r="M5" s="3024"/>
      <c r="N5" s="3024"/>
      <c r="O5" s="3024"/>
      <c r="P5" s="3713"/>
      <c r="Q5" s="3714"/>
      <c r="R5" s="3719"/>
      <c r="S5" s="3720"/>
      <c r="T5" s="3719"/>
      <c r="U5" s="3720"/>
      <c r="V5" s="3723"/>
      <c r="W5" s="3723"/>
      <c r="X5" s="1335"/>
      <c r="Y5" s="3719"/>
      <c r="Z5" s="3720"/>
      <c r="AA5" s="3705"/>
      <c r="AB5" s="3705"/>
      <c r="AC5" s="3705"/>
    </row>
    <row r="6" spans="1:29" ht="15.75" thickBot="1">
      <c r="A6" s="299"/>
      <c r="B6" s="300"/>
      <c r="C6" s="3697" t="s">
        <v>2256</v>
      </c>
      <c r="D6" s="3698"/>
      <c r="E6" s="3695" t="s">
        <v>2256</v>
      </c>
      <c r="F6" s="3696"/>
      <c r="G6" s="3697" t="s">
        <v>2256</v>
      </c>
      <c r="H6" s="3698"/>
      <c r="I6" s="3697" t="s">
        <v>2256</v>
      </c>
      <c r="J6" s="3698"/>
      <c r="K6" s="496" t="s">
        <v>2257</v>
      </c>
      <c r="L6" s="3023"/>
      <c r="M6" s="3024"/>
      <c r="N6" s="3024"/>
      <c r="O6" s="3024"/>
      <c r="P6" s="3715"/>
      <c r="Q6" s="3716"/>
      <c r="R6" s="3719"/>
      <c r="S6" s="3720"/>
      <c r="T6" s="3721"/>
      <c r="U6" s="3722"/>
      <c r="V6" s="3723"/>
      <c r="W6" s="3723"/>
      <c r="X6" s="1335"/>
      <c r="Y6" s="3721"/>
      <c r="Z6" s="3722"/>
      <c r="AA6" s="3706"/>
      <c r="AB6" s="3706"/>
      <c r="AC6" s="3706"/>
    </row>
    <row r="7" spans="1:29" s="25" customFormat="1" ht="15.75" thickBot="1">
      <c r="A7" s="301" t="s">
        <v>2258</v>
      </c>
      <c r="B7" s="302"/>
      <c r="C7" s="303">
        <f>'数据-取费表'!B2</f>
        <v>39004</v>
      </c>
      <c r="D7" s="304">
        <v>100</v>
      </c>
      <c r="E7" s="305"/>
      <c r="F7" s="306">
        <f>SUMIF(52:52,YEAR(E7)&amp;"-"&amp;MONTH(E7),53:53)</f>
        <v>0</v>
      </c>
      <c r="G7" s="305"/>
      <c r="H7" s="304">
        <f>SUMIF(52:52,YEAR(G7)&amp;"-"&amp;MONTH(G7),53:53)</f>
        <v>0</v>
      </c>
      <c r="I7" s="305"/>
      <c r="J7" s="304">
        <f>SUMIF(52:52,YEAR(I7)&amp;"-"&amp;MONTH(I7),53:53)</f>
        <v>0</v>
      </c>
      <c r="K7" s="497"/>
      <c r="L7" s="3025"/>
      <c r="M7" s="3026"/>
      <c r="N7" s="3026"/>
      <c r="O7" s="3026"/>
      <c r="P7" s="3702" t="s">
        <v>2259</v>
      </c>
      <c r="Q7" s="3726"/>
      <c r="R7" s="627" t="s">
        <v>25</v>
      </c>
      <c r="S7" s="628">
        <f t="shared" ref="S7:S15" si="0">F7</f>
        <v>0</v>
      </c>
      <c r="T7" s="627" t="s">
        <v>25</v>
      </c>
      <c r="U7" s="628">
        <f t="shared" ref="U7:U15" si="1">H7</f>
        <v>0</v>
      </c>
      <c r="V7" s="627" t="s">
        <v>25</v>
      </c>
      <c r="W7" s="628">
        <f t="shared" ref="W7:W15" si="2">J7</f>
        <v>0</v>
      </c>
      <c r="X7" s="629"/>
      <c r="Y7" s="3702" t="s">
        <v>2259</v>
      </c>
      <c r="Z7" s="3703"/>
      <c r="AA7" s="630" t="e">
        <f>D7/F7</f>
        <v>#DIV/0!</v>
      </c>
      <c r="AB7" s="630" t="e">
        <f>D7/H7</f>
        <v>#DIV/0!</v>
      </c>
      <c r="AC7" s="630" t="e">
        <f>D7/J7</f>
        <v>#DIV/0!</v>
      </c>
    </row>
    <row r="8" spans="1:29" s="25" customFormat="1" ht="15.75" thickBot="1">
      <c r="A8" s="301" t="s">
        <v>2260</v>
      </c>
      <c r="B8" s="302"/>
      <c r="C8" s="307" t="s">
        <v>2879</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702" t="s">
        <v>2262</v>
      </c>
      <c r="Q8" s="3703"/>
      <c r="R8" s="627" t="s">
        <v>25</v>
      </c>
      <c r="S8" s="628">
        <f t="shared" si="0"/>
        <v>0</v>
      </c>
      <c r="T8" s="627" t="s">
        <v>25</v>
      </c>
      <c r="U8" s="628">
        <f t="shared" si="1"/>
        <v>0</v>
      </c>
      <c r="V8" s="627" t="s">
        <v>25</v>
      </c>
      <c r="W8" s="628">
        <f t="shared" si="2"/>
        <v>0</v>
      </c>
      <c r="X8" s="629"/>
      <c r="Y8" s="3702" t="s">
        <v>2262</v>
      </c>
      <c r="Z8" s="3703"/>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699" t="s">
        <v>2265</v>
      </c>
      <c r="Q9" s="1327" t="str">
        <f t="shared" ref="Q9:Q15" si="6">B9</f>
        <v>用途</v>
      </c>
      <c r="R9" s="627" t="s">
        <v>25</v>
      </c>
      <c r="S9" s="628">
        <f t="shared" si="0"/>
        <v>100</v>
      </c>
      <c r="T9" s="627" t="s">
        <v>25</v>
      </c>
      <c r="U9" s="628">
        <f t="shared" si="1"/>
        <v>100</v>
      </c>
      <c r="V9" s="627" t="s">
        <v>25</v>
      </c>
      <c r="W9" s="628">
        <f t="shared" si="2"/>
        <v>100</v>
      </c>
      <c r="X9" s="629"/>
      <c r="Y9" s="3729"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699"/>
      <c r="Q10" s="1327" t="str">
        <f t="shared" si="6"/>
        <v>土地使用年限（年）</v>
      </c>
      <c r="R10" s="627" t="s">
        <v>25</v>
      </c>
      <c r="S10" s="628">
        <f t="shared" si="0"/>
        <v>100</v>
      </c>
      <c r="T10" s="627" t="s">
        <v>25</v>
      </c>
      <c r="U10" s="628">
        <f t="shared" si="1"/>
        <v>100</v>
      </c>
      <c r="V10" s="627" t="s">
        <v>25</v>
      </c>
      <c r="W10" s="628">
        <f t="shared" si="2"/>
        <v>100</v>
      </c>
      <c r="X10" s="629"/>
      <c r="Y10" s="3729"/>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699"/>
      <c r="Q11" s="1327" t="str">
        <f t="shared" si="6"/>
        <v>容积率</v>
      </c>
      <c r="R11" s="627" t="s">
        <v>25</v>
      </c>
      <c r="S11" s="628" t="e">
        <f t="shared" si="0"/>
        <v>#N/A</v>
      </c>
      <c r="T11" s="627" t="s">
        <v>25</v>
      </c>
      <c r="U11" s="628" t="e">
        <f t="shared" si="1"/>
        <v>#N/A</v>
      </c>
      <c r="V11" s="627" t="s">
        <v>25</v>
      </c>
      <c r="W11" s="628" t="e">
        <f t="shared" si="2"/>
        <v>#N/A</v>
      </c>
      <c r="X11" s="629"/>
      <c r="Y11" s="3729"/>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5"/>
      <c r="M12" s="3026"/>
      <c r="N12" s="3026"/>
      <c r="O12" s="3027"/>
      <c r="P12" s="3699"/>
      <c r="Q12" s="1327">
        <f t="shared" si="6"/>
        <v>111</v>
      </c>
      <c r="R12" s="627" t="s">
        <v>25</v>
      </c>
      <c r="S12" s="628">
        <f t="shared" si="0"/>
        <v>100</v>
      </c>
      <c r="T12" s="627" t="s">
        <v>25</v>
      </c>
      <c r="U12" s="628">
        <f t="shared" si="1"/>
        <v>100</v>
      </c>
      <c r="V12" s="627" t="s">
        <v>25</v>
      </c>
      <c r="W12" s="628">
        <f t="shared" si="2"/>
        <v>100</v>
      </c>
      <c r="X12" s="629"/>
      <c r="Y12" s="3729"/>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3"/>
      <c r="M13" s="3024"/>
      <c r="N13" s="3024"/>
      <c r="O13" s="3032"/>
      <c r="P13" s="3699"/>
      <c r="Q13" s="1327">
        <f t="shared" si="6"/>
        <v>111</v>
      </c>
      <c r="R13" s="627" t="s">
        <v>25</v>
      </c>
      <c r="S13" s="628">
        <f t="shared" si="0"/>
        <v>100</v>
      </c>
      <c r="T13" s="627" t="s">
        <v>25</v>
      </c>
      <c r="U13" s="628">
        <f t="shared" si="1"/>
        <v>100</v>
      </c>
      <c r="V13" s="627" t="s">
        <v>25</v>
      </c>
      <c r="W13" s="628">
        <f t="shared" si="2"/>
        <v>100</v>
      </c>
      <c r="X13" s="629"/>
      <c r="Y13" s="3729"/>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3"/>
      <c r="M14" s="3024"/>
      <c r="N14" s="3024"/>
      <c r="O14" s="3032"/>
      <c r="P14" s="3699"/>
      <c r="Q14" s="1327">
        <f t="shared" si="6"/>
        <v>111</v>
      </c>
      <c r="R14" s="627" t="s">
        <v>25</v>
      </c>
      <c r="S14" s="628">
        <f t="shared" si="0"/>
        <v>100</v>
      </c>
      <c r="T14" s="627" t="s">
        <v>25</v>
      </c>
      <c r="U14" s="628">
        <f t="shared" si="1"/>
        <v>100</v>
      </c>
      <c r="V14" s="627" t="s">
        <v>25</v>
      </c>
      <c r="W14" s="628">
        <f t="shared" si="2"/>
        <v>100</v>
      </c>
      <c r="X14" s="629"/>
      <c r="Y14" s="3729"/>
      <c r="Z14" s="19">
        <f t="shared" si="7"/>
        <v>111</v>
      </c>
      <c r="AA14" s="630">
        <f t="shared" si="3"/>
        <v>1</v>
      </c>
      <c r="AB14" s="630">
        <f t="shared" si="4"/>
        <v>1</v>
      </c>
      <c r="AC14" s="630">
        <f t="shared" si="5"/>
        <v>1</v>
      </c>
    </row>
    <row r="15" spans="1:29" ht="57">
      <c r="A15" s="329" t="s">
        <v>2269</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727" t="s">
        <v>2270</v>
      </c>
      <c r="Q15" s="1334" t="str">
        <f t="shared" si="6"/>
        <v>产业集聚程度</v>
      </c>
      <c r="R15" s="631" t="s">
        <v>25</v>
      </c>
      <c r="S15" s="632">
        <f t="shared" si="0"/>
        <v>100</v>
      </c>
      <c r="T15" s="631" t="s">
        <v>25</v>
      </c>
      <c r="U15" s="632">
        <f t="shared" si="1"/>
        <v>100</v>
      </c>
      <c r="V15" s="631" t="s">
        <v>25</v>
      </c>
      <c r="W15" s="632">
        <f t="shared" si="2"/>
        <v>100</v>
      </c>
      <c r="X15" s="1335"/>
      <c r="Y15" s="3727"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3728"/>
      <c r="Q16" s="1334"/>
      <c r="R16" s="631"/>
      <c r="S16" s="632"/>
      <c r="T16" s="631"/>
      <c r="U16" s="632"/>
      <c r="V16" s="631"/>
      <c r="W16" s="632"/>
      <c r="X16" s="1335"/>
      <c r="Y16" s="3728"/>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728"/>
      <c r="Q17" s="1334" t="str">
        <f>B17</f>
        <v>交通便捷度</v>
      </c>
      <c r="R17" s="631" t="s">
        <v>25</v>
      </c>
      <c r="S17" s="632">
        <f>F17</f>
        <v>100</v>
      </c>
      <c r="T17" s="631" t="s">
        <v>25</v>
      </c>
      <c r="U17" s="632">
        <f>H17</f>
        <v>100</v>
      </c>
      <c r="V17" s="631" t="s">
        <v>25</v>
      </c>
      <c r="W17" s="632">
        <f>J17</f>
        <v>100</v>
      </c>
      <c r="X17" s="1335"/>
      <c r="Y17" s="3728"/>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3"/>
      <c r="M18" s="3024"/>
      <c r="N18" s="3024"/>
      <c r="O18" s="3032"/>
      <c r="P18" s="3728"/>
      <c r="Q18" s="1334"/>
      <c r="R18" s="631"/>
      <c r="S18" s="632"/>
      <c r="T18" s="631"/>
      <c r="U18" s="632"/>
      <c r="V18" s="631"/>
      <c r="W18" s="632"/>
      <c r="X18" s="1335"/>
      <c r="Y18" s="3728"/>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728"/>
      <c r="Q19" s="1334" t="str">
        <f>B19</f>
        <v>公共配套设施</v>
      </c>
      <c r="R19" s="631" t="s">
        <v>25</v>
      </c>
      <c r="S19" s="632">
        <f>F19</f>
        <v>100</v>
      </c>
      <c r="T19" s="631" t="s">
        <v>25</v>
      </c>
      <c r="U19" s="632">
        <f>H19</f>
        <v>100</v>
      </c>
      <c r="V19" s="631" t="s">
        <v>25</v>
      </c>
      <c r="W19" s="632">
        <f>J19</f>
        <v>100</v>
      </c>
      <c r="X19" s="1335"/>
      <c r="Y19" s="3728"/>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3"/>
      <c r="M20" s="3024"/>
      <c r="N20" s="3024"/>
      <c r="O20" s="3032"/>
      <c r="P20" s="3728"/>
      <c r="Q20" s="1334"/>
      <c r="R20" s="631"/>
      <c r="S20" s="632"/>
      <c r="T20" s="631"/>
      <c r="U20" s="632"/>
      <c r="V20" s="631"/>
      <c r="W20" s="632"/>
      <c r="X20" s="1335"/>
      <c r="Y20" s="3728"/>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728"/>
      <c r="Q21" s="1334" t="str">
        <f>B21</f>
        <v>基础设施水平</v>
      </c>
      <c r="R21" s="631" t="s">
        <v>25</v>
      </c>
      <c r="S21" s="632">
        <f>F21</f>
        <v>100</v>
      </c>
      <c r="T21" s="631" t="s">
        <v>25</v>
      </c>
      <c r="U21" s="632">
        <f>H21</f>
        <v>100</v>
      </c>
      <c r="V21" s="631" t="s">
        <v>25</v>
      </c>
      <c r="W21" s="632">
        <f>J21</f>
        <v>100</v>
      </c>
      <c r="X21" s="1335"/>
      <c r="Y21" s="3728"/>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3"/>
      <c r="M22" s="3024"/>
      <c r="N22" s="3024"/>
      <c r="O22" s="3032"/>
      <c r="P22" s="3728"/>
      <c r="Q22" s="1334"/>
      <c r="R22" s="631"/>
      <c r="S22" s="632"/>
      <c r="T22" s="631"/>
      <c r="U22" s="632"/>
      <c r="V22" s="631"/>
      <c r="W22" s="632"/>
      <c r="X22" s="1335"/>
      <c r="Y22" s="3728"/>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728"/>
      <c r="Q23" s="1334" t="str">
        <f>B23</f>
        <v>环境质量</v>
      </c>
      <c r="R23" s="631" t="s">
        <v>25</v>
      </c>
      <c r="S23" s="632">
        <f>F23</f>
        <v>100</v>
      </c>
      <c r="T23" s="631" t="s">
        <v>25</v>
      </c>
      <c r="U23" s="632">
        <f>H23</f>
        <v>100</v>
      </c>
      <c r="V23" s="631" t="s">
        <v>25</v>
      </c>
      <c r="W23" s="632">
        <f>J23</f>
        <v>100</v>
      </c>
      <c r="X23" s="1335"/>
      <c r="Y23" s="3728"/>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3"/>
      <c r="M24" s="3024"/>
      <c r="N24" s="3024"/>
      <c r="O24" s="3032"/>
      <c r="P24" s="3728"/>
      <c r="Q24" s="1334"/>
      <c r="R24" s="631"/>
      <c r="S24" s="632"/>
      <c r="T24" s="631"/>
      <c r="U24" s="632"/>
      <c r="V24" s="631"/>
      <c r="W24" s="632"/>
      <c r="X24" s="1335"/>
      <c r="Y24" s="3728"/>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728"/>
      <c r="Q25" s="1334">
        <f>B25</f>
        <v>111</v>
      </c>
      <c r="R25" s="631" t="s">
        <v>25</v>
      </c>
      <c r="S25" s="632">
        <f>F25</f>
        <v>100</v>
      </c>
      <c r="T25" s="631" t="s">
        <v>25</v>
      </c>
      <c r="U25" s="632">
        <f>H25</f>
        <v>100</v>
      </c>
      <c r="V25" s="631" t="s">
        <v>25</v>
      </c>
      <c r="W25" s="632">
        <f>J25</f>
        <v>100</v>
      </c>
      <c r="X25" s="1335"/>
      <c r="Y25" s="3728"/>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728"/>
      <c r="Q26" s="1334">
        <f t="shared" ref="Q26:Q40" si="11">B26</f>
        <v>111</v>
      </c>
      <c r="R26" s="631" t="s">
        <v>25</v>
      </c>
      <c r="S26" s="632">
        <f>F26</f>
        <v>100</v>
      </c>
      <c r="T26" s="631" t="s">
        <v>25</v>
      </c>
      <c r="U26" s="632">
        <f>H26</f>
        <v>100</v>
      </c>
      <c r="V26" s="631" t="s">
        <v>25</v>
      </c>
      <c r="W26" s="632">
        <f>J26</f>
        <v>100</v>
      </c>
      <c r="X26" s="1335"/>
      <c r="Y26" s="3728"/>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728"/>
      <c r="Q27" s="1327">
        <f t="shared" si="11"/>
        <v>111</v>
      </c>
      <c r="R27" s="627" t="s">
        <v>25</v>
      </c>
      <c r="S27" s="628">
        <f>F27</f>
        <v>100</v>
      </c>
      <c r="T27" s="627" t="s">
        <v>25</v>
      </c>
      <c r="U27" s="628">
        <f>H27</f>
        <v>100</v>
      </c>
      <c r="V27" s="627" t="s">
        <v>25</v>
      </c>
      <c r="W27" s="628">
        <f>J27</f>
        <v>100</v>
      </c>
      <c r="X27" s="629"/>
      <c r="Y27" s="3728"/>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728"/>
      <c r="Q28" s="1334">
        <f t="shared" si="11"/>
        <v>111</v>
      </c>
      <c r="R28" s="631" t="s">
        <v>25</v>
      </c>
      <c r="S28" s="632">
        <f t="shared" ref="S28:S40" si="12">F28</f>
        <v>100</v>
      </c>
      <c r="T28" s="631" t="s">
        <v>25</v>
      </c>
      <c r="U28" s="632">
        <f t="shared" ref="U28:U40" si="13">H28</f>
        <v>100</v>
      </c>
      <c r="V28" s="631" t="s">
        <v>25</v>
      </c>
      <c r="W28" s="632">
        <f t="shared" ref="W28:W40" si="14">J28</f>
        <v>100</v>
      </c>
      <c r="X28" s="1335"/>
      <c r="Y28" s="3728"/>
      <c r="Z28" s="1336">
        <f t="shared" ref="Z28:Z40" si="15">Q28</f>
        <v>111</v>
      </c>
      <c r="AA28" s="1337">
        <f t="shared" si="3"/>
        <v>1</v>
      </c>
      <c r="AB28" s="1337">
        <f t="shared" si="4"/>
        <v>1</v>
      </c>
      <c r="AC28" s="1337">
        <f t="shared" si="5"/>
        <v>1</v>
      </c>
    </row>
    <row r="29" spans="1:29" ht="28.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3"/>
      <c r="M29" s="3024"/>
      <c r="N29" s="3024"/>
      <c r="O29" s="3032"/>
      <c r="P29" s="3730" t="s">
        <v>2275</v>
      </c>
      <c r="Q29" s="1334" t="str">
        <f t="shared" si="11"/>
        <v>建筑类型</v>
      </c>
      <c r="R29" s="631" t="s">
        <v>25</v>
      </c>
      <c r="S29" s="632">
        <f t="shared" si="12"/>
        <v>100</v>
      </c>
      <c r="T29" s="631" t="s">
        <v>25</v>
      </c>
      <c r="U29" s="632">
        <f t="shared" si="13"/>
        <v>100</v>
      </c>
      <c r="V29" s="631" t="s">
        <v>25</v>
      </c>
      <c r="W29" s="632">
        <f t="shared" si="14"/>
        <v>100</v>
      </c>
      <c r="X29" s="1335"/>
      <c r="Y29" s="3731"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731"/>
      <c r="Q30" s="633" t="str">
        <f t="shared" si="11"/>
        <v>项目建筑规模</v>
      </c>
      <c r="R30" s="634" t="s">
        <v>25</v>
      </c>
      <c r="S30" s="635" t="e">
        <f t="shared" si="12"/>
        <v>#N/A</v>
      </c>
      <c r="T30" s="634" t="s">
        <v>25</v>
      </c>
      <c r="U30" s="635" t="e">
        <f t="shared" si="13"/>
        <v>#N/A</v>
      </c>
      <c r="V30" s="634" t="s">
        <v>25</v>
      </c>
      <c r="W30" s="635" t="e">
        <f t="shared" si="14"/>
        <v>#N/A</v>
      </c>
      <c r="X30" s="636"/>
      <c r="Y30" s="3731"/>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731"/>
      <c r="Q31" s="1334" t="str">
        <f t="shared" si="11"/>
        <v>建筑结构</v>
      </c>
      <c r="R31" s="631" t="s">
        <v>25</v>
      </c>
      <c r="S31" s="632">
        <f t="shared" si="12"/>
        <v>100</v>
      </c>
      <c r="T31" s="631" t="s">
        <v>25</v>
      </c>
      <c r="U31" s="632">
        <f t="shared" si="13"/>
        <v>100</v>
      </c>
      <c r="V31" s="631" t="s">
        <v>25</v>
      </c>
      <c r="W31" s="632">
        <f t="shared" si="14"/>
        <v>100</v>
      </c>
      <c r="X31" s="1335"/>
      <c r="Y31" s="3731"/>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731"/>
      <c r="Q32" s="1334" t="str">
        <f t="shared" si="11"/>
        <v>公共部分装修</v>
      </c>
      <c r="R32" s="631" t="s">
        <v>25</v>
      </c>
      <c r="S32" s="632">
        <f t="shared" si="12"/>
        <v>100</v>
      </c>
      <c r="T32" s="631" t="s">
        <v>25</v>
      </c>
      <c r="U32" s="632">
        <f t="shared" si="13"/>
        <v>100</v>
      </c>
      <c r="V32" s="631" t="s">
        <v>25</v>
      </c>
      <c r="W32" s="632">
        <f t="shared" si="14"/>
        <v>100</v>
      </c>
      <c r="X32" s="1335"/>
      <c r="Y32" s="3731"/>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731"/>
      <c r="Q33" s="1334" t="str">
        <f t="shared" si="11"/>
        <v>成新度</v>
      </c>
      <c r="R33" s="631" t="s">
        <v>25</v>
      </c>
      <c r="S33" s="632" t="e">
        <f t="shared" si="12"/>
        <v>#N/A</v>
      </c>
      <c r="T33" s="631" t="s">
        <v>25</v>
      </c>
      <c r="U33" s="632" t="e">
        <f t="shared" si="13"/>
        <v>#N/A</v>
      </c>
      <c r="V33" s="631" t="s">
        <v>25</v>
      </c>
      <c r="W33" s="632" t="e">
        <f t="shared" si="14"/>
        <v>#N/A</v>
      </c>
      <c r="X33" s="1335"/>
      <c r="Y33" s="3731"/>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731"/>
      <c r="Q34" s="1327" t="str">
        <f t="shared" si="11"/>
        <v>物业管理</v>
      </c>
      <c r="R34" s="627" t="s">
        <v>25</v>
      </c>
      <c r="S34" s="628">
        <f t="shared" si="12"/>
        <v>100</v>
      </c>
      <c r="T34" s="627" t="s">
        <v>25</v>
      </c>
      <c r="U34" s="628">
        <f t="shared" si="13"/>
        <v>100</v>
      </c>
      <c r="V34" s="627" t="s">
        <v>25</v>
      </c>
      <c r="W34" s="628">
        <f t="shared" si="14"/>
        <v>100</v>
      </c>
      <c r="X34" s="629"/>
      <c r="Y34" s="3731"/>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731" t="s">
        <v>2275</v>
      </c>
      <c r="Q35" s="1334" t="str">
        <f t="shared" si="11"/>
        <v>市政基础设施</v>
      </c>
      <c r="R35" s="631" t="s">
        <v>25</v>
      </c>
      <c r="S35" s="632">
        <f t="shared" si="12"/>
        <v>100</v>
      </c>
      <c r="T35" s="631" t="s">
        <v>25</v>
      </c>
      <c r="U35" s="632">
        <f t="shared" si="13"/>
        <v>100</v>
      </c>
      <c r="V35" s="631" t="s">
        <v>25</v>
      </c>
      <c r="W35" s="632">
        <f t="shared" si="14"/>
        <v>100</v>
      </c>
      <c r="X35" s="1335"/>
      <c r="Y35" s="3731"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731"/>
      <c r="Q36" s="1334" t="str">
        <f t="shared" si="11"/>
        <v>内部装修</v>
      </c>
      <c r="R36" s="631" t="s">
        <v>25</v>
      </c>
      <c r="S36" s="632">
        <f t="shared" si="12"/>
        <v>100</v>
      </c>
      <c r="T36" s="631" t="s">
        <v>25</v>
      </c>
      <c r="U36" s="632">
        <f t="shared" si="13"/>
        <v>100</v>
      </c>
      <c r="V36" s="631" t="s">
        <v>25</v>
      </c>
      <c r="W36" s="632">
        <f t="shared" si="14"/>
        <v>100</v>
      </c>
      <c r="X36" s="1335"/>
      <c r="Y36" s="3731"/>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731"/>
      <c r="Q37" s="1334" t="str">
        <f t="shared" si="11"/>
        <v>内部装修状况</v>
      </c>
      <c r="R37" s="631" t="s">
        <v>25</v>
      </c>
      <c r="S37" s="632">
        <f t="shared" si="12"/>
        <v>100</v>
      </c>
      <c r="T37" s="631" t="s">
        <v>25</v>
      </c>
      <c r="U37" s="632">
        <f t="shared" si="13"/>
        <v>100</v>
      </c>
      <c r="V37" s="631" t="s">
        <v>25</v>
      </c>
      <c r="W37" s="632">
        <f t="shared" si="14"/>
        <v>100</v>
      </c>
      <c r="X37" s="1335"/>
      <c r="Y37" s="3731"/>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731"/>
      <c r="Q38" s="633">
        <f t="shared" si="11"/>
        <v>111</v>
      </c>
      <c r="R38" s="634" t="s">
        <v>25</v>
      </c>
      <c r="S38" s="635">
        <f t="shared" si="12"/>
        <v>100</v>
      </c>
      <c r="T38" s="634" t="s">
        <v>25</v>
      </c>
      <c r="U38" s="635">
        <f t="shared" si="13"/>
        <v>100</v>
      </c>
      <c r="V38" s="634" t="s">
        <v>25</v>
      </c>
      <c r="W38" s="635">
        <f t="shared" si="14"/>
        <v>100</v>
      </c>
      <c r="X38" s="636"/>
      <c r="Y38" s="3731"/>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731"/>
      <c r="Q39" s="1334">
        <f t="shared" si="11"/>
        <v>111</v>
      </c>
      <c r="R39" s="631" t="s">
        <v>25</v>
      </c>
      <c r="S39" s="632">
        <f t="shared" si="12"/>
        <v>100</v>
      </c>
      <c r="T39" s="631" t="s">
        <v>25</v>
      </c>
      <c r="U39" s="632">
        <f t="shared" si="13"/>
        <v>100</v>
      </c>
      <c r="V39" s="631" t="s">
        <v>25</v>
      </c>
      <c r="W39" s="632">
        <f t="shared" si="14"/>
        <v>100</v>
      </c>
      <c r="X39" s="1335"/>
      <c r="Y39" s="3731"/>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732"/>
      <c r="Q40" s="1334">
        <f t="shared" si="11"/>
        <v>111</v>
      </c>
      <c r="R40" s="631" t="s">
        <v>25</v>
      </c>
      <c r="S40" s="632">
        <f t="shared" si="12"/>
        <v>100</v>
      </c>
      <c r="T40" s="631" t="s">
        <v>25</v>
      </c>
      <c r="U40" s="632">
        <f t="shared" si="13"/>
        <v>100</v>
      </c>
      <c r="V40" s="631" t="s">
        <v>25</v>
      </c>
      <c r="W40" s="632">
        <f t="shared" si="14"/>
        <v>100</v>
      </c>
      <c r="X40" s="1335"/>
      <c r="Y40" s="3732"/>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5"/>
      <c r="N41" s="3024"/>
      <c r="P41" s="3699" t="str">
        <f>A41</f>
        <v>成交单价（元/平方米）</v>
      </c>
      <c r="Q41" s="3699"/>
      <c r="R41" s="3733">
        <f>E41</f>
        <v>0</v>
      </c>
      <c r="S41" s="3733"/>
      <c r="T41" s="3733">
        <f>G41</f>
        <v>0</v>
      </c>
      <c r="U41" s="3733"/>
      <c r="V41" s="3733">
        <f>I41</f>
        <v>0</v>
      </c>
      <c r="W41" s="3733"/>
      <c r="X41" s="618"/>
      <c r="Y41" s="638"/>
      <c r="Z41" s="618"/>
      <c r="AA41" s="618"/>
      <c r="AB41" s="618"/>
      <c r="AC41" s="618"/>
    </row>
    <row r="42" spans="1:29" ht="15.75" thickBot="1">
      <c r="A42" s="374" t="s">
        <v>2370</v>
      </c>
      <c r="B42" s="375"/>
      <c r="C42" s="1159" t="e">
        <f>R43</f>
        <v>#DIV/0!</v>
      </c>
      <c r="D42" s="1795" t="s">
        <v>2744</v>
      </c>
      <c r="E42" s="1160" t="e">
        <f>R42</f>
        <v>#DIV/0!</v>
      </c>
      <c r="F42" s="1797"/>
      <c r="G42" s="1159" t="e">
        <f>T42</f>
        <v>#DIV/0!</v>
      </c>
      <c r="H42" s="1797"/>
      <c r="I42" s="1160" t="e">
        <f>V42</f>
        <v>#DIV/0!</v>
      </c>
      <c r="J42" s="1797"/>
      <c r="K42" s="2509">
        <f>F42+H42+J42</f>
        <v>0</v>
      </c>
      <c r="L42" s="3035"/>
      <c r="N42" s="3024"/>
      <c r="P42" s="3699" t="str">
        <f>A42</f>
        <v>比较价值（元/平方米）</v>
      </c>
      <c r="Q42" s="3699"/>
      <c r="R42" s="3733" t="e">
        <f>IF(E1="售价",ROUND(PRODUCT(R41,AA7:AA40),0),ROUND(PRODUCT(R41,AA7:AA40),1))</f>
        <v>#DIV/0!</v>
      </c>
      <c r="S42" s="3733"/>
      <c r="T42" s="3733" t="e">
        <f>IF(E1="售价",ROUND(PRODUCT(T41,AB7:AB40),0),ROUND(PRODUCT(T41,AB7:AB40),1))</f>
        <v>#DIV/0!</v>
      </c>
      <c r="U42" s="3733"/>
      <c r="V42" s="3733" t="e">
        <f>IF(E1="售价",ROUND(PRODUCT(V41,AC7:AC40),0),ROUND(PRODUCT(V41,AC7:AC40),1))</f>
        <v>#DIV/0!</v>
      </c>
      <c r="W42" s="3733"/>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5"/>
      <c r="P43" s="3734" t="str">
        <f>A43</f>
        <v>估价对象XX用房的比较价值（楼面单价，元/平方米）</v>
      </c>
      <c r="Q43" s="3735"/>
      <c r="R43" s="3736" t="e">
        <f>IF(E1="售价",ROUND(IF(D42="简单平均",AVERAGE(R42:V42),R42*F42+T42*H42+V42*J42),0),ROUND(IF(D42="简单平均",AVERAGE(R42:V42),R42*F42+T42*H42+V42*J42),1))</f>
        <v>#DIV/0!</v>
      </c>
      <c r="S43" s="3736"/>
      <c r="T43" s="3736"/>
      <c r="U43" s="3736"/>
      <c r="V43" s="3736"/>
      <c r="W43" s="3736"/>
      <c r="X43" s="618"/>
      <c r="Y43" s="618"/>
      <c r="Z43" s="618"/>
      <c r="AA43" s="618"/>
      <c r="AB43" s="618"/>
      <c r="AC43" s="618"/>
    </row>
    <row r="44" spans="1:29">
      <c r="G44" s="3038"/>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2375</v>
      </c>
      <c r="B51" s="618"/>
      <c r="C51" s="621"/>
      <c r="D51" s="621"/>
      <c r="E51" s="621"/>
      <c r="F51" s="622"/>
      <c r="G51" s="622"/>
      <c r="H51" s="621"/>
      <c r="I51" s="621"/>
      <c r="J51" s="621"/>
      <c r="K51" s="623"/>
      <c r="L51" s="624"/>
      <c r="M51" s="621"/>
      <c r="N51" s="3041"/>
      <c r="O51" s="3041"/>
      <c r="P51" s="389"/>
      <c r="Q51" s="390"/>
    </row>
    <row r="52" spans="1:17" s="394" customFormat="1" ht="15">
      <c r="A52" s="391" t="s">
        <v>2258</v>
      </c>
      <c r="B52" s="392"/>
      <c r="C52" s="1187" t="str">
        <f>YEAR(C7)&amp;"-"&amp;MONTH(C7)</f>
        <v>2006-10</v>
      </c>
      <c r="D52" s="1188">
        <f>EDATE(C52,-1)</f>
        <v>38961</v>
      </c>
      <c r="E52" s="1189">
        <f t="shared" ref="E52:O52" si="16">EDATE(D52,-1)</f>
        <v>38930</v>
      </c>
      <c r="F52" s="1189">
        <f t="shared" si="16"/>
        <v>38899</v>
      </c>
      <c r="G52" s="1189">
        <f t="shared" si="16"/>
        <v>38869</v>
      </c>
      <c r="H52" s="1189">
        <f t="shared" si="16"/>
        <v>38838</v>
      </c>
      <c r="I52" s="1189">
        <f t="shared" si="16"/>
        <v>38808</v>
      </c>
      <c r="J52" s="1189">
        <f t="shared" si="16"/>
        <v>38777</v>
      </c>
      <c r="K52" s="1189">
        <f t="shared" si="16"/>
        <v>38749</v>
      </c>
      <c r="L52" s="1189">
        <f t="shared" si="16"/>
        <v>38718</v>
      </c>
      <c r="M52" s="1189">
        <f t="shared" si="16"/>
        <v>38687</v>
      </c>
      <c r="N52" s="1189">
        <f t="shared" si="16"/>
        <v>38657</v>
      </c>
      <c r="O52" s="1189">
        <f t="shared" si="16"/>
        <v>38626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64.19</v>
      </c>
      <c r="E3" s="839" t="s">
        <v>2405</v>
      </c>
      <c r="F3" s="293">
        <f>'数据-取费表'!B42</f>
        <v>0</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707" t="s">
        <v>2246</v>
      </c>
      <c r="D4" s="3708"/>
      <c r="E4" s="3709" t="s">
        <v>2247</v>
      </c>
      <c r="F4" s="3710"/>
      <c r="G4" s="3707" t="s">
        <v>2248</v>
      </c>
      <c r="H4" s="3708"/>
      <c r="I4" s="3707" t="s">
        <v>2249</v>
      </c>
      <c r="J4" s="3708"/>
      <c r="K4" s="496" t="s">
        <v>2250</v>
      </c>
      <c r="L4" s="3023"/>
      <c r="M4" s="3024"/>
      <c r="N4" s="3024"/>
      <c r="O4" s="3024"/>
      <c r="P4" s="3711" t="s">
        <v>2251</v>
      </c>
      <c r="Q4" s="3712"/>
      <c r="R4" s="3717" t="s">
        <v>2247</v>
      </c>
      <c r="S4" s="3718"/>
      <c r="T4" s="3717" t="s">
        <v>2248</v>
      </c>
      <c r="U4" s="3718"/>
      <c r="V4" s="3723" t="s">
        <v>2249</v>
      </c>
      <c r="W4" s="3723"/>
      <c r="X4" s="1335"/>
      <c r="Y4" s="3717" t="s">
        <v>2251</v>
      </c>
      <c r="Z4" s="3718"/>
      <c r="AA4" s="3704" t="s">
        <v>2247</v>
      </c>
      <c r="AB4" s="3705" t="s">
        <v>2248</v>
      </c>
      <c r="AC4" s="3704" t="s">
        <v>2249</v>
      </c>
    </row>
    <row r="5" spans="1:29" ht="15">
      <c r="A5" s="297"/>
      <c r="B5" s="298"/>
      <c r="C5" s="3700" t="s">
        <v>2252</v>
      </c>
      <c r="D5" s="3701"/>
      <c r="E5" s="3724" t="s">
        <v>2253</v>
      </c>
      <c r="F5" s="3725"/>
      <c r="G5" s="3700" t="s">
        <v>2254</v>
      </c>
      <c r="H5" s="3701"/>
      <c r="I5" s="3700" t="s">
        <v>2255</v>
      </c>
      <c r="J5" s="3701"/>
      <c r="K5" s="496"/>
      <c r="L5" s="3023"/>
      <c r="M5" s="3024"/>
      <c r="N5" s="3024"/>
      <c r="O5" s="3024"/>
      <c r="P5" s="3713"/>
      <c r="Q5" s="3714"/>
      <c r="R5" s="3719"/>
      <c r="S5" s="3720"/>
      <c r="T5" s="3719"/>
      <c r="U5" s="3720"/>
      <c r="V5" s="3723"/>
      <c r="W5" s="3723"/>
      <c r="X5" s="1335"/>
      <c r="Y5" s="3719"/>
      <c r="Z5" s="3720"/>
      <c r="AA5" s="3705"/>
      <c r="AB5" s="3705"/>
      <c r="AC5" s="3705"/>
    </row>
    <row r="6" spans="1:29" ht="15.75" thickBot="1">
      <c r="A6" s="299"/>
      <c r="B6" s="300"/>
      <c r="C6" s="3697" t="s">
        <v>2256</v>
      </c>
      <c r="D6" s="3698"/>
      <c r="E6" s="3695" t="s">
        <v>2256</v>
      </c>
      <c r="F6" s="3696"/>
      <c r="G6" s="3697" t="s">
        <v>2256</v>
      </c>
      <c r="H6" s="3698"/>
      <c r="I6" s="3697" t="s">
        <v>2256</v>
      </c>
      <c r="J6" s="3698"/>
      <c r="K6" s="496" t="s">
        <v>2257</v>
      </c>
      <c r="L6" s="3023"/>
      <c r="M6" s="3024"/>
      <c r="N6" s="3024"/>
      <c r="O6" s="3024"/>
      <c r="P6" s="3715"/>
      <c r="Q6" s="3716"/>
      <c r="R6" s="3719"/>
      <c r="S6" s="3720"/>
      <c r="T6" s="3721"/>
      <c r="U6" s="3722"/>
      <c r="V6" s="3723"/>
      <c r="W6" s="3723"/>
      <c r="X6" s="1335"/>
      <c r="Y6" s="3721"/>
      <c r="Z6" s="3722"/>
      <c r="AA6" s="3706"/>
      <c r="AB6" s="3706"/>
      <c r="AC6" s="3706"/>
    </row>
    <row r="7" spans="1:29" s="25" customFormat="1" ht="15.75" thickBot="1">
      <c r="A7" s="301" t="s">
        <v>2258</v>
      </c>
      <c r="B7" s="302"/>
      <c r="C7" s="303">
        <f>'数据-取费表'!B2</f>
        <v>39004</v>
      </c>
      <c r="D7" s="304">
        <v>100</v>
      </c>
      <c r="E7" s="305"/>
      <c r="F7" s="306">
        <f>SUMIF(48:48,YEAR(E7)&amp;"-"&amp;MONTH(E7),49:49)</f>
        <v>0</v>
      </c>
      <c r="G7" s="305"/>
      <c r="H7" s="304">
        <f>SUMIF(48:48,YEAR(G7)&amp;"-"&amp;MONTH(G7),49:49)</f>
        <v>0</v>
      </c>
      <c r="I7" s="305"/>
      <c r="J7" s="304">
        <f>SUMIF(48:48,YEAR(I7)&amp;"-"&amp;MONTH(I7),49:49)</f>
        <v>0</v>
      </c>
      <c r="K7" s="497"/>
      <c r="L7" s="3025"/>
      <c r="M7" s="3026"/>
      <c r="N7" s="3026"/>
      <c r="O7" s="3026"/>
      <c r="P7" s="3702" t="s">
        <v>2259</v>
      </c>
      <c r="Q7" s="3726"/>
      <c r="R7" s="627" t="s">
        <v>25</v>
      </c>
      <c r="S7" s="628">
        <f t="shared" ref="S7:S14" si="0">F7</f>
        <v>0</v>
      </c>
      <c r="T7" s="627" t="s">
        <v>25</v>
      </c>
      <c r="U7" s="628">
        <f t="shared" ref="U7:U14" si="1">H7</f>
        <v>0</v>
      </c>
      <c r="V7" s="627" t="s">
        <v>25</v>
      </c>
      <c r="W7" s="628">
        <f t="shared" ref="W7:W14" si="2">J7</f>
        <v>0</v>
      </c>
      <c r="X7" s="629"/>
      <c r="Y7" s="3702" t="s">
        <v>2259</v>
      </c>
      <c r="Z7" s="3703"/>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702" t="s">
        <v>2262</v>
      </c>
      <c r="Q8" s="3703"/>
      <c r="R8" s="627" t="s">
        <v>25</v>
      </c>
      <c r="S8" s="628">
        <f t="shared" si="0"/>
        <v>0</v>
      </c>
      <c r="T8" s="627" t="s">
        <v>25</v>
      </c>
      <c r="U8" s="628">
        <f t="shared" si="1"/>
        <v>0</v>
      </c>
      <c r="V8" s="627" t="s">
        <v>25</v>
      </c>
      <c r="W8" s="628">
        <f t="shared" si="2"/>
        <v>0</v>
      </c>
      <c r="X8" s="629"/>
      <c r="Y8" s="3702" t="s">
        <v>2262</v>
      </c>
      <c r="Z8" s="3703"/>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699" t="s">
        <v>2265</v>
      </c>
      <c r="Q9" s="1327" t="str">
        <f t="shared" ref="Q9:Q14" si="6">B9</f>
        <v>用途</v>
      </c>
      <c r="R9" s="627" t="s">
        <v>25</v>
      </c>
      <c r="S9" s="628">
        <f t="shared" si="0"/>
        <v>100</v>
      </c>
      <c r="T9" s="627" t="s">
        <v>25</v>
      </c>
      <c r="U9" s="628">
        <f t="shared" si="1"/>
        <v>100</v>
      </c>
      <c r="V9" s="627" t="s">
        <v>25</v>
      </c>
      <c r="W9" s="628">
        <f t="shared" si="2"/>
        <v>100</v>
      </c>
      <c r="X9" s="629"/>
      <c r="Y9" s="3729"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699"/>
      <c r="Q10" s="1327" t="str">
        <f t="shared" si="6"/>
        <v>土地使用年限（年）</v>
      </c>
      <c r="R10" s="627" t="s">
        <v>25</v>
      </c>
      <c r="S10" s="628">
        <f t="shared" si="0"/>
        <v>100</v>
      </c>
      <c r="T10" s="627" t="s">
        <v>25</v>
      </c>
      <c r="U10" s="628">
        <f t="shared" si="1"/>
        <v>100</v>
      </c>
      <c r="V10" s="627" t="s">
        <v>25</v>
      </c>
      <c r="W10" s="628">
        <f t="shared" si="2"/>
        <v>100</v>
      </c>
      <c r="X10" s="629"/>
      <c r="Y10" s="372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699"/>
      <c r="Q11" s="1327">
        <f t="shared" si="6"/>
        <v>111</v>
      </c>
      <c r="R11" s="627" t="s">
        <v>25</v>
      </c>
      <c r="S11" s="628">
        <f t="shared" si="0"/>
        <v>100</v>
      </c>
      <c r="T11" s="627" t="s">
        <v>25</v>
      </c>
      <c r="U11" s="628">
        <f t="shared" si="1"/>
        <v>100</v>
      </c>
      <c r="V11" s="627" t="s">
        <v>25</v>
      </c>
      <c r="W11" s="628">
        <f t="shared" si="2"/>
        <v>100</v>
      </c>
      <c r="X11" s="629"/>
      <c r="Y11" s="372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699"/>
      <c r="Q12" s="1327">
        <f t="shared" si="6"/>
        <v>111</v>
      </c>
      <c r="R12" s="627" t="s">
        <v>25</v>
      </c>
      <c r="S12" s="628">
        <f t="shared" si="0"/>
        <v>100</v>
      </c>
      <c r="T12" s="627" t="s">
        <v>25</v>
      </c>
      <c r="U12" s="628">
        <f t="shared" si="1"/>
        <v>100</v>
      </c>
      <c r="V12" s="627" t="s">
        <v>25</v>
      </c>
      <c r="W12" s="628">
        <f t="shared" si="2"/>
        <v>100</v>
      </c>
      <c r="X12" s="629"/>
      <c r="Y12" s="372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699"/>
      <c r="Q13" s="1327">
        <f t="shared" si="6"/>
        <v>111</v>
      </c>
      <c r="R13" s="627" t="s">
        <v>25</v>
      </c>
      <c r="S13" s="628">
        <f t="shared" si="0"/>
        <v>100</v>
      </c>
      <c r="T13" s="627" t="s">
        <v>25</v>
      </c>
      <c r="U13" s="628">
        <f t="shared" si="1"/>
        <v>100</v>
      </c>
      <c r="V13" s="627" t="s">
        <v>25</v>
      </c>
      <c r="W13" s="628">
        <f t="shared" si="2"/>
        <v>100</v>
      </c>
      <c r="X13" s="629"/>
      <c r="Y13" s="3729"/>
      <c r="Z13" s="19">
        <f t="shared" si="7"/>
        <v>111</v>
      </c>
      <c r="AA13" s="630">
        <f t="shared" si="3"/>
        <v>1</v>
      </c>
      <c r="AB13" s="630">
        <f t="shared" si="4"/>
        <v>1</v>
      </c>
      <c r="AC13" s="630">
        <f t="shared" si="5"/>
        <v>1</v>
      </c>
    </row>
    <row r="14" spans="1:29" ht="57">
      <c r="A14" s="294" t="s">
        <v>2269</v>
      </c>
      <c r="B14" s="511" t="s">
        <v>2406</v>
      </c>
      <c r="C14" s="1143" t="str">
        <f>IF(B1="工业",估价对象房地状况!G4,估价对象房地状况!C6)</f>
        <v>估价对象周边有多条公交线路，综合评价交通便捷度较好。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727" t="s">
        <v>2270</v>
      </c>
      <c r="Q14" s="1334" t="str">
        <f t="shared" si="6"/>
        <v>交通便捷度</v>
      </c>
      <c r="R14" s="631" t="s">
        <v>25</v>
      </c>
      <c r="S14" s="632">
        <f t="shared" si="0"/>
        <v>100</v>
      </c>
      <c r="T14" s="631" t="s">
        <v>25</v>
      </c>
      <c r="U14" s="632">
        <f t="shared" si="1"/>
        <v>100</v>
      </c>
      <c r="V14" s="631" t="s">
        <v>25</v>
      </c>
      <c r="W14" s="632">
        <f t="shared" si="2"/>
        <v>100</v>
      </c>
      <c r="X14" s="1335"/>
      <c r="Y14" s="3727"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3"/>
      <c r="M15" s="3024"/>
      <c r="N15" s="3024"/>
      <c r="O15" s="3032"/>
      <c r="P15" s="3728"/>
      <c r="Q15" s="1334"/>
      <c r="R15" s="631"/>
      <c r="S15" s="632"/>
      <c r="T15" s="631"/>
      <c r="U15" s="632"/>
      <c r="V15" s="631"/>
      <c r="W15" s="632"/>
      <c r="X15" s="1335"/>
      <c r="Y15" s="3728"/>
      <c r="Z15" s="1336"/>
      <c r="AA15" s="1337">
        <v>1</v>
      </c>
      <c r="AB15" s="1337">
        <v>1</v>
      </c>
      <c r="AC15" s="1337">
        <v>1</v>
      </c>
    </row>
    <row r="16" spans="1:29" ht="299.25">
      <c r="A16" s="297"/>
      <c r="B16" s="513" t="s">
        <v>2384</v>
      </c>
      <c r="C16" s="1145" t="str">
        <f>IF(B1="工业",估价对象房地状况!G5,估价对象房地状况!C7)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139">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728"/>
      <c r="Q16" s="1334" t="str">
        <f>B16</f>
        <v>公共配套设施</v>
      </c>
      <c r="R16" s="631" t="s">
        <v>25</v>
      </c>
      <c r="S16" s="632">
        <f>F16</f>
        <v>100</v>
      </c>
      <c r="T16" s="631" t="s">
        <v>25</v>
      </c>
      <c r="U16" s="632">
        <f>H16</f>
        <v>100</v>
      </c>
      <c r="V16" s="631" t="s">
        <v>25</v>
      </c>
      <c r="W16" s="632">
        <f>J16</f>
        <v>100</v>
      </c>
      <c r="X16" s="1335"/>
      <c r="Y16" s="3728"/>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3"/>
      <c r="M17" s="3024"/>
      <c r="N17" s="3024"/>
      <c r="O17" s="3032"/>
      <c r="P17" s="3728"/>
      <c r="Q17" s="1334"/>
      <c r="R17" s="631"/>
      <c r="S17" s="632"/>
      <c r="T17" s="631"/>
      <c r="U17" s="632"/>
      <c r="V17" s="631"/>
      <c r="W17" s="632"/>
      <c r="X17" s="1335"/>
      <c r="Y17" s="3728"/>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728"/>
      <c r="Q18" s="1334" t="str">
        <f>B18</f>
        <v>基础设施水平</v>
      </c>
      <c r="R18" s="631" t="s">
        <v>25</v>
      </c>
      <c r="S18" s="632">
        <f>F18</f>
        <v>100</v>
      </c>
      <c r="T18" s="631" t="s">
        <v>25</v>
      </c>
      <c r="U18" s="632">
        <f>H18</f>
        <v>100</v>
      </c>
      <c r="V18" s="631" t="s">
        <v>25</v>
      </c>
      <c r="W18" s="632">
        <f>J18</f>
        <v>100</v>
      </c>
      <c r="X18" s="1335"/>
      <c r="Y18" s="3728"/>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3"/>
      <c r="M19" s="3024"/>
      <c r="N19" s="3024"/>
      <c r="O19" s="3032"/>
      <c r="P19" s="3728"/>
      <c r="Q19" s="1334"/>
      <c r="R19" s="631"/>
      <c r="S19" s="632"/>
      <c r="T19" s="631"/>
      <c r="U19" s="632"/>
      <c r="V19" s="631"/>
      <c r="W19" s="632"/>
      <c r="X19" s="1335"/>
      <c r="Y19" s="3728"/>
      <c r="Z19" s="1336"/>
      <c r="AA19" s="1337">
        <v>1</v>
      </c>
      <c r="AB19" s="1337">
        <v>1</v>
      </c>
      <c r="AC19" s="1337">
        <v>1</v>
      </c>
    </row>
    <row r="20" spans="1:29" ht="71.25">
      <c r="A20" s="297"/>
      <c r="B20" s="513" t="s">
        <v>2407</v>
      </c>
      <c r="C20" s="1145" t="str">
        <f>IF(B1="工业",估价对象房地状况!G7,估价对象房地状况!C9)</f>
        <v xml:space="preserve">自然环境：昌平公园等；
综上，环境状况一般。
</v>
      </c>
      <c r="D20" s="1140">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728"/>
      <c r="Q20" s="1334" t="str">
        <f>B20</f>
        <v>自然及人文环境</v>
      </c>
      <c r="R20" s="631" t="s">
        <v>25</v>
      </c>
      <c r="S20" s="632">
        <f>F20</f>
        <v>100</v>
      </c>
      <c r="T20" s="631" t="s">
        <v>25</v>
      </c>
      <c r="U20" s="632">
        <f>H20</f>
        <v>100</v>
      </c>
      <c r="V20" s="631" t="s">
        <v>25</v>
      </c>
      <c r="W20" s="632">
        <f>J20</f>
        <v>100</v>
      </c>
      <c r="X20" s="1335"/>
      <c r="Y20" s="3728"/>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3"/>
      <c r="M21" s="3024"/>
      <c r="N21" s="3024"/>
      <c r="O21" s="3032"/>
      <c r="P21" s="3728"/>
      <c r="Q21" s="1334"/>
      <c r="R21" s="631"/>
      <c r="S21" s="632"/>
      <c r="T21" s="631"/>
      <c r="U21" s="632"/>
      <c r="V21" s="631"/>
      <c r="W21" s="632"/>
      <c r="X21" s="1335"/>
      <c r="Y21" s="3728"/>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728"/>
      <c r="Q22" s="1334" t="str">
        <f>B22</f>
        <v>楼层</v>
      </c>
      <c r="R22" s="631" t="s">
        <v>25</v>
      </c>
      <c r="S22" s="632">
        <f>F22</f>
        <v>100</v>
      </c>
      <c r="T22" s="631" t="s">
        <v>25</v>
      </c>
      <c r="U22" s="632">
        <f>H22</f>
        <v>100</v>
      </c>
      <c r="V22" s="631" t="s">
        <v>25</v>
      </c>
      <c r="W22" s="632">
        <f>J22</f>
        <v>100</v>
      </c>
      <c r="X22" s="1335"/>
      <c r="Y22" s="3728"/>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3728"/>
      <c r="Q23" s="1334">
        <f>B23</f>
        <v>111</v>
      </c>
      <c r="R23" s="631" t="s">
        <v>25</v>
      </c>
      <c r="S23" s="632">
        <f>F23</f>
        <v>100</v>
      </c>
      <c r="T23" s="631" t="s">
        <v>25</v>
      </c>
      <c r="U23" s="632">
        <f>H23</f>
        <v>100</v>
      </c>
      <c r="V23" s="631" t="s">
        <v>25</v>
      </c>
      <c r="W23" s="632">
        <f>J23</f>
        <v>100</v>
      </c>
      <c r="X23" s="1335"/>
      <c r="Y23" s="3728"/>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3728"/>
      <c r="Q24" s="1334">
        <f t="shared" ref="Q24:Q36" si="11">B24</f>
        <v>111</v>
      </c>
      <c r="R24" s="631" t="s">
        <v>25</v>
      </c>
      <c r="S24" s="632">
        <f>F24</f>
        <v>100</v>
      </c>
      <c r="T24" s="631" t="s">
        <v>25</v>
      </c>
      <c r="U24" s="632">
        <f>H24</f>
        <v>100</v>
      </c>
      <c r="V24" s="631" t="s">
        <v>25</v>
      </c>
      <c r="W24" s="632">
        <f>J24</f>
        <v>100</v>
      </c>
      <c r="X24" s="1335"/>
      <c r="Y24" s="3728"/>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728"/>
      <c r="Q25" s="1327">
        <f t="shared" si="11"/>
        <v>111</v>
      </c>
      <c r="R25" s="627" t="s">
        <v>25</v>
      </c>
      <c r="S25" s="628">
        <f>F25</f>
        <v>100</v>
      </c>
      <c r="T25" s="627" t="s">
        <v>25</v>
      </c>
      <c r="U25" s="628">
        <f>H25</f>
        <v>100</v>
      </c>
      <c r="V25" s="627" t="s">
        <v>25</v>
      </c>
      <c r="W25" s="628">
        <f>J25</f>
        <v>100</v>
      </c>
      <c r="X25" s="629"/>
      <c r="Y25" s="3728"/>
      <c r="Z25" s="19">
        <f>Q25</f>
        <v>111</v>
      </c>
      <c r="AA25" s="1337">
        <f>D25/F25</f>
        <v>1</v>
      </c>
      <c r="AB25" s="1337">
        <f>D25/H25</f>
        <v>1</v>
      </c>
      <c r="AC25" s="1337">
        <f>D25/J25</f>
        <v>1</v>
      </c>
    </row>
    <row r="26" spans="1:29" ht="28.5">
      <c r="A26" s="533" t="s">
        <v>2273</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730"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731"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731"/>
      <c r="Q27" s="633" t="str">
        <f t="shared" si="11"/>
        <v>项目停车位配比</v>
      </c>
      <c r="R27" s="634" t="s">
        <v>25</v>
      </c>
      <c r="S27" s="635">
        <f t="shared" si="12"/>
        <v>100</v>
      </c>
      <c r="T27" s="634" t="s">
        <v>25</v>
      </c>
      <c r="U27" s="635">
        <f t="shared" si="13"/>
        <v>100</v>
      </c>
      <c r="V27" s="634" t="s">
        <v>25</v>
      </c>
      <c r="W27" s="635">
        <f t="shared" si="14"/>
        <v>100</v>
      </c>
      <c r="X27" s="636"/>
      <c r="Y27" s="3731"/>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731"/>
      <c r="Q28" s="1334" t="str">
        <f t="shared" si="11"/>
        <v>公共部分装修</v>
      </c>
      <c r="R28" s="631" t="s">
        <v>25</v>
      </c>
      <c r="S28" s="632">
        <f t="shared" si="12"/>
        <v>100</v>
      </c>
      <c r="T28" s="631" t="s">
        <v>25</v>
      </c>
      <c r="U28" s="632">
        <f t="shared" si="13"/>
        <v>100</v>
      </c>
      <c r="V28" s="631" t="s">
        <v>25</v>
      </c>
      <c r="W28" s="632">
        <f t="shared" si="14"/>
        <v>100</v>
      </c>
      <c r="X28" s="1335"/>
      <c r="Y28" s="3731"/>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731"/>
      <c r="Q29" s="1334" t="str">
        <f t="shared" si="11"/>
        <v>成新率</v>
      </c>
      <c r="R29" s="631" t="s">
        <v>25</v>
      </c>
      <c r="S29" s="632" t="e">
        <f t="shared" si="12"/>
        <v>#N/A</v>
      </c>
      <c r="T29" s="631" t="s">
        <v>25</v>
      </c>
      <c r="U29" s="632" t="e">
        <f t="shared" si="13"/>
        <v>#N/A</v>
      </c>
      <c r="V29" s="631" t="s">
        <v>25</v>
      </c>
      <c r="W29" s="632" t="e">
        <f t="shared" si="14"/>
        <v>#N/A</v>
      </c>
      <c r="X29" s="1335"/>
      <c r="Y29" s="3731"/>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731"/>
      <c r="Q30" s="1334" t="str">
        <f t="shared" si="11"/>
        <v>物业等级</v>
      </c>
      <c r="R30" s="631" t="s">
        <v>25</v>
      </c>
      <c r="S30" s="632">
        <f t="shared" si="12"/>
        <v>100</v>
      </c>
      <c r="T30" s="631" t="s">
        <v>25</v>
      </c>
      <c r="U30" s="632">
        <f t="shared" si="13"/>
        <v>100</v>
      </c>
      <c r="V30" s="631" t="s">
        <v>25</v>
      </c>
      <c r="W30" s="632">
        <f t="shared" si="14"/>
        <v>100</v>
      </c>
      <c r="X30" s="1335"/>
      <c r="Y30" s="3731"/>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731"/>
      <c r="Q31" s="1327" t="str">
        <f t="shared" si="11"/>
        <v>停车位面积</v>
      </c>
      <c r="R31" s="627" t="s">
        <v>25</v>
      </c>
      <c r="S31" s="628" t="e">
        <f t="shared" si="12"/>
        <v>#N/A</v>
      </c>
      <c r="T31" s="627" t="s">
        <v>25</v>
      </c>
      <c r="U31" s="628" t="e">
        <f t="shared" si="13"/>
        <v>#N/A</v>
      </c>
      <c r="V31" s="627" t="s">
        <v>25</v>
      </c>
      <c r="W31" s="628" t="e">
        <f t="shared" si="14"/>
        <v>#N/A</v>
      </c>
      <c r="X31" s="629"/>
      <c r="Y31" s="3731"/>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731" t="s">
        <v>2275</v>
      </c>
      <c r="Q32" s="1334" t="str">
        <f t="shared" si="11"/>
        <v>车位类型</v>
      </c>
      <c r="R32" s="631" t="s">
        <v>25</v>
      </c>
      <c r="S32" s="632">
        <f t="shared" si="12"/>
        <v>100</v>
      </c>
      <c r="T32" s="631" t="s">
        <v>25</v>
      </c>
      <c r="U32" s="632">
        <f t="shared" si="13"/>
        <v>100</v>
      </c>
      <c r="V32" s="631" t="s">
        <v>25</v>
      </c>
      <c r="W32" s="632">
        <f t="shared" si="14"/>
        <v>100</v>
      </c>
      <c r="X32" s="1335"/>
      <c r="Y32" s="3731"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731"/>
      <c r="Q33" s="1334" t="str">
        <f t="shared" si="11"/>
        <v>是否直接入户</v>
      </c>
      <c r="R33" s="631" t="s">
        <v>25</v>
      </c>
      <c r="S33" s="632">
        <f t="shared" si="12"/>
        <v>100</v>
      </c>
      <c r="T33" s="631" t="s">
        <v>25</v>
      </c>
      <c r="U33" s="632">
        <f t="shared" si="13"/>
        <v>100</v>
      </c>
      <c r="V33" s="631" t="s">
        <v>25</v>
      </c>
      <c r="W33" s="632">
        <f t="shared" si="14"/>
        <v>100</v>
      </c>
      <c r="X33" s="1335"/>
      <c r="Y33" s="3731"/>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731"/>
      <c r="Q34" s="1334">
        <f t="shared" si="11"/>
        <v>111</v>
      </c>
      <c r="R34" s="631" t="s">
        <v>25</v>
      </c>
      <c r="S34" s="632">
        <f t="shared" si="12"/>
        <v>100</v>
      </c>
      <c r="T34" s="631" t="s">
        <v>25</v>
      </c>
      <c r="U34" s="632">
        <f t="shared" si="13"/>
        <v>100</v>
      </c>
      <c r="V34" s="631" t="s">
        <v>25</v>
      </c>
      <c r="W34" s="632">
        <f t="shared" si="14"/>
        <v>100</v>
      </c>
      <c r="X34" s="1335"/>
      <c r="Y34" s="3731"/>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731"/>
      <c r="Q35" s="633">
        <f t="shared" si="11"/>
        <v>111</v>
      </c>
      <c r="R35" s="634" t="s">
        <v>25</v>
      </c>
      <c r="S35" s="635">
        <f t="shared" si="12"/>
        <v>100</v>
      </c>
      <c r="T35" s="634" t="s">
        <v>25</v>
      </c>
      <c r="U35" s="635">
        <f t="shared" si="13"/>
        <v>100</v>
      </c>
      <c r="V35" s="634" t="s">
        <v>25</v>
      </c>
      <c r="W35" s="635">
        <f t="shared" si="14"/>
        <v>100</v>
      </c>
      <c r="X35" s="636"/>
      <c r="Y35" s="3731"/>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731"/>
      <c r="Q36" s="1334">
        <f t="shared" si="11"/>
        <v>111</v>
      </c>
      <c r="R36" s="631" t="s">
        <v>25</v>
      </c>
      <c r="S36" s="632">
        <f t="shared" si="12"/>
        <v>100</v>
      </c>
      <c r="T36" s="631" t="s">
        <v>25</v>
      </c>
      <c r="U36" s="632">
        <f t="shared" si="13"/>
        <v>100</v>
      </c>
      <c r="V36" s="631" t="s">
        <v>25</v>
      </c>
      <c r="W36" s="632">
        <f t="shared" si="14"/>
        <v>100</v>
      </c>
      <c r="X36" s="1335"/>
      <c r="Y36" s="3731"/>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5"/>
      <c r="N37" s="3024"/>
      <c r="P37" s="3699" t="str">
        <f>A37</f>
        <v>成交单价</v>
      </c>
      <c r="Q37" s="3699"/>
      <c r="R37" s="3733">
        <f>E37</f>
        <v>0</v>
      </c>
      <c r="S37" s="3733"/>
      <c r="T37" s="3733">
        <f>G37</f>
        <v>0</v>
      </c>
      <c r="U37" s="3733"/>
      <c r="V37" s="3733">
        <f>I37</f>
        <v>0</v>
      </c>
      <c r="W37" s="3733"/>
      <c r="X37" s="618"/>
      <c r="Y37" s="638"/>
      <c r="Z37" s="618"/>
      <c r="AA37" s="618"/>
      <c r="AB37" s="618"/>
      <c r="AC37" s="618"/>
    </row>
    <row r="38" spans="1:29" ht="15.75" thickBot="1">
      <c r="A38" s="374" t="s">
        <v>2419</v>
      </c>
      <c r="B38" s="375" t="str">
        <f>B37</f>
        <v>元/平方米</v>
      </c>
      <c r="C38" s="1159" t="e">
        <f>R39</f>
        <v>#DIV/0!</v>
      </c>
      <c r="D38" s="1795" t="s">
        <v>2744</v>
      </c>
      <c r="E38" s="1160" t="e">
        <f>R38</f>
        <v>#DIV/0!</v>
      </c>
      <c r="F38" s="1797"/>
      <c r="G38" s="1159" t="e">
        <f>T38</f>
        <v>#DIV/0!</v>
      </c>
      <c r="H38" s="1797"/>
      <c r="I38" s="1160" t="e">
        <f>V38</f>
        <v>#DIV/0!</v>
      </c>
      <c r="J38" s="1797"/>
      <c r="K38" s="2509">
        <f>F38+H38+J38</f>
        <v>0</v>
      </c>
      <c r="L38" s="3035"/>
      <c r="P38" s="3699" t="str">
        <f>A38</f>
        <v>比较价值</v>
      </c>
      <c r="Q38" s="3699"/>
      <c r="R38" s="3733" t="e">
        <f>IF(E1="售价",ROUND(PRODUCT(R37,AA7:AA36),0),ROUND(PRODUCT(R37,AA7:AA36),1))</f>
        <v>#DIV/0!</v>
      </c>
      <c r="S38" s="3733"/>
      <c r="T38" s="3733" t="e">
        <f>IF(E1="售价",ROUND(PRODUCT(T37,AB7:AB36),0),ROUND(PRODUCT(T37,AB7:AB36),1))</f>
        <v>#DIV/0!</v>
      </c>
      <c r="U38" s="3733"/>
      <c r="V38" s="3733" t="e">
        <f>IF(E1="售价",ROUND(PRODUCT(V37,AC7:AC36),0),ROUND(PRODUCT(V37,AC7:AC36),1))</f>
        <v>#DIV/0!</v>
      </c>
      <c r="W38" s="3733"/>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5"/>
      <c r="P39" s="3734" t="str">
        <f>A39</f>
        <v>估价对象XX用房的比较价值（楼面单价，元/平方米）</v>
      </c>
      <c r="Q39" s="3735"/>
      <c r="R39" s="3736" t="e">
        <f>IF(E1="售价",ROUND(IF(D38="简单平均",AVERAGE(R38:W38),R38*F38+T38*H38+V38*J38),0),ROUND(IF(D38="简单平均",AVERAGE(R38:V38),R38*F38+T38*H38+V38*J38),1))</f>
        <v>#DIV/0!</v>
      </c>
      <c r="S39" s="3736"/>
      <c r="T39" s="3736"/>
      <c r="U39" s="3736"/>
      <c r="V39" s="3736"/>
      <c r="W39" s="3736"/>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2006-10</v>
      </c>
      <c r="D48" s="1188">
        <f>EDATE(C48,-1)</f>
        <v>38961</v>
      </c>
      <c r="E48" s="1188">
        <f t="shared" ref="E48:O48" si="16">EDATE(D48,-1)</f>
        <v>38930</v>
      </c>
      <c r="F48" s="1188">
        <f t="shared" si="16"/>
        <v>38899</v>
      </c>
      <c r="G48" s="1188">
        <f t="shared" si="16"/>
        <v>38869</v>
      </c>
      <c r="H48" s="1188">
        <f t="shared" si="16"/>
        <v>38838</v>
      </c>
      <c r="I48" s="1188">
        <f t="shared" si="16"/>
        <v>38808</v>
      </c>
      <c r="J48" s="1188">
        <f t="shared" si="16"/>
        <v>38777</v>
      </c>
      <c r="K48" s="1188">
        <f t="shared" si="16"/>
        <v>38749</v>
      </c>
      <c r="L48" s="1188">
        <f t="shared" si="16"/>
        <v>38718</v>
      </c>
      <c r="M48" s="1188">
        <f t="shared" si="16"/>
        <v>38687</v>
      </c>
      <c r="N48" s="1188">
        <f t="shared" si="16"/>
        <v>38657</v>
      </c>
      <c r="O48" s="1188">
        <f t="shared" si="16"/>
        <v>38626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64.19</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707" t="s">
        <v>2246</v>
      </c>
      <c r="D4" s="3708"/>
      <c r="E4" s="3709" t="s">
        <v>2247</v>
      </c>
      <c r="F4" s="3710"/>
      <c r="G4" s="3707" t="s">
        <v>2248</v>
      </c>
      <c r="H4" s="3708"/>
      <c r="I4" s="3707" t="s">
        <v>2249</v>
      </c>
      <c r="J4" s="3708"/>
      <c r="K4" s="496" t="s">
        <v>2250</v>
      </c>
      <c r="L4" s="3023"/>
      <c r="M4" s="3024"/>
      <c r="N4" s="3024"/>
      <c r="O4" s="3024"/>
      <c r="P4" s="3711" t="s">
        <v>2251</v>
      </c>
      <c r="Q4" s="3712"/>
      <c r="R4" s="3717" t="s">
        <v>2247</v>
      </c>
      <c r="S4" s="3718"/>
      <c r="T4" s="3717" t="s">
        <v>2248</v>
      </c>
      <c r="U4" s="3718"/>
      <c r="V4" s="3723" t="s">
        <v>2249</v>
      </c>
      <c r="W4" s="3723"/>
      <c r="X4" s="1335"/>
      <c r="Y4" s="3717" t="s">
        <v>2251</v>
      </c>
      <c r="Z4" s="3718"/>
      <c r="AA4" s="3704" t="s">
        <v>2247</v>
      </c>
      <c r="AB4" s="3705" t="s">
        <v>2248</v>
      </c>
      <c r="AC4" s="3704" t="s">
        <v>2249</v>
      </c>
    </row>
    <row r="5" spans="1:29" ht="15">
      <c r="A5" s="297"/>
      <c r="B5" s="298"/>
      <c r="C5" s="3700" t="s">
        <v>2252</v>
      </c>
      <c r="D5" s="3701"/>
      <c r="E5" s="3724" t="s">
        <v>2253</v>
      </c>
      <c r="F5" s="3725"/>
      <c r="G5" s="3700" t="s">
        <v>2254</v>
      </c>
      <c r="H5" s="3701"/>
      <c r="I5" s="3700" t="s">
        <v>2255</v>
      </c>
      <c r="J5" s="3701"/>
      <c r="K5" s="496"/>
      <c r="L5" s="3023"/>
      <c r="M5" s="3024"/>
      <c r="N5" s="3024"/>
      <c r="O5" s="3024"/>
      <c r="P5" s="3713"/>
      <c r="Q5" s="3714"/>
      <c r="R5" s="3719"/>
      <c r="S5" s="3720"/>
      <c r="T5" s="3719"/>
      <c r="U5" s="3720"/>
      <c r="V5" s="3723"/>
      <c r="W5" s="3723"/>
      <c r="X5" s="1335"/>
      <c r="Y5" s="3719"/>
      <c r="Z5" s="3720"/>
      <c r="AA5" s="3705"/>
      <c r="AB5" s="3705"/>
      <c r="AC5" s="3705"/>
    </row>
    <row r="6" spans="1:29" ht="15.75" thickBot="1">
      <c r="A6" s="299"/>
      <c r="B6" s="300"/>
      <c r="C6" s="3697" t="s">
        <v>2256</v>
      </c>
      <c r="D6" s="3698"/>
      <c r="E6" s="3695" t="s">
        <v>2256</v>
      </c>
      <c r="F6" s="3696"/>
      <c r="G6" s="3697" t="s">
        <v>2256</v>
      </c>
      <c r="H6" s="3698"/>
      <c r="I6" s="3697" t="s">
        <v>2256</v>
      </c>
      <c r="J6" s="3698"/>
      <c r="K6" s="496" t="s">
        <v>2257</v>
      </c>
      <c r="L6" s="3023"/>
      <c r="M6" s="3024"/>
      <c r="N6" s="3024"/>
      <c r="O6" s="3024"/>
      <c r="P6" s="3715"/>
      <c r="Q6" s="3716"/>
      <c r="R6" s="3719"/>
      <c r="S6" s="3720"/>
      <c r="T6" s="3721"/>
      <c r="U6" s="3722"/>
      <c r="V6" s="3723"/>
      <c r="W6" s="3723"/>
      <c r="X6" s="1335"/>
      <c r="Y6" s="3721"/>
      <c r="Z6" s="3722"/>
      <c r="AA6" s="3706"/>
      <c r="AB6" s="3706"/>
      <c r="AC6" s="3706"/>
    </row>
    <row r="7" spans="1:29" s="25" customFormat="1" ht="15.75" thickBot="1">
      <c r="A7" s="301" t="s">
        <v>2258</v>
      </c>
      <c r="B7" s="302"/>
      <c r="C7" s="303">
        <f>'数据-取费表'!B2</f>
        <v>39004</v>
      </c>
      <c r="D7" s="304">
        <v>100</v>
      </c>
      <c r="E7" s="1575"/>
      <c r="F7" s="304">
        <f>SUMIF(46:46,YEAR(E7)&amp;"-"&amp;MONTH(E7),47:47)</f>
        <v>0</v>
      </c>
      <c r="G7" s="305"/>
      <c r="H7" s="304">
        <f>SUMIF(46:46,YEAR(G7)&amp;"-"&amp;MONTH(G7),47:47)</f>
        <v>0</v>
      </c>
      <c r="I7" s="305"/>
      <c r="J7" s="304">
        <f>SUMIF(46:46,YEAR(I7)&amp;"-"&amp;MONTH(I7),47:47)</f>
        <v>0</v>
      </c>
      <c r="K7" s="497"/>
      <c r="L7" s="3025"/>
      <c r="M7" s="3026"/>
      <c r="N7" s="3026"/>
      <c r="O7" s="3026"/>
      <c r="P7" s="3702" t="s">
        <v>2259</v>
      </c>
      <c r="Q7" s="3726"/>
      <c r="R7" s="627" t="s">
        <v>25</v>
      </c>
      <c r="S7" s="628">
        <f t="shared" ref="S7:S14" si="0">F7</f>
        <v>0</v>
      </c>
      <c r="T7" s="627" t="s">
        <v>25</v>
      </c>
      <c r="U7" s="628">
        <f t="shared" ref="U7:U14" si="1">H7</f>
        <v>0</v>
      </c>
      <c r="V7" s="627" t="s">
        <v>25</v>
      </c>
      <c r="W7" s="628">
        <f t="shared" ref="W7:W14" si="2">J7</f>
        <v>0</v>
      </c>
      <c r="X7" s="629"/>
      <c r="Y7" s="3702" t="s">
        <v>2259</v>
      </c>
      <c r="Z7" s="3703"/>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702" t="s">
        <v>2262</v>
      </c>
      <c r="Q8" s="3703"/>
      <c r="R8" s="627" t="s">
        <v>25</v>
      </c>
      <c r="S8" s="628">
        <f t="shared" si="0"/>
        <v>0</v>
      </c>
      <c r="T8" s="627" t="s">
        <v>25</v>
      </c>
      <c r="U8" s="628">
        <f t="shared" si="1"/>
        <v>0</v>
      </c>
      <c r="V8" s="627" t="s">
        <v>25</v>
      </c>
      <c r="W8" s="628">
        <f t="shared" si="2"/>
        <v>0</v>
      </c>
      <c r="X8" s="629"/>
      <c r="Y8" s="3702" t="s">
        <v>2262</v>
      </c>
      <c r="Z8" s="3703"/>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699" t="s">
        <v>2265</v>
      </c>
      <c r="Q9" s="1327" t="str">
        <f t="shared" ref="Q9:Q14" si="6">B9</f>
        <v>用途</v>
      </c>
      <c r="R9" s="627" t="s">
        <v>25</v>
      </c>
      <c r="S9" s="628">
        <f t="shared" si="0"/>
        <v>100</v>
      </c>
      <c r="T9" s="627" t="s">
        <v>25</v>
      </c>
      <c r="U9" s="628">
        <f t="shared" si="1"/>
        <v>100</v>
      </c>
      <c r="V9" s="627" t="s">
        <v>25</v>
      </c>
      <c r="W9" s="628">
        <f t="shared" si="2"/>
        <v>100</v>
      </c>
      <c r="X9" s="629"/>
      <c r="Y9" s="3729"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699"/>
      <c r="Q10" s="1327" t="str">
        <f t="shared" si="6"/>
        <v>土地使用年限（年）</v>
      </c>
      <c r="R10" s="627" t="s">
        <v>25</v>
      </c>
      <c r="S10" s="628">
        <f t="shared" si="0"/>
        <v>100</v>
      </c>
      <c r="T10" s="627" t="s">
        <v>25</v>
      </c>
      <c r="U10" s="628">
        <f t="shared" si="1"/>
        <v>100</v>
      </c>
      <c r="V10" s="627" t="s">
        <v>25</v>
      </c>
      <c r="W10" s="628">
        <f t="shared" si="2"/>
        <v>100</v>
      </c>
      <c r="X10" s="629"/>
      <c r="Y10" s="3729"/>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699"/>
      <c r="Q11" s="1327">
        <f t="shared" si="6"/>
        <v>111</v>
      </c>
      <c r="R11" s="627" t="s">
        <v>25</v>
      </c>
      <c r="S11" s="628">
        <f t="shared" si="0"/>
        <v>100</v>
      </c>
      <c r="T11" s="627" t="s">
        <v>25</v>
      </c>
      <c r="U11" s="628">
        <f t="shared" si="1"/>
        <v>100</v>
      </c>
      <c r="V11" s="627" t="s">
        <v>25</v>
      </c>
      <c r="W11" s="628">
        <f t="shared" si="2"/>
        <v>100</v>
      </c>
      <c r="X11" s="629"/>
      <c r="Y11" s="3729"/>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699"/>
      <c r="Q12" s="1327">
        <f t="shared" si="6"/>
        <v>111</v>
      </c>
      <c r="R12" s="627" t="s">
        <v>25</v>
      </c>
      <c r="S12" s="628">
        <f t="shared" si="0"/>
        <v>100</v>
      </c>
      <c r="T12" s="627" t="s">
        <v>25</v>
      </c>
      <c r="U12" s="628">
        <f t="shared" si="1"/>
        <v>100</v>
      </c>
      <c r="V12" s="627" t="s">
        <v>25</v>
      </c>
      <c r="W12" s="628">
        <f t="shared" si="2"/>
        <v>100</v>
      </c>
      <c r="X12" s="629"/>
      <c r="Y12" s="3729"/>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699"/>
      <c r="Q13" s="1327">
        <f t="shared" si="6"/>
        <v>111</v>
      </c>
      <c r="R13" s="627" t="s">
        <v>25</v>
      </c>
      <c r="S13" s="628">
        <f t="shared" si="0"/>
        <v>100</v>
      </c>
      <c r="T13" s="627" t="s">
        <v>25</v>
      </c>
      <c r="U13" s="628">
        <f t="shared" si="1"/>
        <v>100</v>
      </c>
      <c r="V13" s="627" t="s">
        <v>25</v>
      </c>
      <c r="W13" s="628">
        <f t="shared" si="2"/>
        <v>100</v>
      </c>
      <c r="X13" s="629"/>
      <c r="Y13" s="3729"/>
      <c r="Z13" s="19">
        <f t="shared" si="7"/>
        <v>111</v>
      </c>
      <c r="AA13" s="630">
        <f t="shared" si="3"/>
        <v>1</v>
      </c>
      <c r="AB13" s="630">
        <f t="shared" si="4"/>
        <v>1</v>
      </c>
      <c r="AC13" s="630">
        <f t="shared" si="5"/>
        <v>1</v>
      </c>
    </row>
    <row r="14" spans="1:29" ht="57">
      <c r="A14" s="329" t="s">
        <v>2269</v>
      </c>
      <c r="B14" s="22" t="s">
        <v>2406</v>
      </c>
      <c r="C14" s="1581" t="str">
        <f>IF(B1="工业",估价对象房地状况!G4,估价对象房地状况!C6)</f>
        <v>估价对象周边有多条公交线路，综合评价交通便捷度较好。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727" t="s">
        <v>2270</v>
      </c>
      <c r="Q14" s="1334" t="str">
        <f t="shared" si="6"/>
        <v>交通便捷度</v>
      </c>
      <c r="R14" s="631" t="s">
        <v>25</v>
      </c>
      <c r="S14" s="632">
        <f t="shared" si="0"/>
        <v>100</v>
      </c>
      <c r="T14" s="631" t="s">
        <v>25</v>
      </c>
      <c r="U14" s="632">
        <f t="shared" si="1"/>
        <v>100</v>
      </c>
      <c r="V14" s="631" t="s">
        <v>25</v>
      </c>
      <c r="W14" s="632">
        <f t="shared" si="2"/>
        <v>100</v>
      </c>
      <c r="X14" s="1335"/>
      <c r="Y14" s="3727"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3728"/>
      <c r="Q15" s="1334"/>
      <c r="R15" s="631"/>
      <c r="S15" s="632"/>
      <c r="T15" s="631"/>
      <c r="U15" s="632"/>
      <c r="V15" s="631"/>
      <c r="W15" s="632"/>
      <c r="X15" s="1335"/>
      <c r="Y15" s="3728"/>
      <c r="Z15" s="1336"/>
      <c r="AA15" s="1337">
        <v>1</v>
      </c>
      <c r="AB15" s="1337">
        <v>1</v>
      </c>
      <c r="AC15" s="1337">
        <v>1</v>
      </c>
    </row>
    <row r="16" spans="1:29" ht="299.25">
      <c r="A16" s="318"/>
      <c r="B16" s="513" t="s">
        <v>2384</v>
      </c>
      <c r="C16" s="1567" t="str">
        <f>IF(B1="工业",估价对象房地状况!G5,估价对象房地状况!C7)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728"/>
      <c r="Q16" s="1334" t="str">
        <f>B16</f>
        <v>公共配套设施</v>
      </c>
      <c r="R16" s="631" t="s">
        <v>25</v>
      </c>
      <c r="S16" s="632">
        <f>F16</f>
        <v>100</v>
      </c>
      <c r="T16" s="631" t="s">
        <v>25</v>
      </c>
      <c r="U16" s="632">
        <f>H16</f>
        <v>100</v>
      </c>
      <c r="V16" s="631" t="s">
        <v>25</v>
      </c>
      <c r="W16" s="632">
        <f>J16</f>
        <v>100</v>
      </c>
      <c r="X16" s="1335"/>
      <c r="Y16" s="3728"/>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3728"/>
      <c r="Q17" s="1334"/>
      <c r="R17" s="631"/>
      <c r="S17" s="632"/>
      <c r="T17" s="631"/>
      <c r="U17" s="632"/>
      <c r="V17" s="631"/>
      <c r="W17" s="632"/>
      <c r="X17" s="1335"/>
      <c r="Y17" s="3728"/>
      <c r="Z17" s="1336"/>
      <c r="AA17" s="1337">
        <v>1</v>
      </c>
      <c r="AB17" s="1337">
        <v>1</v>
      </c>
      <c r="AC17" s="1337">
        <v>1</v>
      </c>
    </row>
    <row r="18" spans="1:29" ht="42.75">
      <c r="A18" s="318"/>
      <c r="B18" s="515" t="s">
        <v>2385</v>
      </c>
      <c r="C18" s="156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728"/>
      <c r="Q18" s="1334" t="str">
        <f>B18</f>
        <v>基础设施水平</v>
      </c>
      <c r="R18" s="631" t="s">
        <v>25</v>
      </c>
      <c r="S18" s="632">
        <f>F18</f>
        <v>100</v>
      </c>
      <c r="T18" s="631" t="s">
        <v>25</v>
      </c>
      <c r="U18" s="632">
        <f>H18</f>
        <v>100</v>
      </c>
      <c r="V18" s="631" t="s">
        <v>25</v>
      </c>
      <c r="W18" s="632">
        <f>J18</f>
        <v>100</v>
      </c>
      <c r="X18" s="1335"/>
      <c r="Y18" s="3728"/>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3"/>
      <c r="M19" s="3024"/>
      <c r="N19" s="3024"/>
      <c r="O19" s="3032"/>
      <c r="P19" s="3728"/>
      <c r="Q19" s="1334"/>
      <c r="R19" s="631"/>
      <c r="S19" s="632"/>
      <c r="T19" s="631"/>
      <c r="U19" s="632"/>
      <c r="V19" s="631"/>
      <c r="W19" s="632"/>
      <c r="X19" s="1335"/>
      <c r="Y19" s="3728"/>
      <c r="Z19" s="1336"/>
      <c r="AA19" s="1337">
        <v>1</v>
      </c>
      <c r="AB19" s="1337">
        <v>1</v>
      </c>
      <c r="AC19" s="1337">
        <v>1</v>
      </c>
    </row>
    <row r="20" spans="1:29" ht="71.25">
      <c r="A20" s="318"/>
      <c r="B20" s="340" t="s">
        <v>2407</v>
      </c>
      <c r="C20" s="1567" t="str">
        <f>IF(B1="工业",估价对象房地状况!G7,估价对象房地状况!C9)</f>
        <v xml:space="preserve">自然环境：昌平公园等；
综上，环境状况一般。
</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728"/>
      <c r="Q20" s="1334" t="str">
        <f>B20</f>
        <v>自然及人文环境</v>
      </c>
      <c r="R20" s="631" t="s">
        <v>25</v>
      </c>
      <c r="S20" s="632">
        <f>F20</f>
        <v>100</v>
      </c>
      <c r="T20" s="631" t="s">
        <v>25</v>
      </c>
      <c r="U20" s="632">
        <f>H20</f>
        <v>100</v>
      </c>
      <c r="V20" s="631" t="s">
        <v>25</v>
      </c>
      <c r="W20" s="632">
        <f>J20</f>
        <v>100</v>
      </c>
      <c r="X20" s="1335"/>
      <c r="Y20" s="3728"/>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3728"/>
      <c r="Q21" s="1334"/>
      <c r="R21" s="631"/>
      <c r="S21" s="632"/>
      <c r="T21" s="631"/>
      <c r="U21" s="632"/>
      <c r="V21" s="631"/>
      <c r="W21" s="632"/>
      <c r="X21" s="1335"/>
      <c r="Y21" s="3728"/>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728"/>
      <c r="Q22" s="1334" t="str">
        <f>B22</f>
        <v>楼层</v>
      </c>
      <c r="R22" s="631" t="s">
        <v>25</v>
      </c>
      <c r="S22" s="632">
        <f>F22</f>
        <v>100</v>
      </c>
      <c r="T22" s="631" t="s">
        <v>25</v>
      </c>
      <c r="U22" s="632">
        <f>H22</f>
        <v>100</v>
      </c>
      <c r="V22" s="631" t="s">
        <v>25</v>
      </c>
      <c r="W22" s="632">
        <f>J22</f>
        <v>100</v>
      </c>
      <c r="X22" s="1335"/>
      <c r="Y22" s="3728"/>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728"/>
      <c r="Q23" s="1334">
        <f>B23</f>
        <v>111</v>
      </c>
      <c r="R23" s="631" t="s">
        <v>25</v>
      </c>
      <c r="S23" s="632">
        <f>F23</f>
        <v>100</v>
      </c>
      <c r="T23" s="631" t="s">
        <v>25</v>
      </c>
      <c r="U23" s="632">
        <f>H23</f>
        <v>100</v>
      </c>
      <c r="V23" s="631" t="s">
        <v>25</v>
      </c>
      <c r="W23" s="632">
        <f>J23</f>
        <v>100</v>
      </c>
      <c r="X23" s="1335"/>
      <c r="Y23" s="3728"/>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728"/>
      <c r="Q24" s="1334">
        <f t="shared" ref="Q24:Q34" si="11">B24</f>
        <v>111</v>
      </c>
      <c r="R24" s="631" t="s">
        <v>25</v>
      </c>
      <c r="S24" s="632">
        <f>F24</f>
        <v>100</v>
      </c>
      <c r="T24" s="631" t="s">
        <v>25</v>
      </c>
      <c r="U24" s="632">
        <f>H24</f>
        <v>100</v>
      </c>
      <c r="V24" s="631" t="s">
        <v>25</v>
      </c>
      <c r="W24" s="632">
        <f>J24</f>
        <v>100</v>
      </c>
      <c r="X24" s="1335"/>
      <c r="Y24" s="3728"/>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5"/>
      <c r="M25" s="3026"/>
      <c r="N25" s="3026"/>
      <c r="O25" s="3027"/>
      <c r="P25" s="3728"/>
      <c r="Q25" s="1327">
        <f t="shared" si="11"/>
        <v>111</v>
      </c>
      <c r="R25" s="627" t="s">
        <v>25</v>
      </c>
      <c r="S25" s="628">
        <f>F25</f>
        <v>100</v>
      </c>
      <c r="T25" s="627" t="s">
        <v>25</v>
      </c>
      <c r="U25" s="628">
        <f>H25</f>
        <v>100</v>
      </c>
      <c r="V25" s="627" t="s">
        <v>25</v>
      </c>
      <c r="W25" s="628">
        <f>J25</f>
        <v>100</v>
      </c>
      <c r="X25" s="629"/>
      <c r="Y25" s="3728"/>
      <c r="Z25" s="19">
        <f>Q25</f>
        <v>111</v>
      </c>
      <c r="AA25" s="1337">
        <f>D25/F25</f>
        <v>1</v>
      </c>
      <c r="AB25" s="1337">
        <f>D25/H25</f>
        <v>1</v>
      </c>
      <c r="AC25" s="1337">
        <f>D25/J25</f>
        <v>1</v>
      </c>
    </row>
    <row r="26" spans="1:29" ht="28.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3"/>
      <c r="M26" s="3024"/>
      <c r="N26" s="3024"/>
      <c r="O26" s="3032"/>
      <c r="P26" s="3730"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731"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731"/>
      <c r="Q27" s="633" t="str">
        <f t="shared" si="11"/>
        <v>成新率</v>
      </c>
      <c r="R27" s="634" t="s">
        <v>25</v>
      </c>
      <c r="S27" s="635" t="e">
        <f t="shared" si="12"/>
        <v>#N/A</v>
      </c>
      <c r="T27" s="634" t="s">
        <v>25</v>
      </c>
      <c r="U27" s="635" t="e">
        <f t="shared" si="13"/>
        <v>#N/A</v>
      </c>
      <c r="V27" s="634" t="s">
        <v>25</v>
      </c>
      <c r="W27" s="635" t="e">
        <f t="shared" si="14"/>
        <v>#N/A</v>
      </c>
      <c r="X27" s="636"/>
      <c r="Y27" s="3731"/>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731"/>
      <c r="Q28" s="1334" t="str">
        <f t="shared" si="11"/>
        <v>物业等级</v>
      </c>
      <c r="R28" s="631" t="s">
        <v>25</v>
      </c>
      <c r="S28" s="632">
        <f t="shared" si="12"/>
        <v>100</v>
      </c>
      <c r="T28" s="631" t="s">
        <v>25</v>
      </c>
      <c r="U28" s="632">
        <f t="shared" si="13"/>
        <v>100</v>
      </c>
      <c r="V28" s="631" t="s">
        <v>25</v>
      </c>
      <c r="W28" s="632">
        <f t="shared" si="14"/>
        <v>100</v>
      </c>
      <c r="X28" s="1335"/>
      <c r="Y28" s="3731"/>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731"/>
      <c r="Q29" s="1334" t="str">
        <f t="shared" si="11"/>
        <v>有无电梯</v>
      </c>
      <c r="R29" s="631" t="s">
        <v>25</v>
      </c>
      <c r="S29" s="632">
        <f t="shared" si="12"/>
        <v>100</v>
      </c>
      <c r="T29" s="631" t="s">
        <v>25</v>
      </c>
      <c r="U29" s="632">
        <f t="shared" si="13"/>
        <v>100</v>
      </c>
      <c r="V29" s="631" t="s">
        <v>25</v>
      </c>
      <c r="W29" s="632">
        <f t="shared" si="14"/>
        <v>100</v>
      </c>
      <c r="X29" s="1335"/>
      <c r="Y29" s="3731"/>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731"/>
      <c r="Q30" s="1334" t="str">
        <f t="shared" si="11"/>
        <v>建筑面积</v>
      </c>
      <c r="R30" s="631" t="s">
        <v>25</v>
      </c>
      <c r="S30" s="632" t="e">
        <f t="shared" si="12"/>
        <v>#N/A</v>
      </c>
      <c r="T30" s="631" t="s">
        <v>25</v>
      </c>
      <c r="U30" s="632" t="e">
        <f t="shared" si="13"/>
        <v>#N/A</v>
      </c>
      <c r="V30" s="631" t="s">
        <v>25</v>
      </c>
      <c r="W30" s="632" t="e">
        <f t="shared" si="14"/>
        <v>#N/A</v>
      </c>
      <c r="X30" s="1335"/>
      <c r="Y30" s="3731"/>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731"/>
      <c r="Q31" s="1327" t="str">
        <f t="shared" si="11"/>
        <v>是否封闭</v>
      </c>
      <c r="R31" s="627" t="s">
        <v>25</v>
      </c>
      <c r="S31" s="628">
        <f t="shared" si="12"/>
        <v>100</v>
      </c>
      <c r="T31" s="627" t="s">
        <v>25</v>
      </c>
      <c r="U31" s="628">
        <f t="shared" si="13"/>
        <v>100</v>
      </c>
      <c r="V31" s="627" t="s">
        <v>25</v>
      </c>
      <c r="W31" s="628">
        <f t="shared" si="14"/>
        <v>100</v>
      </c>
      <c r="X31" s="629"/>
      <c r="Y31" s="3731"/>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731" t="s">
        <v>2275</v>
      </c>
      <c r="Q32" s="1334">
        <f t="shared" si="11"/>
        <v>111</v>
      </c>
      <c r="R32" s="631" t="s">
        <v>25</v>
      </c>
      <c r="S32" s="632">
        <f t="shared" si="12"/>
        <v>100</v>
      </c>
      <c r="T32" s="631" t="s">
        <v>25</v>
      </c>
      <c r="U32" s="632">
        <f t="shared" si="13"/>
        <v>100</v>
      </c>
      <c r="V32" s="631" t="s">
        <v>25</v>
      </c>
      <c r="W32" s="632">
        <f t="shared" si="14"/>
        <v>100</v>
      </c>
      <c r="X32" s="1335"/>
      <c r="Y32" s="3731"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731"/>
      <c r="Q33" s="1334">
        <f t="shared" si="11"/>
        <v>111</v>
      </c>
      <c r="R33" s="631" t="s">
        <v>25</v>
      </c>
      <c r="S33" s="632">
        <f t="shared" si="12"/>
        <v>100</v>
      </c>
      <c r="T33" s="631" t="s">
        <v>25</v>
      </c>
      <c r="U33" s="632">
        <f t="shared" si="13"/>
        <v>100</v>
      </c>
      <c r="V33" s="631" t="s">
        <v>25</v>
      </c>
      <c r="W33" s="632">
        <f t="shared" si="14"/>
        <v>100</v>
      </c>
      <c r="X33" s="1335"/>
      <c r="Y33" s="3731"/>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3"/>
      <c r="M34" s="3024"/>
      <c r="N34" s="3024"/>
      <c r="O34" s="3032"/>
      <c r="P34" s="3731"/>
      <c r="Q34" s="1334">
        <f t="shared" si="11"/>
        <v>111</v>
      </c>
      <c r="R34" s="631" t="s">
        <v>25</v>
      </c>
      <c r="S34" s="632">
        <f t="shared" si="12"/>
        <v>100</v>
      </c>
      <c r="T34" s="631" t="s">
        <v>25</v>
      </c>
      <c r="U34" s="632">
        <f t="shared" si="13"/>
        <v>100</v>
      </c>
      <c r="V34" s="631" t="s">
        <v>25</v>
      </c>
      <c r="W34" s="632">
        <f t="shared" si="14"/>
        <v>100</v>
      </c>
      <c r="X34" s="1335"/>
      <c r="Y34" s="3731"/>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5"/>
      <c r="N35" s="3024"/>
      <c r="P35" s="3699" t="str">
        <f>A35</f>
        <v>成交单价（元/平方米）</v>
      </c>
      <c r="Q35" s="3699"/>
      <c r="R35" s="3733">
        <f>E35</f>
        <v>0</v>
      </c>
      <c r="S35" s="3733"/>
      <c r="T35" s="3733">
        <f>G35</f>
        <v>0</v>
      </c>
      <c r="U35" s="3733"/>
      <c r="V35" s="3733">
        <f>I35</f>
        <v>0</v>
      </c>
      <c r="W35" s="3733"/>
      <c r="X35" s="618"/>
      <c r="Y35" s="638"/>
      <c r="Z35" s="618"/>
      <c r="AA35" s="618"/>
      <c r="AB35" s="618"/>
      <c r="AC35" s="618"/>
    </row>
    <row r="36" spans="1:29" ht="15.75" thickBot="1">
      <c r="A36" s="374" t="s">
        <v>2370</v>
      </c>
      <c r="B36" s="375"/>
      <c r="C36" s="1159" t="e">
        <f>R37</f>
        <v>#DIV/0!</v>
      </c>
      <c r="D36" s="1795" t="s">
        <v>2744</v>
      </c>
      <c r="E36" s="1160" t="e">
        <f>R36</f>
        <v>#DIV/0!</v>
      </c>
      <c r="F36" s="1797"/>
      <c r="G36" s="1159" t="e">
        <f>T36</f>
        <v>#DIV/0!</v>
      </c>
      <c r="H36" s="1797"/>
      <c r="I36" s="1160" t="e">
        <f>V36</f>
        <v>#DIV/0!</v>
      </c>
      <c r="J36" s="1797"/>
      <c r="K36" s="2509">
        <f>F36+H36+J36</f>
        <v>0</v>
      </c>
      <c r="L36" s="3035"/>
      <c r="N36" s="3024"/>
      <c r="P36" s="3699" t="str">
        <f>A36</f>
        <v>比较价值（元/平方米）</v>
      </c>
      <c r="Q36" s="3699"/>
      <c r="R36" s="3733" t="e">
        <f>IF(E1="售价",ROUND(PRODUCT(R35,AA7:AA34),0),ROUND(PRODUCT(R35,AA7:AA34),1))</f>
        <v>#DIV/0!</v>
      </c>
      <c r="S36" s="3733"/>
      <c r="T36" s="3733" t="e">
        <f>IF(E1="售价",ROUND(PRODUCT(T35,AB7:AB34),0),ROUND(PRODUCT(T35,AB7:AB34),1))</f>
        <v>#DIV/0!</v>
      </c>
      <c r="U36" s="3733"/>
      <c r="V36" s="3733" t="e">
        <f>IF(E1="售价",ROUND(PRODUCT(V35,AC7:AC34),0),ROUND(PRODUCT(V35,AC7:AC34),1))</f>
        <v>#DIV/0!</v>
      </c>
      <c r="W36" s="3733"/>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5"/>
      <c r="P37" s="3734" t="str">
        <f>A37</f>
        <v>估价对象XX用房的比较价值（楼面单价，元/平方米）</v>
      </c>
      <c r="Q37" s="3735"/>
      <c r="R37" s="3736" t="e">
        <f>IF(E1="售价",ROUND(IF(D36="简单平均",AVERAGE(R36:W36),R36*F36+T36*H36+V36*J36),0),ROUND(IF(D36="简单平均",AVERAGE(R36:V36),R36*F36+T36*H36+V36*J36),1))</f>
        <v>#DIV/0!</v>
      </c>
      <c r="S37" s="3736"/>
      <c r="T37" s="3736"/>
      <c r="U37" s="3736"/>
      <c r="V37" s="3736"/>
      <c r="W37" s="3736"/>
      <c r="X37" s="618"/>
      <c r="Y37" s="618"/>
      <c r="Z37" s="618"/>
      <c r="AA37" s="618"/>
      <c r="AB37" s="618"/>
      <c r="AC37" s="618"/>
    </row>
    <row r="38" spans="1:29">
      <c r="G38" s="3038"/>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2375</v>
      </c>
      <c r="B45" s="618"/>
      <c r="C45" s="621"/>
      <c r="D45" s="621"/>
      <c r="E45" s="621"/>
      <c r="F45" s="622"/>
      <c r="G45" s="622"/>
      <c r="H45" s="621"/>
      <c r="I45" s="621"/>
      <c r="J45" s="621"/>
      <c r="K45" s="623"/>
      <c r="L45" s="624"/>
      <c r="M45" s="621"/>
      <c r="N45" s="3041"/>
      <c r="O45" s="3041"/>
      <c r="P45" s="389"/>
      <c r="Q45" s="390"/>
    </row>
    <row r="46" spans="1:29" s="394" customFormat="1" ht="15">
      <c r="A46" s="391" t="s">
        <v>2258</v>
      </c>
      <c r="B46" s="392"/>
      <c r="C46" s="1187" t="str">
        <f>YEAR(C7)&amp;"-"&amp;MONTH(C7)</f>
        <v>2006-10</v>
      </c>
      <c r="D46" s="1188">
        <f>EDATE(C46,-1)</f>
        <v>38961</v>
      </c>
      <c r="E46" s="1188">
        <f t="shared" ref="E46:O46" si="16">EDATE(D46,-1)</f>
        <v>38930</v>
      </c>
      <c r="F46" s="1188">
        <f t="shared" si="16"/>
        <v>38899</v>
      </c>
      <c r="G46" s="1188">
        <f t="shared" si="16"/>
        <v>38869</v>
      </c>
      <c r="H46" s="1188">
        <f t="shared" si="16"/>
        <v>38838</v>
      </c>
      <c r="I46" s="1188">
        <f t="shared" si="16"/>
        <v>38808</v>
      </c>
      <c r="J46" s="1188">
        <f t="shared" si="16"/>
        <v>38777</v>
      </c>
      <c r="K46" s="1188">
        <f t="shared" si="16"/>
        <v>38749</v>
      </c>
      <c r="L46" s="1188">
        <f t="shared" si="16"/>
        <v>38718</v>
      </c>
      <c r="M46" s="1188">
        <f t="shared" si="16"/>
        <v>38687</v>
      </c>
      <c r="N46" s="1188">
        <f t="shared" si="16"/>
        <v>38657</v>
      </c>
      <c r="O46" s="1188">
        <f t="shared" si="16"/>
        <v>38626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A7" sqref="A7:XFD7"/>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58" customFormat="1" ht="28.5" customHeight="1">
      <c r="A1" s="1949" t="s">
        <v>2440</v>
      </c>
      <c r="B1" s="1950"/>
      <c r="C1" s="1951" t="s">
        <v>2441</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1913</v>
      </c>
      <c r="B2" s="1960" t="e">
        <f>F66</f>
        <v>#DIV/0!</v>
      </c>
      <c r="C2" s="1657" t="s">
        <v>2442</v>
      </c>
      <c r="D2" s="3010"/>
      <c r="E2" s="3010"/>
      <c r="F2" s="3009"/>
      <c r="G2" s="3010"/>
      <c r="H2" s="3010"/>
      <c r="I2" s="3010"/>
      <c r="J2" s="3010"/>
      <c r="K2" s="3011"/>
      <c r="L2" s="3012"/>
      <c r="M2" s="3010"/>
      <c r="N2" s="3010"/>
      <c r="O2" s="3010"/>
      <c r="P2" s="1955"/>
      <c r="Q2" s="1955"/>
      <c r="R2" s="1955"/>
      <c r="S2" s="1955"/>
      <c r="T2" s="1955"/>
      <c r="U2" s="1955"/>
      <c r="V2" s="1955"/>
      <c r="W2" s="1955"/>
      <c r="X2" s="1955"/>
      <c r="Y2" s="1955"/>
      <c r="Z2" s="1955"/>
      <c r="AA2" s="1955"/>
      <c r="AB2" s="1955"/>
      <c r="AC2" s="1956"/>
      <c r="AD2" s="1957"/>
    </row>
    <row r="3" spans="1:30" s="1958" customFormat="1" ht="28.5" customHeight="1" thickBot="1">
      <c r="A3" s="1659" t="s">
        <v>1914</v>
      </c>
      <c r="B3" s="1961" t="e">
        <f>ROUND(B2/'数据-取费表'!B5,0)</f>
        <v>#DIV/0!</v>
      </c>
      <c r="C3" s="1657" t="s">
        <v>2443</v>
      </c>
      <c r="D3" s="3010"/>
      <c r="E3" s="3010"/>
      <c r="F3" s="3009"/>
      <c r="G3" s="3010"/>
      <c r="H3" s="3010"/>
      <c r="I3" s="3010"/>
      <c r="J3" s="3010"/>
      <c r="K3" s="3011"/>
      <c r="L3" s="3012"/>
      <c r="M3" s="3010"/>
      <c r="N3" s="3010"/>
      <c r="O3" s="3010"/>
      <c r="P3" s="1955"/>
      <c r="Q3" s="1955"/>
      <c r="R3" s="1955"/>
      <c r="S3" s="1955"/>
      <c r="T3" s="1955"/>
      <c r="U3" s="1955"/>
      <c r="V3" s="1955"/>
      <c r="W3" s="1955"/>
      <c r="X3" s="1955"/>
      <c r="Y3" s="1955"/>
      <c r="Z3" s="1955"/>
      <c r="AA3" s="1955"/>
      <c r="AB3" s="1962"/>
      <c r="AC3" s="1963"/>
    </row>
    <row r="4" spans="1:30" ht="15">
      <c r="A4" s="1663" t="s">
        <v>2245</v>
      </c>
      <c r="B4" s="1664"/>
      <c r="C4" s="3647" t="s">
        <v>2246</v>
      </c>
      <c r="D4" s="3648"/>
      <c r="E4" s="3649" t="s">
        <v>2247</v>
      </c>
      <c r="F4" s="3650"/>
      <c r="G4" s="3647" t="s">
        <v>2248</v>
      </c>
      <c r="H4" s="3648"/>
      <c r="I4" s="3647" t="s">
        <v>2249</v>
      </c>
      <c r="J4" s="3648"/>
      <c r="K4" s="1964" t="s">
        <v>2250</v>
      </c>
      <c r="L4" s="2995"/>
      <c r="M4" s="2996"/>
      <c r="N4" s="2996"/>
      <c r="O4" s="2996"/>
      <c r="P4" s="3651" t="s">
        <v>2251</v>
      </c>
      <c r="Q4" s="3652"/>
      <c r="R4" s="3657" t="s">
        <v>2247</v>
      </c>
      <c r="S4" s="3658"/>
      <c r="T4" s="3657" t="s">
        <v>2248</v>
      </c>
      <c r="U4" s="3658"/>
      <c r="V4" s="3663" t="s">
        <v>2249</v>
      </c>
      <c r="W4" s="3663"/>
      <c r="X4" s="1666"/>
      <c r="Y4" s="3657" t="s">
        <v>2251</v>
      </c>
      <c r="Z4" s="3658"/>
      <c r="AA4" s="3644" t="s">
        <v>2247</v>
      </c>
      <c r="AB4" s="3645" t="s">
        <v>2248</v>
      </c>
      <c r="AC4" s="3644" t="s">
        <v>2249</v>
      </c>
    </row>
    <row r="5" spans="1:30" ht="15">
      <c r="A5" s="1668"/>
      <c r="B5" s="1669"/>
      <c r="C5" s="3692" t="s">
        <v>2252</v>
      </c>
      <c r="D5" s="3667"/>
      <c r="E5" s="3693" t="s">
        <v>2253</v>
      </c>
      <c r="F5" s="3665"/>
      <c r="G5" s="3692" t="s">
        <v>2254</v>
      </c>
      <c r="H5" s="3667"/>
      <c r="I5" s="3692" t="s">
        <v>2255</v>
      </c>
      <c r="J5" s="3667"/>
      <c r="K5" s="1964"/>
      <c r="L5" s="2995"/>
      <c r="M5" s="2996"/>
      <c r="N5" s="2996"/>
      <c r="O5" s="2996"/>
      <c r="P5" s="3653"/>
      <c r="Q5" s="3654"/>
      <c r="R5" s="3659"/>
      <c r="S5" s="3660"/>
      <c r="T5" s="3659"/>
      <c r="U5" s="3660"/>
      <c r="V5" s="3663"/>
      <c r="W5" s="3663"/>
      <c r="X5" s="1666"/>
      <c r="Y5" s="3659"/>
      <c r="Z5" s="3660"/>
      <c r="AA5" s="3645"/>
      <c r="AB5" s="3645"/>
      <c r="AC5" s="3645"/>
    </row>
    <row r="6" spans="1:30" ht="15.75" thickBot="1">
      <c r="A6" s="1671"/>
      <c r="B6" s="1672"/>
      <c r="C6" s="3668" t="s">
        <v>2256</v>
      </c>
      <c r="D6" s="3669"/>
      <c r="E6" s="3670" t="s">
        <v>2256</v>
      </c>
      <c r="F6" s="3671"/>
      <c r="G6" s="3668" t="s">
        <v>2256</v>
      </c>
      <c r="H6" s="3669"/>
      <c r="I6" s="3668" t="s">
        <v>2256</v>
      </c>
      <c r="J6" s="3669"/>
      <c r="K6" s="1964" t="s">
        <v>2257</v>
      </c>
      <c r="L6" s="2995"/>
      <c r="M6" s="2996"/>
      <c r="N6" s="2996"/>
      <c r="O6" s="2996"/>
      <c r="P6" s="3655"/>
      <c r="Q6" s="3656"/>
      <c r="R6" s="3659"/>
      <c r="S6" s="3660"/>
      <c r="T6" s="3661"/>
      <c r="U6" s="3662"/>
      <c r="V6" s="3663"/>
      <c r="W6" s="3663"/>
      <c r="X6" s="1666"/>
      <c r="Y6" s="3661"/>
      <c r="Z6" s="3662"/>
      <c r="AA6" s="3646"/>
      <c r="AB6" s="3646"/>
      <c r="AC6" s="3646"/>
    </row>
    <row r="7" spans="1:30" s="1685" customFormat="1" ht="15.75" thickBot="1">
      <c r="A7" s="1673" t="s">
        <v>2258</v>
      </c>
      <c r="B7" s="1674"/>
      <c r="C7" s="1675">
        <f>'数据-取费表'!B2</f>
        <v>39004</v>
      </c>
      <c r="D7" s="1676">
        <v>100</v>
      </c>
      <c r="E7" s="1677"/>
      <c r="F7" s="1678">
        <f>SUMIF(70:70,YEAR(E7)&amp;"-"&amp;INT((MONTH(E7)+2)/3),71:71)</f>
        <v>0</v>
      </c>
      <c r="G7" s="1965"/>
      <c r="H7" s="1676">
        <f>SUMIF(70:70,YEAR(G7)&amp;"-"&amp;INT((MONTH(G7)+2)/3),71:71)</f>
        <v>0</v>
      </c>
      <c r="I7" s="1965"/>
      <c r="J7" s="1676">
        <f>SUMIF(70:70,YEAR(I7)&amp;"-"&amp;INT((MONTH(I7)+2)/3),71:71)</f>
        <v>0</v>
      </c>
      <c r="K7" s="1966"/>
      <c r="L7" s="2995"/>
      <c r="M7" s="2968"/>
      <c r="N7" s="2968"/>
      <c r="O7" s="2968"/>
      <c r="P7" s="3679" t="s">
        <v>2259</v>
      </c>
      <c r="Q7" s="3681"/>
      <c r="R7" s="1681" t="s">
        <v>25</v>
      </c>
      <c r="S7" s="1682">
        <f t="shared" ref="S7:S15" si="0">F7</f>
        <v>0</v>
      </c>
      <c r="T7" s="1681" t="s">
        <v>25</v>
      </c>
      <c r="U7" s="1682">
        <f t="shared" ref="U7:U15" si="1">H7</f>
        <v>0</v>
      </c>
      <c r="V7" s="1681" t="s">
        <v>25</v>
      </c>
      <c r="W7" s="1682">
        <f t="shared" ref="W7:W15" si="2">J7</f>
        <v>0</v>
      </c>
      <c r="X7" s="1683"/>
      <c r="Y7" s="3679" t="s">
        <v>2259</v>
      </c>
      <c r="Z7" s="3680"/>
      <c r="AA7" s="1684" t="e">
        <f>D7/F7</f>
        <v>#DIV/0!</v>
      </c>
      <c r="AB7" s="1684" t="e">
        <f>D7/H7</f>
        <v>#DIV/0!</v>
      </c>
      <c r="AC7" s="1684" t="e">
        <f>D7/J7</f>
        <v>#DIV/0!</v>
      </c>
    </row>
    <row r="8" spans="1:30" s="1685" customFormat="1" ht="15.75" thickBot="1">
      <c r="A8" s="1673" t="s">
        <v>2260</v>
      </c>
      <c r="B8" s="1674"/>
      <c r="C8" s="1686" t="s">
        <v>2444</v>
      </c>
      <c r="D8" s="1676">
        <v>100</v>
      </c>
      <c r="E8" s="1686"/>
      <c r="F8" s="1678">
        <f>SUMIF(73:73,E8,74:74)-SUMIF(73:73,C8,74:74)+100</f>
        <v>0</v>
      </c>
      <c r="G8" s="1686"/>
      <c r="H8" s="1676">
        <f>SUMIF(73:73,G8,74:74)-SUMIF(73:73,C8,74:74)+100</f>
        <v>0</v>
      </c>
      <c r="I8" s="1686"/>
      <c r="J8" s="1676">
        <f>SUMIF(73:73,I8,74:74)-SUMIF(73:73,C8,74:74)+100</f>
        <v>0</v>
      </c>
      <c r="K8" s="1966"/>
      <c r="L8" s="2995"/>
      <c r="M8" s="2968"/>
      <c r="N8" s="2968"/>
      <c r="O8" s="2968"/>
      <c r="P8" s="3679" t="s">
        <v>2262</v>
      </c>
      <c r="Q8" s="3680"/>
      <c r="R8" s="1681" t="s">
        <v>25</v>
      </c>
      <c r="S8" s="1682">
        <f t="shared" si="0"/>
        <v>0</v>
      </c>
      <c r="T8" s="1681" t="s">
        <v>25</v>
      </c>
      <c r="U8" s="1682">
        <f t="shared" si="1"/>
        <v>0</v>
      </c>
      <c r="V8" s="1681" t="s">
        <v>25</v>
      </c>
      <c r="W8" s="1682">
        <f t="shared" si="2"/>
        <v>0</v>
      </c>
      <c r="X8" s="1683"/>
      <c r="Y8" s="3679" t="s">
        <v>2262</v>
      </c>
      <c r="Z8" s="3680"/>
      <c r="AA8" s="1684" t="e">
        <f t="shared" ref="AA8:AA45" si="3">D8/F8</f>
        <v>#DIV/0!</v>
      </c>
      <c r="AB8" s="1684" t="e">
        <f t="shared" ref="AB8:AB45" si="4">D8/H8</f>
        <v>#DIV/0!</v>
      </c>
      <c r="AC8" s="1684" t="e">
        <f t="shared" ref="AC8:AC45" si="5">D8/J8</f>
        <v>#DIV/0!</v>
      </c>
    </row>
    <row r="9" spans="1:30" s="1685" customFormat="1">
      <c r="A9" s="1636" t="s">
        <v>2263</v>
      </c>
      <c r="B9" s="1687" t="s">
        <v>2264</v>
      </c>
      <c r="C9" s="1967"/>
      <c r="D9" s="1689">
        <v>100</v>
      </c>
      <c r="E9" s="1967"/>
      <c r="F9" s="1689">
        <f>SUMIF(75:75,E9,76:76)-SUMIF(75:75,C9,76:76)+100</f>
        <v>100</v>
      </c>
      <c r="G9" s="1967"/>
      <c r="H9" s="1689">
        <f>SUMIF(75:75,G9,76:76)-SUMIF(75:75,C9,76:76)+100</f>
        <v>100</v>
      </c>
      <c r="I9" s="1967"/>
      <c r="J9" s="1689">
        <f>SUMIF(75:75,I9,76:76)-SUMIF(75:75,C9,76:76)+100</f>
        <v>100</v>
      </c>
      <c r="K9" s="1966"/>
      <c r="L9" s="2995"/>
      <c r="M9" s="2968"/>
      <c r="N9" s="2968"/>
      <c r="O9" s="3042"/>
      <c r="P9" s="3683" t="s">
        <v>2265</v>
      </c>
      <c r="Q9" s="1635" t="str">
        <f t="shared" ref="Q9:Q15" si="6">B9</f>
        <v>用途</v>
      </c>
      <c r="R9" s="1681" t="s">
        <v>25</v>
      </c>
      <c r="S9" s="1682">
        <f t="shared" si="0"/>
        <v>100</v>
      </c>
      <c r="T9" s="1681" t="s">
        <v>25</v>
      </c>
      <c r="U9" s="1682">
        <f t="shared" si="1"/>
        <v>100</v>
      </c>
      <c r="V9" s="1681" t="s">
        <v>25</v>
      </c>
      <c r="W9" s="1682">
        <f t="shared" si="2"/>
        <v>100</v>
      </c>
      <c r="X9" s="1683"/>
      <c r="Y9" s="3545" t="s">
        <v>2266</v>
      </c>
      <c r="Z9" s="1693" t="str">
        <f t="shared" ref="Z9:Z15" si="7">Q9</f>
        <v>用途</v>
      </c>
      <c r="AA9" s="1684">
        <f t="shared" si="3"/>
        <v>1</v>
      </c>
      <c r="AB9" s="1684">
        <f t="shared" si="4"/>
        <v>1</v>
      </c>
      <c r="AC9" s="1684">
        <f t="shared" si="5"/>
        <v>1</v>
      </c>
    </row>
    <row r="10" spans="1:30" s="1701" customFormat="1" ht="27">
      <c r="A10" s="1694"/>
      <c r="B10" s="1695" t="s">
        <v>2267</v>
      </c>
      <c r="C10" s="1707"/>
      <c r="D10" s="1697">
        <v>100</v>
      </c>
      <c r="E10" s="1759"/>
      <c r="F10" s="1697">
        <f>ROUND(100/'数据-取费表'!B14,0)</f>
        <v>100</v>
      </c>
      <c r="G10" s="1757"/>
      <c r="H10" s="1697">
        <f>ROUND(100/'数据-取费表'!B14,0)</f>
        <v>100</v>
      </c>
      <c r="I10" s="1757"/>
      <c r="J10" s="1697">
        <f>ROUND(100/'数据-取费表'!B14,0)</f>
        <v>100</v>
      </c>
      <c r="K10" s="1968"/>
      <c r="L10" s="2997"/>
      <c r="M10" s="2998"/>
      <c r="N10" s="2998"/>
      <c r="O10" s="3043"/>
      <c r="P10" s="3683"/>
      <c r="Q10" s="1635" t="str">
        <f t="shared" si="6"/>
        <v>土地使用年限（年）</v>
      </c>
      <c r="R10" s="1681" t="s">
        <v>25</v>
      </c>
      <c r="S10" s="1682">
        <f t="shared" si="0"/>
        <v>100</v>
      </c>
      <c r="T10" s="1681" t="s">
        <v>25</v>
      </c>
      <c r="U10" s="1682">
        <f t="shared" si="1"/>
        <v>100</v>
      </c>
      <c r="V10" s="1681" t="s">
        <v>25</v>
      </c>
      <c r="W10" s="1682">
        <f t="shared" si="2"/>
        <v>100</v>
      </c>
      <c r="X10" s="1683"/>
      <c r="Y10" s="3545"/>
      <c r="Z10" s="1693" t="str">
        <f t="shared" si="7"/>
        <v>土地使用年限（年）</v>
      </c>
      <c r="AA10" s="1684">
        <f t="shared" si="3"/>
        <v>1</v>
      </c>
      <c r="AB10" s="1684">
        <f t="shared" si="4"/>
        <v>1</v>
      </c>
      <c r="AC10" s="1684">
        <f t="shared" si="5"/>
        <v>1</v>
      </c>
    </row>
    <row r="11" spans="1:30" ht="1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69"/>
      <c r="L11" s="2999"/>
      <c r="M11" s="2996"/>
      <c r="N11" s="2996"/>
      <c r="O11" s="3044"/>
      <c r="P11" s="3683"/>
      <c r="Q11" s="1635" t="str">
        <f t="shared" si="6"/>
        <v>容积率</v>
      </c>
      <c r="R11" s="1681" t="s">
        <v>25</v>
      </c>
      <c r="S11" s="1682" t="e">
        <f t="shared" si="0"/>
        <v>#N/A</v>
      </c>
      <c r="T11" s="1681" t="s">
        <v>25</v>
      </c>
      <c r="U11" s="1682" t="e">
        <f t="shared" si="1"/>
        <v>#N/A</v>
      </c>
      <c r="V11" s="1681" t="s">
        <v>25</v>
      </c>
      <c r="W11" s="1682" t="e">
        <f t="shared" si="2"/>
        <v>#N/A</v>
      </c>
      <c r="X11" s="1683"/>
      <c r="Y11" s="3545"/>
      <c r="Z11" s="1693" t="str">
        <f t="shared" si="7"/>
        <v>容积率</v>
      </c>
      <c r="AA11" s="1684" t="e">
        <f t="shared" si="3"/>
        <v>#N/A</v>
      </c>
      <c r="AB11" s="1684" t="e">
        <f t="shared" si="4"/>
        <v>#N/A</v>
      </c>
      <c r="AC11" s="1684" t="e">
        <f t="shared" si="5"/>
        <v>#N/A</v>
      </c>
    </row>
    <row r="12" spans="1:30" s="1685" customFormat="1" ht="1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8"/>
      <c r="L12" s="2995"/>
      <c r="M12" s="2968"/>
      <c r="N12" s="2968"/>
      <c r="O12" s="3042"/>
      <c r="P12" s="3683"/>
      <c r="Q12" s="1635" t="str">
        <f t="shared" si="6"/>
        <v>配建</v>
      </c>
      <c r="R12" s="1681" t="s">
        <v>25</v>
      </c>
      <c r="S12" s="1682">
        <f t="shared" si="0"/>
        <v>100</v>
      </c>
      <c r="T12" s="1681" t="s">
        <v>25</v>
      </c>
      <c r="U12" s="1682">
        <f t="shared" si="1"/>
        <v>100</v>
      </c>
      <c r="V12" s="1681" t="s">
        <v>25</v>
      </c>
      <c r="W12" s="1682">
        <f t="shared" si="2"/>
        <v>100</v>
      </c>
      <c r="X12" s="1683"/>
      <c r="Y12" s="3545"/>
      <c r="Z12" s="1693" t="str">
        <f t="shared" si="7"/>
        <v>配建</v>
      </c>
      <c r="AA12" s="1684">
        <f>D12/F12</f>
        <v>1</v>
      </c>
      <c r="AB12" s="1684">
        <f>D12/H12</f>
        <v>1</v>
      </c>
      <c r="AC12" s="1684">
        <f>D12/J12</f>
        <v>1</v>
      </c>
    </row>
    <row r="13" spans="1:30" ht="15">
      <c r="A13" s="1702"/>
      <c r="B13" s="1706">
        <v>111</v>
      </c>
      <c r="C13" s="1710"/>
      <c r="D13" s="1711">
        <v>100</v>
      </c>
      <c r="E13" s="1866"/>
      <c r="F13" s="1697">
        <f>SUMIF(84:84,E13,85:85)-SUMIF(84:84,C13,85:85)+100</f>
        <v>100</v>
      </c>
      <c r="G13" s="1970"/>
      <c r="H13" s="1711">
        <f>SUMIF(84:84,G13,85:85)-SUMIF(84:84,C13,85:85)+100</f>
        <v>100</v>
      </c>
      <c r="I13" s="1970"/>
      <c r="J13" s="1711">
        <f>SUMIF(84:84,I13,85:85)-SUMIF(84:84,C13,85:85)+100</f>
        <v>100</v>
      </c>
      <c r="K13" s="1968"/>
      <c r="L13" s="3000"/>
      <c r="M13" s="2996"/>
      <c r="N13" s="2996"/>
      <c r="O13" s="3044"/>
      <c r="P13" s="3683"/>
      <c r="Q13" s="1635">
        <f t="shared" si="6"/>
        <v>111</v>
      </c>
      <c r="R13" s="1681" t="s">
        <v>25</v>
      </c>
      <c r="S13" s="1682">
        <f t="shared" si="0"/>
        <v>100</v>
      </c>
      <c r="T13" s="1681" t="s">
        <v>25</v>
      </c>
      <c r="U13" s="1682">
        <f t="shared" si="1"/>
        <v>100</v>
      </c>
      <c r="V13" s="1681" t="s">
        <v>25</v>
      </c>
      <c r="W13" s="1682">
        <f t="shared" si="2"/>
        <v>100</v>
      </c>
      <c r="X13" s="1683"/>
      <c r="Y13" s="3545"/>
      <c r="Z13" s="1693">
        <f t="shared" si="7"/>
        <v>111</v>
      </c>
      <c r="AA13" s="1684">
        <f>D13/F13</f>
        <v>1</v>
      </c>
      <c r="AB13" s="1684">
        <f>D13/H13</f>
        <v>1</v>
      </c>
      <c r="AC13" s="1684">
        <f>D13/J13</f>
        <v>1</v>
      </c>
    </row>
    <row r="14" spans="1:30" ht="15.75" thickBot="1">
      <c r="A14" s="1712"/>
      <c r="B14" s="1713">
        <v>111</v>
      </c>
      <c r="C14" s="1714"/>
      <c r="D14" s="1715">
        <v>100</v>
      </c>
      <c r="E14" s="1866"/>
      <c r="F14" s="1715">
        <f>SUMIF(86:86,E14,87:87)-SUMIF(86:86,C14,87:87)+100</f>
        <v>100</v>
      </c>
      <c r="G14" s="1970"/>
      <c r="H14" s="1715">
        <f>SUMIF(86:86,G14,87:87)-SUMIF(86:86,C14,87:87)+100</f>
        <v>100</v>
      </c>
      <c r="I14" s="1970"/>
      <c r="J14" s="1715">
        <f>SUMIF(86:86,I14,87:87)-SUMIF(86:86,C14,87:87)+100</f>
        <v>100</v>
      </c>
      <c r="K14" s="1968"/>
      <c r="L14" s="3000"/>
      <c r="M14" s="2996"/>
      <c r="N14" s="2996"/>
      <c r="O14" s="3044"/>
      <c r="P14" s="3683"/>
      <c r="Q14" s="1635">
        <f t="shared" si="6"/>
        <v>111</v>
      </c>
      <c r="R14" s="1681" t="s">
        <v>25</v>
      </c>
      <c r="S14" s="1682">
        <f t="shared" si="0"/>
        <v>100</v>
      </c>
      <c r="T14" s="1681" t="s">
        <v>25</v>
      </c>
      <c r="U14" s="1682">
        <f t="shared" si="1"/>
        <v>100</v>
      </c>
      <c r="V14" s="1681" t="s">
        <v>25</v>
      </c>
      <c r="W14" s="1682">
        <f t="shared" si="2"/>
        <v>100</v>
      </c>
      <c r="X14" s="1683"/>
      <c r="Y14" s="3545"/>
      <c r="Z14" s="1693">
        <f t="shared" si="7"/>
        <v>111</v>
      </c>
      <c r="AA14" s="1684">
        <f>D14/F14</f>
        <v>1</v>
      </c>
      <c r="AB14" s="1684">
        <f>D14/H14</f>
        <v>1</v>
      </c>
      <c r="AC14" s="1684">
        <f>D14/J14</f>
        <v>1</v>
      </c>
    </row>
    <row r="15" spans="1:30" ht="71.25">
      <c r="A15" s="1663" t="s">
        <v>2269</v>
      </c>
      <c r="B15" s="1971" t="s">
        <v>1703</v>
      </c>
      <c r="C15" s="1972" t="str">
        <f>估价对象房地状况!C15</f>
        <v>周边有东关二条、东关南里、燕平家园等住宅小区，综合评价居住社区成熟度好</v>
      </c>
      <c r="D15" s="1720">
        <v>100</v>
      </c>
      <c r="E15" s="1721"/>
      <c r="F15" s="1720">
        <f>SUMIF(88:88,E16,89:89)-SUMIF(88:88,C16,89:89)+100</f>
        <v>100</v>
      </c>
      <c r="G15" s="1721"/>
      <c r="H15" s="1720">
        <f>SUMIF(88:88,G16,89:89)-SUMIF(88:88,C16,89:89)+100</f>
        <v>100</v>
      </c>
      <c r="I15" s="1723"/>
      <c r="J15" s="1720">
        <f>SUMIF(88:88,I16,89:89)-SUMIF(88:88,C16,89:89)+100</f>
        <v>100</v>
      </c>
      <c r="K15" s="1969"/>
      <c r="L15" s="3000"/>
      <c r="M15" s="2996"/>
      <c r="N15" s="2996"/>
      <c r="O15" s="3044"/>
      <c r="P15" s="3672" t="s">
        <v>2270</v>
      </c>
      <c r="Q15" s="1616" t="str">
        <f t="shared" si="6"/>
        <v>居住社区成熟度</v>
      </c>
      <c r="R15" s="1725" t="s">
        <v>25</v>
      </c>
      <c r="S15" s="1726">
        <f t="shared" si="0"/>
        <v>100</v>
      </c>
      <c r="T15" s="1725" t="s">
        <v>25</v>
      </c>
      <c r="U15" s="1726">
        <f t="shared" si="1"/>
        <v>100</v>
      </c>
      <c r="V15" s="1725" t="s">
        <v>25</v>
      </c>
      <c r="W15" s="1726">
        <f t="shared" si="2"/>
        <v>100</v>
      </c>
      <c r="X15" s="1666"/>
      <c r="Y15" s="3672" t="s">
        <v>2270</v>
      </c>
      <c r="Z15" s="1727" t="str">
        <f t="shared" si="7"/>
        <v>居住社区成熟度</v>
      </c>
      <c r="AA15" s="1728">
        <f t="shared" si="3"/>
        <v>1</v>
      </c>
      <c r="AB15" s="1728">
        <f t="shared" si="4"/>
        <v>1</v>
      </c>
      <c r="AC15" s="1728">
        <f t="shared" si="5"/>
        <v>1</v>
      </c>
    </row>
    <row r="16" spans="1:30" ht="15">
      <c r="A16" s="1668"/>
      <c r="B16" s="1973"/>
      <c r="C16" s="1974"/>
      <c r="D16" s="1731"/>
      <c r="E16" s="1732"/>
      <c r="F16" s="1731"/>
      <c r="G16" s="1732"/>
      <c r="H16" s="1735"/>
      <c r="I16" s="1734"/>
      <c r="J16" s="1731"/>
      <c r="K16" s="1968"/>
      <c r="L16" s="3000"/>
      <c r="M16" s="2996"/>
      <c r="N16" s="2996"/>
      <c r="O16" s="3044"/>
      <c r="P16" s="3673"/>
      <c r="Q16" s="1616"/>
      <c r="R16" s="1725"/>
      <c r="S16" s="1726"/>
      <c r="T16" s="1725"/>
      <c r="U16" s="1726"/>
      <c r="V16" s="1725"/>
      <c r="W16" s="1726"/>
      <c r="X16" s="1666"/>
      <c r="Y16" s="3673"/>
      <c r="Z16" s="1727"/>
      <c r="AA16" s="1728">
        <v>1</v>
      </c>
      <c r="AB16" s="1728">
        <v>1</v>
      </c>
      <c r="AC16" s="1728">
        <v>1</v>
      </c>
    </row>
    <row r="17" spans="1:29" ht="71.25">
      <c r="A17" s="1668"/>
      <c r="B17" s="1975" t="s">
        <v>2354</v>
      </c>
      <c r="C17" s="1976"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69"/>
      <c r="L17" s="3000"/>
      <c r="M17" s="2996"/>
      <c r="N17" s="2996"/>
      <c r="O17" s="3044"/>
      <c r="P17" s="3673"/>
      <c r="Q17" s="1616" t="str">
        <f>B17</f>
        <v>商业繁华度</v>
      </c>
      <c r="R17" s="1725" t="s">
        <v>25</v>
      </c>
      <c r="S17" s="1726">
        <f>F17</f>
        <v>100</v>
      </c>
      <c r="T17" s="1725" t="s">
        <v>25</v>
      </c>
      <c r="U17" s="1726">
        <f>H17</f>
        <v>100</v>
      </c>
      <c r="V17" s="1725" t="s">
        <v>25</v>
      </c>
      <c r="W17" s="1726">
        <f>J17</f>
        <v>100</v>
      </c>
      <c r="X17" s="1666"/>
      <c r="Y17" s="3673"/>
      <c r="Z17" s="1727" t="str">
        <f>Q17</f>
        <v>商业繁华度</v>
      </c>
      <c r="AA17" s="1728">
        <f t="shared" si="3"/>
        <v>1</v>
      </c>
      <c r="AB17" s="1728">
        <f t="shared" si="4"/>
        <v>1</v>
      </c>
      <c r="AC17" s="1728">
        <f t="shared" si="5"/>
        <v>1</v>
      </c>
    </row>
    <row r="18" spans="1:29" ht="15">
      <c r="A18" s="1668"/>
      <c r="B18" s="1977"/>
      <c r="C18" s="1978"/>
      <c r="D18" s="1735"/>
      <c r="E18" s="1745"/>
      <c r="F18" s="1735"/>
      <c r="G18" s="1745"/>
      <c r="H18" s="1731"/>
      <c r="I18" s="1746"/>
      <c r="J18" s="1731"/>
      <c r="K18" s="1968"/>
      <c r="L18" s="3000"/>
      <c r="M18" s="2996"/>
      <c r="N18" s="2996"/>
      <c r="O18" s="3044"/>
      <c r="P18" s="3673"/>
      <c r="Q18" s="1616"/>
      <c r="R18" s="1725"/>
      <c r="S18" s="1726"/>
      <c r="T18" s="1725"/>
      <c r="U18" s="1726"/>
      <c r="V18" s="1725"/>
      <c r="W18" s="1726"/>
      <c r="X18" s="1666"/>
      <c r="Y18" s="3673"/>
      <c r="Z18" s="1727"/>
      <c r="AA18" s="1728">
        <v>1</v>
      </c>
      <c r="AB18" s="1728">
        <v>1</v>
      </c>
      <c r="AC18" s="1728">
        <v>1</v>
      </c>
    </row>
    <row r="19" spans="1:29" ht="71.25">
      <c r="A19" s="1668"/>
      <c r="B19" s="1975" t="s">
        <v>2383</v>
      </c>
      <c r="C19" s="1976"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69"/>
      <c r="L19" s="3000"/>
      <c r="M19" s="2996"/>
      <c r="N19" s="2996"/>
      <c r="O19" s="3044"/>
      <c r="P19" s="3673"/>
      <c r="Q19" s="1616" t="str">
        <f>B19</f>
        <v>办公集聚程度</v>
      </c>
      <c r="R19" s="1725" t="s">
        <v>25</v>
      </c>
      <c r="S19" s="1726">
        <f>F19</f>
        <v>100</v>
      </c>
      <c r="T19" s="1725" t="s">
        <v>25</v>
      </c>
      <c r="U19" s="1726">
        <f>H19</f>
        <v>100</v>
      </c>
      <c r="V19" s="1725" t="s">
        <v>25</v>
      </c>
      <c r="W19" s="1726">
        <f>J19</f>
        <v>100</v>
      </c>
      <c r="X19" s="1666"/>
      <c r="Y19" s="3673"/>
      <c r="Z19" s="1727" t="str">
        <f>Q19</f>
        <v>办公集聚程度</v>
      </c>
      <c r="AA19" s="1728">
        <f t="shared" si="3"/>
        <v>1</v>
      </c>
      <c r="AB19" s="1728">
        <f t="shared" si="4"/>
        <v>1</v>
      </c>
      <c r="AC19" s="1728">
        <f t="shared" si="5"/>
        <v>1</v>
      </c>
    </row>
    <row r="20" spans="1:29" ht="15">
      <c r="A20" s="1668"/>
      <c r="B20" s="1977"/>
      <c r="C20" s="1974"/>
      <c r="D20" s="1731"/>
      <c r="E20" s="1732"/>
      <c r="F20" s="1731"/>
      <c r="G20" s="1732"/>
      <c r="H20" s="1731"/>
      <c r="I20" s="1734"/>
      <c r="J20" s="1731"/>
      <c r="K20" s="1968"/>
      <c r="L20" s="3000"/>
      <c r="M20" s="2996"/>
      <c r="N20" s="2996"/>
      <c r="O20" s="3044"/>
      <c r="P20" s="3673"/>
      <c r="Q20" s="1616"/>
      <c r="R20" s="1725"/>
      <c r="S20" s="1726"/>
      <c r="T20" s="1725"/>
      <c r="U20" s="1726"/>
      <c r="V20" s="1725"/>
      <c r="W20" s="1726"/>
      <c r="X20" s="1666"/>
      <c r="Y20" s="3673"/>
      <c r="Z20" s="1727"/>
      <c r="AA20" s="1728">
        <v>1</v>
      </c>
      <c r="AB20" s="1728">
        <v>1</v>
      </c>
      <c r="AC20" s="1728">
        <v>1</v>
      </c>
    </row>
    <row r="21" spans="1:29" ht="57">
      <c r="A21" s="1668"/>
      <c r="B21" s="1975" t="s">
        <v>2406</v>
      </c>
      <c r="C21" s="1979" t="str">
        <f>估价对象房地状况!C18</f>
        <v>估价对象周边有多条公交线路，综合评价交通便捷度较好。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69"/>
      <c r="L21" s="3000"/>
      <c r="M21" s="2996"/>
      <c r="N21" s="2996"/>
      <c r="O21" s="3044"/>
      <c r="P21" s="3673"/>
      <c r="Q21" s="1616" t="str">
        <f>B21</f>
        <v>交通便捷度</v>
      </c>
      <c r="R21" s="1725" t="s">
        <v>25</v>
      </c>
      <c r="S21" s="1726">
        <f>F21</f>
        <v>100</v>
      </c>
      <c r="T21" s="1725" t="s">
        <v>25</v>
      </c>
      <c r="U21" s="1726">
        <f>H21</f>
        <v>100</v>
      </c>
      <c r="V21" s="1725" t="s">
        <v>25</v>
      </c>
      <c r="W21" s="1726">
        <f>J21</f>
        <v>100</v>
      </c>
      <c r="X21" s="1666"/>
      <c r="Y21" s="3673"/>
      <c r="Z21" s="1727" t="str">
        <f>Q21</f>
        <v>交通便捷度</v>
      </c>
      <c r="AA21" s="1728">
        <f t="shared" si="3"/>
        <v>1</v>
      </c>
      <c r="AB21" s="1728">
        <f t="shared" si="4"/>
        <v>1</v>
      </c>
      <c r="AC21" s="1728">
        <f t="shared" si="5"/>
        <v>1</v>
      </c>
    </row>
    <row r="22" spans="1:29" ht="15">
      <c r="A22" s="1668"/>
      <c r="B22" s="1980"/>
      <c r="C22" s="1974"/>
      <c r="D22" s="1735"/>
      <c r="E22" s="1732"/>
      <c r="F22" s="1731"/>
      <c r="G22" s="1732"/>
      <c r="H22" s="1731"/>
      <c r="I22" s="1734"/>
      <c r="J22" s="1731"/>
      <c r="K22" s="1968"/>
      <c r="L22" s="3000"/>
      <c r="M22" s="2996"/>
      <c r="N22" s="2996"/>
      <c r="O22" s="3044"/>
      <c r="P22" s="3673"/>
      <c r="Q22" s="1616"/>
      <c r="R22" s="1725"/>
      <c r="S22" s="1726"/>
      <c r="T22" s="1725"/>
      <c r="U22" s="1726"/>
      <c r="V22" s="1725"/>
      <c r="W22" s="1726"/>
      <c r="X22" s="1666"/>
      <c r="Y22" s="3673"/>
      <c r="Z22" s="1727"/>
      <c r="AA22" s="1728">
        <v>1</v>
      </c>
      <c r="AB22" s="1728">
        <v>1</v>
      </c>
      <c r="AC22" s="1728">
        <v>1</v>
      </c>
    </row>
    <row r="23" spans="1:29" ht="15">
      <c r="A23" s="1668"/>
      <c r="B23" s="1458" t="s">
        <v>2446</v>
      </c>
      <c r="C23" s="1981">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69"/>
      <c r="L23" s="3000"/>
      <c r="M23" s="2996"/>
      <c r="N23" s="2996"/>
      <c r="O23" s="3044"/>
      <c r="P23" s="3673"/>
      <c r="Q23" s="1616" t="str">
        <f t="shared" ref="Q23:Q37" si="8">B23</f>
        <v>区域土地利用方向</v>
      </c>
      <c r="R23" s="1725" t="s">
        <v>25</v>
      </c>
      <c r="S23" s="1726">
        <f>F23</f>
        <v>100</v>
      </c>
      <c r="T23" s="1725" t="s">
        <v>25</v>
      </c>
      <c r="U23" s="1726">
        <f>H23</f>
        <v>100</v>
      </c>
      <c r="V23" s="1725" t="s">
        <v>25</v>
      </c>
      <c r="W23" s="1726">
        <f>J23</f>
        <v>100</v>
      </c>
      <c r="X23" s="1666"/>
      <c r="Y23" s="3673"/>
      <c r="Z23" s="1727" t="str">
        <f>Q23</f>
        <v>区域土地利用方向</v>
      </c>
      <c r="AA23" s="1728">
        <f t="shared" si="3"/>
        <v>1</v>
      </c>
      <c r="AB23" s="1728">
        <f t="shared" si="4"/>
        <v>1</v>
      </c>
      <c r="AC23" s="1728">
        <f t="shared" si="5"/>
        <v>1</v>
      </c>
    </row>
    <row r="24" spans="1:29" ht="15">
      <c r="A24" s="1668"/>
      <c r="B24" s="1459"/>
      <c r="C24" s="1982"/>
      <c r="D24" s="1731"/>
      <c r="E24" s="1732"/>
      <c r="F24" s="1731"/>
      <c r="G24" s="1734"/>
      <c r="H24" s="1731"/>
      <c r="I24" s="1734"/>
      <c r="J24" s="1731"/>
      <c r="K24" s="1983"/>
      <c r="L24" s="3000"/>
      <c r="M24" s="2996"/>
      <c r="N24" s="2996"/>
      <c r="O24" s="3044"/>
      <c r="P24" s="3673"/>
      <c r="Q24" s="1616"/>
      <c r="R24" s="1725"/>
      <c r="S24" s="1726"/>
      <c r="T24" s="1725"/>
      <c r="U24" s="1726"/>
      <c r="V24" s="1725"/>
      <c r="W24" s="1726"/>
      <c r="X24" s="1666"/>
      <c r="Y24" s="3673"/>
      <c r="Z24" s="1727"/>
      <c r="AA24" s="1728"/>
      <c r="AB24" s="1728"/>
      <c r="AC24" s="1728"/>
    </row>
    <row r="25" spans="1:29" ht="71.25">
      <c r="A25" s="1668"/>
      <c r="B25" s="1980" t="s">
        <v>2447</v>
      </c>
      <c r="C25" s="1976" t="str">
        <f>估价对象房地状况!C20</f>
        <v xml:space="preserve">自然环境：昌平公园等；
综上，环境状况一般。
</v>
      </c>
      <c r="D25" s="1735">
        <v>100</v>
      </c>
      <c r="E25" s="1739"/>
      <c r="F25" s="1735">
        <f>SUMIF(98:98,E26,99:99)-SUMIF(98:98,C26,99:99)+100</f>
        <v>100</v>
      </c>
      <c r="G25" s="1739"/>
      <c r="H25" s="1735">
        <f>SUMIF(98:98,G26,99:99)-SUMIF(98:98,C26,99:99)+100</f>
        <v>100</v>
      </c>
      <c r="I25" s="1741"/>
      <c r="J25" s="1735">
        <f>SUMIF(98:98,I26,99:99)-SUMIF(98:98,C26,99:99)+100</f>
        <v>100</v>
      </c>
      <c r="K25" s="1969"/>
      <c r="L25" s="3000"/>
      <c r="M25" s="2996"/>
      <c r="N25" s="2996"/>
      <c r="O25" s="3044"/>
      <c r="P25" s="3673"/>
      <c r="Q25" s="1616" t="str">
        <f t="shared" si="8"/>
        <v>自然及人文环境状况</v>
      </c>
      <c r="R25" s="1725" t="s">
        <v>25</v>
      </c>
      <c r="S25" s="1726">
        <f>F25</f>
        <v>100</v>
      </c>
      <c r="T25" s="1725" t="s">
        <v>25</v>
      </c>
      <c r="U25" s="1726">
        <f>H25</f>
        <v>100</v>
      </c>
      <c r="V25" s="1725" t="s">
        <v>25</v>
      </c>
      <c r="W25" s="1726">
        <f>J25</f>
        <v>100</v>
      </c>
      <c r="X25" s="1666"/>
      <c r="Y25" s="3673"/>
      <c r="Z25" s="1727" t="str">
        <f>Q25</f>
        <v>自然及人文环境状况</v>
      </c>
      <c r="AA25" s="1728">
        <f t="shared" si="3"/>
        <v>1</v>
      </c>
      <c r="AB25" s="1728">
        <f t="shared" si="4"/>
        <v>1</v>
      </c>
      <c r="AC25" s="1728">
        <f t="shared" si="5"/>
        <v>1</v>
      </c>
    </row>
    <row r="26" spans="1:29" ht="15">
      <c r="A26" s="1668"/>
      <c r="B26" s="1977"/>
      <c r="C26" s="1974"/>
      <c r="D26" s="1731"/>
      <c r="E26" s="1974"/>
      <c r="F26" s="1731"/>
      <c r="G26" s="1974"/>
      <c r="H26" s="1731"/>
      <c r="I26" s="1730"/>
      <c r="J26" s="1731"/>
      <c r="K26" s="1968"/>
      <c r="L26" s="3000"/>
      <c r="M26" s="2996"/>
      <c r="N26" s="2996"/>
      <c r="O26" s="3044"/>
      <c r="P26" s="3673"/>
      <c r="Q26" s="1616"/>
      <c r="R26" s="1725"/>
      <c r="S26" s="1726"/>
      <c r="T26" s="1725"/>
      <c r="U26" s="1726"/>
      <c r="V26" s="1725"/>
      <c r="W26" s="1726"/>
      <c r="X26" s="1666"/>
      <c r="Y26" s="3673"/>
      <c r="Z26" s="1727"/>
      <c r="AA26" s="1728">
        <v>1</v>
      </c>
      <c r="AB26" s="1728">
        <v>1</v>
      </c>
      <c r="AC26" s="1728">
        <v>1</v>
      </c>
    </row>
    <row r="27" spans="1:29" ht="299.25">
      <c r="A27" s="1668"/>
      <c r="B27" s="1980" t="s">
        <v>2355</v>
      </c>
      <c r="C27" s="1979"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7" s="1735">
        <v>100</v>
      </c>
      <c r="E27" s="1739"/>
      <c r="F27" s="1735">
        <f>SUMIF(100:100,E28,101:101)-SUMIF(100:100,C28,101:101)+100</f>
        <v>100</v>
      </c>
      <c r="G27" s="1739"/>
      <c r="H27" s="1735">
        <f>SUMIF(100:100,G28,101:101)-SUMIF(100:100,C28,101:101)+100</f>
        <v>100</v>
      </c>
      <c r="I27" s="1741"/>
      <c r="J27" s="1735">
        <f>SUMIF(100:100,I28,101:101)-SUMIF(100:100,C28,101:101)+100</f>
        <v>100</v>
      </c>
      <c r="K27" s="1984"/>
      <c r="L27" s="3000"/>
      <c r="M27" s="2996"/>
      <c r="N27" s="2996"/>
      <c r="O27" s="3044"/>
      <c r="P27" s="3673"/>
      <c r="Q27" s="1635" t="str">
        <f t="shared" ref="Q27" si="9">B27</f>
        <v>公共配套设施</v>
      </c>
      <c r="R27" s="1681" t="s">
        <v>25</v>
      </c>
      <c r="S27" s="1682">
        <f>F27</f>
        <v>100</v>
      </c>
      <c r="T27" s="1681" t="s">
        <v>25</v>
      </c>
      <c r="U27" s="1682">
        <f>H27</f>
        <v>100</v>
      </c>
      <c r="V27" s="1681" t="s">
        <v>25</v>
      </c>
      <c r="W27" s="1682">
        <f>J27</f>
        <v>100</v>
      </c>
      <c r="X27" s="1666"/>
      <c r="Y27" s="3673"/>
      <c r="Z27" s="1693" t="str">
        <f>Q27</f>
        <v>公共配套设施</v>
      </c>
      <c r="AA27" s="1728">
        <f>D27/F27</f>
        <v>1</v>
      </c>
      <c r="AB27" s="1728">
        <f>D27/H27</f>
        <v>1</v>
      </c>
      <c r="AC27" s="1728">
        <f>D27/J27</f>
        <v>1</v>
      </c>
    </row>
    <row r="28" spans="1:29" ht="15">
      <c r="A28" s="1668"/>
      <c r="B28" s="1977"/>
      <c r="C28" s="1985"/>
      <c r="D28" s="1731"/>
      <c r="E28" s="1985"/>
      <c r="F28" s="1731"/>
      <c r="G28" s="1985"/>
      <c r="H28" s="1731"/>
      <c r="I28" s="1985"/>
      <c r="J28" s="1731"/>
      <c r="K28" s="1968"/>
      <c r="L28" s="3000"/>
      <c r="M28" s="2996"/>
      <c r="N28" s="2996"/>
      <c r="O28" s="3044"/>
      <c r="P28" s="3673"/>
      <c r="Q28" s="1616"/>
      <c r="R28" s="1725"/>
      <c r="S28" s="1726"/>
      <c r="T28" s="1725"/>
      <c r="U28" s="1726"/>
      <c r="V28" s="1725"/>
      <c r="W28" s="1726"/>
      <c r="X28" s="1666"/>
      <c r="Y28" s="3673"/>
      <c r="Z28" s="1693"/>
      <c r="AA28" s="1728">
        <v>1</v>
      </c>
      <c r="AB28" s="1728">
        <v>1</v>
      </c>
      <c r="AC28" s="1728">
        <v>1</v>
      </c>
    </row>
    <row r="29" spans="1:29" s="1685" customFormat="1" ht="42.75">
      <c r="A29" s="1986"/>
      <c r="B29" s="1980" t="s">
        <v>2356</v>
      </c>
      <c r="C29" s="1987" t="str">
        <f>估价对象房地状况!C22</f>
        <v>估价对象所在区域基础设施水平-七通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4"/>
      <c r="L29" s="2995"/>
      <c r="M29" s="2968"/>
      <c r="N29" s="2968"/>
      <c r="O29" s="3042"/>
      <c r="P29" s="3673"/>
      <c r="Q29" s="1635" t="str">
        <f t="shared" si="8"/>
        <v>基础设施水平</v>
      </c>
      <c r="R29" s="1681" t="s">
        <v>25</v>
      </c>
      <c r="S29" s="1682">
        <f>F29</f>
        <v>100</v>
      </c>
      <c r="T29" s="1681" t="s">
        <v>25</v>
      </c>
      <c r="U29" s="1682">
        <f>H29</f>
        <v>100</v>
      </c>
      <c r="V29" s="1681" t="s">
        <v>25</v>
      </c>
      <c r="W29" s="1682">
        <f>J29</f>
        <v>100</v>
      </c>
      <c r="X29" s="1683"/>
      <c r="Y29" s="3673"/>
      <c r="Z29" s="1693" t="str">
        <f>Q29</f>
        <v>基础设施水平</v>
      </c>
      <c r="AA29" s="1728">
        <f>D29/F29</f>
        <v>1</v>
      </c>
      <c r="AB29" s="1728">
        <f>D29/H29</f>
        <v>1</v>
      </c>
      <c r="AC29" s="1728">
        <f>D29/J29</f>
        <v>1</v>
      </c>
    </row>
    <row r="30" spans="1:29" s="1685" customFormat="1" ht="15">
      <c r="A30" s="1986"/>
      <c r="B30" s="1977"/>
      <c r="C30" s="1985"/>
      <c r="D30" s="1731"/>
      <c r="E30" s="1985"/>
      <c r="F30" s="1731"/>
      <c r="G30" s="1985"/>
      <c r="H30" s="1731"/>
      <c r="I30" s="1985"/>
      <c r="J30" s="1731"/>
      <c r="K30" s="1968"/>
      <c r="L30" s="2995"/>
      <c r="M30" s="2968"/>
      <c r="N30" s="2968"/>
      <c r="O30" s="3042"/>
      <c r="P30" s="3673"/>
      <c r="Q30" s="1635"/>
      <c r="R30" s="1681"/>
      <c r="S30" s="1682"/>
      <c r="T30" s="1681"/>
      <c r="U30" s="1682"/>
      <c r="V30" s="1681"/>
      <c r="W30" s="1682"/>
      <c r="X30" s="1683"/>
      <c r="Y30" s="3673"/>
      <c r="Z30" s="1693"/>
      <c r="AA30" s="1728">
        <v>1</v>
      </c>
      <c r="AB30" s="1728">
        <v>1</v>
      </c>
      <c r="AC30" s="1728">
        <v>1</v>
      </c>
    </row>
    <row r="31" spans="1:29" ht="15">
      <c r="A31" s="1668"/>
      <c r="B31" s="1977" t="s">
        <v>2357</v>
      </c>
      <c r="C31" s="1982"/>
      <c r="D31" s="1711">
        <v>100</v>
      </c>
      <c r="E31" s="1982"/>
      <c r="F31" s="1711">
        <f>SUMIF(104:104,E31,105:105)-SUMIF(104:104,C31,105:105)+100</f>
        <v>100</v>
      </c>
      <c r="G31" s="1982"/>
      <c r="H31" s="1711">
        <f>SUMIF(104:104,G31,105:105)-SUMIF(104:104,C31,105:105)+100</f>
        <v>100</v>
      </c>
      <c r="I31" s="1982"/>
      <c r="J31" s="1711">
        <f>SUMIF(104:104,I31,105:105)-SUMIF(104:104,C31,105:105)+100</f>
        <v>100</v>
      </c>
      <c r="K31" s="1969"/>
      <c r="L31" s="3000"/>
      <c r="M31" s="2996"/>
      <c r="N31" s="2996"/>
      <c r="O31" s="3044"/>
      <c r="P31" s="3673"/>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673"/>
      <c r="Z31" s="1727" t="str">
        <f t="shared" ref="Z31:Z45" si="13">Q31</f>
        <v>临街状况</v>
      </c>
      <c r="AA31" s="1728">
        <f t="shared" si="3"/>
        <v>1</v>
      </c>
      <c r="AB31" s="1728">
        <f t="shared" si="4"/>
        <v>1</v>
      </c>
      <c r="AC31" s="1728">
        <f t="shared" si="5"/>
        <v>1</v>
      </c>
    </row>
    <row r="32" spans="1:29" ht="27">
      <c r="A32" s="1668"/>
      <c r="B32" s="1980"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69"/>
      <c r="L32" s="3000"/>
      <c r="M32" s="2996"/>
      <c r="N32" s="2996"/>
      <c r="O32" s="3044"/>
      <c r="P32" s="3673"/>
      <c r="Q32" s="1616" t="str">
        <f t="shared" si="8"/>
        <v>毗邻道路的类型与等级</v>
      </c>
      <c r="R32" s="1725" t="s">
        <v>25</v>
      </c>
      <c r="S32" s="1726">
        <f t="shared" si="10"/>
        <v>100</v>
      </c>
      <c r="T32" s="1725" t="s">
        <v>25</v>
      </c>
      <c r="U32" s="1726">
        <f t="shared" si="11"/>
        <v>100</v>
      </c>
      <c r="V32" s="1725" t="s">
        <v>25</v>
      </c>
      <c r="W32" s="1726">
        <f t="shared" si="12"/>
        <v>100</v>
      </c>
      <c r="X32" s="1666"/>
      <c r="Y32" s="3673"/>
      <c r="Z32" s="1727" t="str">
        <f t="shared" si="13"/>
        <v>毗邻道路的类型与等级</v>
      </c>
      <c r="AA32" s="1728">
        <f t="shared" si="3"/>
        <v>1</v>
      </c>
      <c r="AB32" s="1728">
        <f t="shared" si="4"/>
        <v>1</v>
      </c>
      <c r="AC32" s="1728">
        <f t="shared" si="5"/>
        <v>1</v>
      </c>
    </row>
    <row r="33" spans="1:29" ht="15">
      <c r="A33" s="1668"/>
      <c r="B33" s="1977"/>
      <c r="C33" s="1974"/>
      <c r="D33" s="1731"/>
      <c r="E33" s="1974"/>
      <c r="F33" s="1731"/>
      <c r="G33" s="1974"/>
      <c r="H33" s="1731"/>
      <c r="I33" s="1730"/>
      <c r="J33" s="1731"/>
      <c r="K33" s="1988"/>
      <c r="L33" s="3000"/>
      <c r="M33" s="2996"/>
      <c r="N33" s="2996"/>
      <c r="O33" s="3044"/>
      <c r="P33" s="3673"/>
      <c r="Q33" s="1616"/>
      <c r="R33" s="1725"/>
      <c r="S33" s="1726"/>
      <c r="T33" s="1725"/>
      <c r="U33" s="1726"/>
      <c r="V33" s="1725"/>
      <c r="W33" s="1726"/>
      <c r="X33" s="1666"/>
      <c r="Y33" s="3673"/>
      <c r="Z33" s="1727"/>
      <c r="AA33" s="1728">
        <v>1</v>
      </c>
      <c r="AB33" s="1728">
        <v>1</v>
      </c>
      <c r="AC33" s="1728">
        <v>1</v>
      </c>
    </row>
    <row r="34" spans="1:29" ht="15">
      <c r="A34" s="1668"/>
      <c r="B34" s="1989" t="s">
        <v>2448</v>
      </c>
      <c r="C34" s="1982"/>
      <c r="D34" s="1711">
        <v>100</v>
      </c>
      <c r="E34" s="1982"/>
      <c r="F34" s="1711">
        <f>SUMIF(108:108,E34,109:109)-SUMIF(108:108,C34,109:109)+100</f>
        <v>100</v>
      </c>
      <c r="G34" s="1982"/>
      <c r="H34" s="1711">
        <f>SUMIF(108:108,G34,109:109)-SUMIF(108:108,C34,109:109)+100</f>
        <v>100</v>
      </c>
      <c r="I34" s="1990"/>
      <c r="J34" s="1711">
        <f>SUMIF(108:108,I34,109:109)-SUMIF(108:108,C34,109:109)+100</f>
        <v>100</v>
      </c>
      <c r="K34" s="1991"/>
      <c r="L34" s="3000"/>
      <c r="M34" s="2996"/>
      <c r="N34" s="2996"/>
      <c r="O34" s="3044"/>
      <c r="P34" s="3673"/>
      <c r="Q34" s="1616" t="str">
        <f t="shared" si="8"/>
        <v>土地级别</v>
      </c>
      <c r="R34" s="1725" t="s">
        <v>25</v>
      </c>
      <c r="S34" s="1726">
        <f t="shared" si="10"/>
        <v>100</v>
      </c>
      <c r="T34" s="1725" t="s">
        <v>25</v>
      </c>
      <c r="U34" s="1726">
        <f t="shared" si="11"/>
        <v>100</v>
      </c>
      <c r="V34" s="1725" t="s">
        <v>25</v>
      </c>
      <c r="W34" s="1726">
        <f t="shared" si="12"/>
        <v>100</v>
      </c>
      <c r="X34" s="1666"/>
      <c r="Y34" s="3673"/>
      <c r="Z34" s="1727" t="str">
        <f t="shared" si="13"/>
        <v>土地级别</v>
      </c>
      <c r="AA34" s="1728">
        <f t="shared" si="3"/>
        <v>1</v>
      </c>
      <c r="AB34" s="1728">
        <f t="shared" si="4"/>
        <v>1</v>
      </c>
      <c r="AC34" s="1728">
        <f t="shared" si="5"/>
        <v>1</v>
      </c>
    </row>
    <row r="35" spans="1:29" ht="15">
      <c r="A35" s="1668"/>
      <c r="B35" s="1992">
        <v>111</v>
      </c>
      <c r="C35" s="1778"/>
      <c r="D35" s="1711">
        <v>100</v>
      </c>
      <c r="E35" s="1778"/>
      <c r="F35" s="1711">
        <f>SUMIF(110:110,E35,111:111)-SUMIF(110:110,C35,111:111)+100</f>
        <v>100</v>
      </c>
      <c r="G35" s="1778"/>
      <c r="H35" s="1711">
        <f>SUMIF(110:110,G35,111:111)-SUMIF(110:110,C35,111:111)+100</f>
        <v>100</v>
      </c>
      <c r="I35" s="1970"/>
      <c r="J35" s="1711">
        <f>SUMIF(110:110,I35,111:111)-SUMIF(110:110,C35,111:111)+100</f>
        <v>100</v>
      </c>
      <c r="K35" s="1988"/>
      <c r="L35" s="3000"/>
      <c r="M35" s="2996"/>
      <c r="N35" s="2996"/>
      <c r="O35" s="3044"/>
      <c r="P35" s="3673"/>
      <c r="Q35" s="1616">
        <f t="shared" si="8"/>
        <v>111</v>
      </c>
      <c r="R35" s="1725" t="s">
        <v>25</v>
      </c>
      <c r="S35" s="1726">
        <f t="shared" si="10"/>
        <v>100</v>
      </c>
      <c r="T35" s="1725" t="s">
        <v>25</v>
      </c>
      <c r="U35" s="1726">
        <f t="shared" si="11"/>
        <v>100</v>
      </c>
      <c r="V35" s="1725" t="s">
        <v>25</v>
      </c>
      <c r="W35" s="1726">
        <f t="shared" si="12"/>
        <v>100</v>
      </c>
      <c r="X35" s="1666"/>
      <c r="Y35" s="3673"/>
      <c r="Z35" s="1727">
        <f t="shared" si="13"/>
        <v>111</v>
      </c>
      <c r="AA35" s="1728">
        <f t="shared" si="3"/>
        <v>1</v>
      </c>
      <c r="AB35" s="1728">
        <f t="shared" si="4"/>
        <v>1</v>
      </c>
      <c r="AC35" s="1728">
        <f t="shared" si="5"/>
        <v>1</v>
      </c>
    </row>
    <row r="36" spans="1:29" ht="15">
      <c r="A36" s="1993"/>
      <c r="B36" s="1994">
        <v>111</v>
      </c>
      <c r="C36" s="1778"/>
      <c r="D36" s="1711">
        <v>100</v>
      </c>
      <c r="E36" s="1778"/>
      <c r="F36" s="1711">
        <f>SUMIF(112:112,E37,113:113)-SUMIF(112:112,C37,113:113)+100</f>
        <v>100</v>
      </c>
      <c r="G36" s="1778"/>
      <c r="H36" s="1711">
        <f>SUMIF(112:112,G36,113:113)-SUMIF(112:112,C36,113:113)+100</f>
        <v>100</v>
      </c>
      <c r="I36" s="1970"/>
      <c r="J36" s="1711">
        <f>SUMIF(112:112,I36,113:113)-SUMIF(112:112,C36,113:113)+100</f>
        <v>100</v>
      </c>
      <c r="K36" s="1988"/>
      <c r="L36" s="3000"/>
      <c r="M36" s="2996"/>
      <c r="N36" s="2996"/>
      <c r="O36" s="3044"/>
      <c r="P36" s="3694" t="s">
        <v>2275</v>
      </c>
      <c r="Q36" s="1616">
        <f t="shared" si="8"/>
        <v>111</v>
      </c>
      <c r="R36" s="1725" t="s">
        <v>25</v>
      </c>
      <c r="S36" s="1726">
        <f t="shared" si="10"/>
        <v>100</v>
      </c>
      <c r="T36" s="1725" t="s">
        <v>25</v>
      </c>
      <c r="U36" s="1726">
        <f t="shared" si="11"/>
        <v>100</v>
      </c>
      <c r="V36" s="1725" t="s">
        <v>25</v>
      </c>
      <c r="W36" s="1726">
        <f t="shared" si="12"/>
        <v>100</v>
      </c>
      <c r="X36" s="1666"/>
      <c r="Y36" s="3677" t="s">
        <v>2275</v>
      </c>
      <c r="Z36" s="1727">
        <f t="shared" si="13"/>
        <v>111</v>
      </c>
      <c r="AA36" s="1728">
        <f t="shared" si="3"/>
        <v>1</v>
      </c>
      <c r="AB36" s="1728">
        <f t="shared" si="4"/>
        <v>1</v>
      </c>
      <c r="AC36" s="1728">
        <f t="shared" si="5"/>
        <v>1</v>
      </c>
    </row>
    <row r="37" spans="1:29" s="1770" customFormat="1" ht="15.75" thickBot="1">
      <c r="A37" s="1995"/>
      <c r="B37" s="1996">
        <v>111</v>
      </c>
      <c r="C37" s="1997"/>
      <c r="D37" s="1998">
        <v>100</v>
      </c>
      <c r="E37" s="1997"/>
      <c r="F37" s="1715">
        <f>SUMIF(114:114,E37,115:115)-SUMIF(114:114,C37,115:115)+100</f>
        <v>100</v>
      </c>
      <c r="G37" s="1997"/>
      <c r="H37" s="1715">
        <f>SUMIF(114:114,G37,115:115)-SUMIF(114:114,C37,115:115)+100</f>
        <v>100</v>
      </c>
      <c r="I37" s="1999"/>
      <c r="J37" s="1715">
        <f>SUMIF(114:114,I37,115:115)-SUMIF(114:114,C37,115:115)+100</f>
        <v>100</v>
      </c>
      <c r="K37" s="1988"/>
      <c r="L37" s="2999"/>
      <c r="M37" s="2058"/>
      <c r="N37" s="2058"/>
      <c r="O37" s="3045"/>
      <c r="P37" s="3677"/>
      <c r="Q37" s="1616">
        <f t="shared" si="8"/>
        <v>111</v>
      </c>
      <c r="R37" s="1766" t="s">
        <v>25</v>
      </c>
      <c r="S37" s="1767">
        <f t="shared" si="10"/>
        <v>100</v>
      </c>
      <c r="T37" s="1766" t="s">
        <v>25</v>
      </c>
      <c r="U37" s="1767">
        <f t="shared" si="11"/>
        <v>100</v>
      </c>
      <c r="V37" s="1766" t="s">
        <v>25</v>
      </c>
      <c r="W37" s="1767">
        <f t="shared" si="12"/>
        <v>100</v>
      </c>
      <c r="X37" s="1768"/>
      <c r="Y37" s="3677"/>
      <c r="Z37" s="1769">
        <f t="shared" si="13"/>
        <v>111</v>
      </c>
      <c r="AA37" s="1728">
        <f t="shared" si="3"/>
        <v>1</v>
      </c>
      <c r="AB37" s="1728">
        <f t="shared" si="4"/>
        <v>1</v>
      </c>
      <c r="AC37" s="1728">
        <f t="shared" si="5"/>
        <v>1</v>
      </c>
    </row>
    <row r="38" spans="1:29" ht="15">
      <c r="A38" s="1663" t="s">
        <v>2273</v>
      </c>
      <c r="B38" s="1743" t="s">
        <v>2449</v>
      </c>
      <c r="C38" s="2000"/>
      <c r="D38" s="1762">
        <v>100</v>
      </c>
      <c r="E38" s="2000"/>
      <c r="F38" s="1762" t="e">
        <f>LOOKUP(E38,117:117,118:118)-LOOKUP(C38,117:117,118:118)+100</f>
        <v>#N/A</v>
      </c>
      <c r="G38" s="2000"/>
      <c r="H38" s="1762" t="e">
        <f>LOOKUP(G38,117:117,118:118)-LOOKUP(C38,117:117,118:118)+100</f>
        <v>#N/A</v>
      </c>
      <c r="I38" s="1848"/>
      <c r="J38" s="1762" t="e">
        <f>LOOKUP(I38,117:117,118:118)-LOOKUP(C38,117:117,118:118)+100</f>
        <v>#N/A</v>
      </c>
      <c r="K38" s="1988"/>
      <c r="L38" s="3000"/>
      <c r="M38" s="2996"/>
      <c r="N38" s="2996"/>
      <c r="O38" s="3044"/>
      <c r="P38" s="3677"/>
      <c r="Q38" s="1616" t="str">
        <f>B38</f>
        <v>宗地面积</v>
      </c>
      <c r="R38" s="1725" t="s">
        <v>25</v>
      </c>
      <c r="S38" s="1726" t="e">
        <f t="shared" si="10"/>
        <v>#N/A</v>
      </c>
      <c r="T38" s="1725" t="s">
        <v>25</v>
      </c>
      <c r="U38" s="1726" t="e">
        <f t="shared" si="11"/>
        <v>#N/A</v>
      </c>
      <c r="V38" s="1725" t="s">
        <v>25</v>
      </c>
      <c r="W38" s="1726" t="e">
        <f t="shared" si="12"/>
        <v>#N/A</v>
      </c>
      <c r="X38" s="1666"/>
      <c r="Y38" s="3677"/>
      <c r="Z38" s="1727" t="str">
        <f t="shared" si="13"/>
        <v>宗地面积</v>
      </c>
      <c r="AA38" s="1728" t="e">
        <f t="shared" si="3"/>
        <v>#N/A</v>
      </c>
      <c r="AB38" s="1728" t="e">
        <f t="shared" si="4"/>
        <v>#N/A</v>
      </c>
      <c r="AC38" s="1728" t="e">
        <f t="shared" si="5"/>
        <v>#N/A</v>
      </c>
    </row>
    <row r="39" spans="1:29" ht="15">
      <c r="A39" s="1771"/>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1"/>
      <c r="L39" s="3000"/>
      <c r="M39" s="2996"/>
      <c r="N39" s="2996"/>
      <c r="O39" s="3044"/>
      <c r="P39" s="3677"/>
      <c r="Q39" s="1616" t="str">
        <f t="shared" ref="Q39:Q45" si="14">B39</f>
        <v>宗地形状</v>
      </c>
      <c r="R39" s="1725" t="s">
        <v>25</v>
      </c>
      <c r="S39" s="1726">
        <f t="shared" si="10"/>
        <v>100</v>
      </c>
      <c r="T39" s="1725" t="s">
        <v>25</v>
      </c>
      <c r="U39" s="1726">
        <f t="shared" si="11"/>
        <v>100</v>
      </c>
      <c r="V39" s="1725" t="s">
        <v>25</v>
      </c>
      <c r="W39" s="1726">
        <f t="shared" si="12"/>
        <v>100</v>
      </c>
      <c r="X39" s="1666"/>
      <c r="Y39" s="3677"/>
      <c r="Z39" s="1727" t="str">
        <f t="shared" si="13"/>
        <v>宗地形状</v>
      </c>
      <c r="AA39" s="1728">
        <f t="shared" si="3"/>
        <v>1</v>
      </c>
      <c r="AB39" s="1728">
        <f t="shared" si="4"/>
        <v>1</v>
      </c>
      <c r="AC39" s="1728">
        <f t="shared" si="5"/>
        <v>1</v>
      </c>
    </row>
    <row r="40" spans="1:29" ht="15">
      <c r="A40" s="1771"/>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1"/>
      <c r="L40" s="3000"/>
      <c r="M40" s="2996"/>
      <c r="N40" s="2996"/>
      <c r="O40" s="3044"/>
      <c r="P40" s="3677"/>
      <c r="Q40" s="1616" t="str">
        <f t="shared" si="14"/>
        <v>临街宽度及深度</v>
      </c>
      <c r="R40" s="1725" t="s">
        <v>25</v>
      </c>
      <c r="S40" s="1726">
        <f t="shared" si="10"/>
        <v>100</v>
      </c>
      <c r="T40" s="1725" t="s">
        <v>25</v>
      </c>
      <c r="U40" s="1726">
        <f t="shared" si="11"/>
        <v>100</v>
      </c>
      <c r="V40" s="1725" t="s">
        <v>25</v>
      </c>
      <c r="W40" s="1726">
        <f t="shared" si="12"/>
        <v>100</v>
      </c>
      <c r="X40" s="1666"/>
      <c r="Y40" s="3677"/>
      <c r="Z40" s="1727" t="str">
        <f t="shared" si="13"/>
        <v>临街宽度及深度</v>
      </c>
      <c r="AA40" s="1728">
        <f t="shared" si="3"/>
        <v>1</v>
      </c>
      <c r="AB40" s="1728">
        <f t="shared" si="4"/>
        <v>1</v>
      </c>
      <c r="AC40" s="1728">
        <f t="shared" si="5"/>
        <v>1</v>
      </c>
    </row>
    <row r="41" spans="1:29" s="1685" customFormat="1" ht="15">
      <c r="A41" s="1774"/>
      <c r="B41" s="1695" t="s">
        <v>2452</v>
      </c>
      <c r="C41" s="2001"/>
      <c r="D41" s="1697">
        <v>100</v>
      </c>
      <c r="E41" s="2001"/>
      <c r="F41" s="1711">
        <f>SUMIF(123:123,E41,124:124)-SUMIF(123:123,C41,124:124)+100</f>
        <v>100</v>
      </c>
      <c r="G41" s="2001"/>
      <c r="H41" s="1711">
        <f>SUMIF(123:123,G41,124:124)-SUMIF(123:123,C41,124:124)+100</f>
        <v>100</v>
      </c>
      <c r="I41" s="2001"/>
      <c r="J41" s="1711">
        <f>SUMIF(123:123,I41,124:124)-SUMIF(123:123,C41,124:124)+100</f>
        <v>100</v>
      </c>
      <c r="K41" s="1991"/>
      <c r="L41" s="2995"/>
      <c r="M41" s="2968"/>
      <c r="N41" s="2968"/>
      <c r="O41" s="3042"/>
      <c r="P41" s="3677"/>
      <c r="Q41" s="1616" t="str">
        <f t="shared" si="14"/>
        <v>宗地开发程度</v>
      </c>
      <c r="R41" s="1681" t="s">
        <v>25</v>
      </c>
      <c r="S41" s="1682">
        <f t="shared" si="10"/>
        <v>100</v>
      </c>
      <c r="T41" s="1681" t="s">
        <v>25</v>
      </c>
      <c r="U41" s="1682">
        <f t="shared" si="11"/>
        <v>100</v>
      </c>
      <c r="V41" s="1681" t="s">
        <v>25</v>
      </c>
      <c r="W41" s="1682">
        <f t="shared" si="12"/>
        <v>100</v>
      </c>
      <c r="X41" s="1683"/>
      <c r="Y41" s="3677"/>
      <c r="Z41" s="1693" t="str">
        <f t="shared" si="13"/>
        <v>宗地开发程度</v>
      </c>
      <c r="AA41" s="1684">
        <f t="shared" si="3"/>
        <v>1</v>
      </c>
      <c r="AB41" s="1684">
        <f t="shared" si="4"/>
        <v>1</v>
      </c>
      <c r="AC41" s="1684">
        <f t="shared" si="5"/>
        <v>1</v>
      </c>
    </row>
    <row r="42" spans="1:29" ht="15">
      <c r="A42" s="1771"/>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1"/>
      <c r="L42" s="3000"/>
      <c r="M42" s="2996"/>
      <c r="N42" s="2996"/>
      <c r="O42" s="3044"/>
      <c r="P42" s="3677" t="s">
        <v>2275</v>
      </c>
      <c r="Q42" s="1616" t="str">
        <f t="shared" si="14"/>
        <v>工程地质条件</v>
      </c>
      <c r="R42" s="1725" t="s">
        <v>25</v>
      </c>
      <c r="S42" s="1726">
        <f t="shared" si="10"/>
        <v>100</v>
      </c>
      <c r="T42" s="1725" t="s">
        <v>25</v>
      </c>
      <c r="U42" s="1726">
        <f t="shared" si="11"/>
        <v>100</v>
      </c>
      <c r="V42" s="1725" t="s">
        <v>25</v>
      </c>
      <c r="W42" s="1726">
        <f t="shared" si="12"/>
        <v>100</v>
      </c>
      <c r="X42" s="1666"/>
      <c r="Y42" s="3677" t="s">
        <v>2275</v>
      </c>
      <c r="Z42" s="1727" t="str">
        <f t="shared" si="13"/>
        <v>工程地质条件</v>
      </c>
      <c r="AA42" s="1728">
        <f t="shared" si="3"/>
        <v>1</v>
      </c>
      <c r="AB42" s="1728">
        <f t="shared" si="4"/>
        <v>1</v>
      </c>
      <c r="AC42" s="1728">
        <f t="shared" si="5"/>
        <v>1</v>
      </c>
    </row>
    <row r="43" spans="1:29" ht="15">
      <c r="A43" s="1771"/>
      <c r="B43" s="2002">
        <v>111</v>
      </c>
      <c r="C43" s="1970"/>
      <c r="D43" s="1711">
        <v>100</v>
      </c>
      <c r="E43" s="1970"/>
      <c r="F43" s="1711">
        <f>SUMIF(127:127,E43,128:128)-SUMIF(127:127,C43,128:128)+100</f>
        <v>100</v>
      </c>
      <c r="G43" s="1970"/>
      <c r="H43" s="1711">
        <f>SUMIF(127:127,G43,128:128)-SUMIF(127:127,C43,128:128)+100</f>
        <v>100</v>
      </c>
      <c r="I43" s="1866"/>
      <c r="J43" s="1711">
        <f>SUMIF(127:127,I43,128:128)-SUMIF(127:127,C43,128:128)+100</f>
        <v>100</v>
      </c>
      <c r="K43" s="1988"/>
      <c r="L43" s="3000"/>
      <c r="M43" s="2996"/>
      <c r="N43" s="2996"/>
      <c r="O43" s="3044"/>
      <c r="P43" s="3677"/>
      <c r="Q43" s="1616">
        <f t="shared" si="14"/>
        <v>111</v>
      </c>
      <c r="R43" s="1725" t="s">
        <v>25</v>
      </c>
      <c r="S43" s="1726">
        <f t="shared" si="10"/>
        <v>100</v>
      </c>
      <c r="T43" s="1725" t="s">
        <v>25</v>
      </c>
      <c r="U43" s="1726">
        <f t="shared" si="11"/>
        <v>100</v>
      </c>
      <c r="V43" s="1725" t="s">
        <v>25</v>
      </c>
      <c r="W43" s="1726">
        <f t="shared" si="12"/>
        <v>100</v>
      </c>
      <c r="X43" s="1666"/>
      <c r="Y43" s="3677"/>
      <c r="Z43" s="1727">
        <f t="shared" si="13"/>
        <v>111</v>
      </c>
      <c r="AA43" s="1728">
        <f t="shared" si="3"/>
        <v>1</v>
      </c>
      <c r="AB43" s="1728">
        <f t="shared" si="4"/>
        <v>1</v>
      </c>
      <c r="AC43" s="1728">
        <f t="shared" si="5"/>
        <v>1</v>
      </c>
    </row>
    <row r="44" spans="1:29" ht="15">
      <c r="A44" s="1771"/>
      <c r="B44" s="2002">
        <v>111</v>
      </c>
      <c r="C44" s="1970"/>
      <c r="D44" s="1711">
        <v>100</v>
      </c>
      <c r="E44" s="1970"/>
      <c r="F44" s="1711">
        <f>SUMIF(129:129,E44,130:130)-SUMIF(129:129,C44,130:130)+100</f>
        <v>100</v>
      </c>
      <c r="G44" s="1970"/>
      <c r="H44" s="1711">
        <f>SUMIF(129:129,G44,130:130)-SUMIF(129:129,C44,130:130)+100</f>
        <v>100</v>
      </c>
      <c r="I44" s="1866"/>
      <c r="J44" s="1711">
        <f>SUMIF(129:129,I44,130:130)-SUMIF(129:129,C44,130:130)+100</f>
        <v>100</v>
      </c>
      <c r="K44" s="1988"/>
      <c r="L44" s="3000"/>
      <c r="M44" s="2996"/>
      <c r="N44" s="2996"/>
      <c r="O44" s="3044"/>
      <c r="P44" s="3677"/>
      <c r="Q44" s="1616">
        <f t="shared" si="14"/>
        <v>111</v>
      </c>
      <c r="R44" s="1725" t="s">
        <v>25</v>
      </c>
      <c r="S44" s="1726">
        <f t="shared" si="10"/>
        <v>100</v>
      </c>
      <c r="T44" s="1725" t="s">
        <v>25</v>
      </c>
      <c r="U44" s="1726">
        <f t="shared" si="11"/>
        <v>100</v>
      </c>
      <c r="V44" s="1725" t="s">
        <v>25</v>
      </c>
      <c r="W44" s="1726">
        <f t="shared" si="12"/>
        <v>100</v>
      </c>
      <c r="X44" s="1666"/>
      <c r="Y44" s="3677"/>
      <c r="Z44" s="1727">
        <f t="shared" si="13"/>
        <v>111</v>
      </c>
      <c r="AA44" s="1728">
        <f t="shared" si="3"/>
        <v>1</v>
      </c>
      <c r="AB44" s="1728">
        <f t="shared" si="4"/>
        <v>1</v>
      </c>
      <c r="AC44" s="1728">
        <f t="shared" si="5"/>
        <v>1</v>
      </c>
    </row>
    <row r="45" spans="1:29" s="1770" customFormat="1" ht="15.75" thickBot="1">
      <c r="A45" s="1763"/>
      <c r="B45" s="2002">
        <v>111</v>
      </c>
      <c r="C45" s="2003"/>
      <c r="D45" s="3144">
        <v>100</v>
      </c>
      <c r="E45" s="1970"/>
      <c r="F45" s="1715">
        <f>SUMIF(131:131,E45,132:132)-SUMIF(131:131,C45,132:132)+100</f>
        <v>100</v>
      </c>
      <c r="G45" s="1970"/>
      <c r="H45" s="1715">
        <f>SUMIF(131:131,G45,132:132)-SUMIF(131:131,C45,132:132)+100</f>
        <v>100</v>
      </c>
      <c r="I45" s="1970"/>
      <c r="J45" s="1715">
        <f>SUMIF(131:131,I45,132:132)-SUMIF(131:131,C45,132:132)+100</f>
        <v>100</v>
      </c>
      <c r="K45" s="2004"/>
      <c r="L45" s="2999"/>
      <c r="M45" s="2058"/>
      <c r="N45" s="2058"/>
      <c r="O45" s="3045"/>
      <c r="P45" s="3677"/>
      <c r="Q45" s="1616">
        <f t="shared" si="14"/>
        <v>111</v>
      </c>
      <c r="R45" s="1766" t="s">
        <v>25</v>
      </c>
      <c r="S45" s="1767">
        <f t="shared" si="10"/>
        <v>100</v>
      </c>
      <c r="T45" s="1766" t="s">
        <v>25</v>
      </c>
      <c r="U45" s="1767">
        <f t="shared" si="11"/>
        <v>100</v>
      </c>
      <c r="V45" s="1766" t="s">
        <v>25</v>
      </c>
      <c r="W45" s="1767">
        <f t="shared" si="12"/>
        <v>100</v>
      </c>
      <c r="X45" s="1768"/>
      <c r="Y45" s="3677"/>
      <c r="Z45" s="1769">
        <f t="shared" si="13"/>
        <v>111</v>
      </c>
      <c r="AA45" s="1728">
        <f t="shared" si="3"/>
        <v>1</v>
      </c>
      <c r="AB45" s="1728">
        <f t="shared" si="4"/>
        <v>1</v>
      </c>
      <c r="AC45" s="1728">
        <f t="shared" si="5"/>
        <v>1</v>
      </c>
    </row>
    <row r="46" spans="1:29" ht="15">
      <c r="A46" s="1780" t="s">
        <v>2417</v>
      </c>
      <c r="B46" s="2005" t="s">
        <v>2454</v>
      </c>
      <c r="C46" s="2006" t="s">
        <v>1</v>
      </c>
      <c r="D46" s="2007"/>
      <c r="E46" s="2008"/>
      <c r="F46" s="2009"/>
      <c r="G46" s="2010"/>
      <c r="H46" s="2011"/>
      <c r="I46" s="2008"/>
      <c r="J46" s="2011"/>
      <c r="K46" s="2012"/>
      <c r="L46" s="3001"/>
      <c r="N46" s="2996"/>
      <c r="P46" s="3683" t="str">
        <f>A46</f>
        <v>成交单价</v>
      </c>
      <c r="Q46" s="3683"/>
      <c r="R46" s="3663">
        <f>E46</f>
        <v>0</v>
      </c>
      <c r="S46" s="3663"/>
      <c r="T46" s="3663">
        <f>G46</f>
        <v>0</v>
      </c>
      <c r="U46" s="3663"/>
      <c r="V46" s="3663">
        <f>I46</f>
        <v>0</v>
      </c>
      <c r="W46" s="3663"/>
      <c r="X46" s="1790"/>
      <c r="Y46" s="1791"/>
      <c r="Z46" s="1790"/>
      <c r="AA46" s="1790"/>
      <c r="AB46" s="1790"/>
      <c r="AC46" s="1790"/>
    </row>
    <row r="47" spans="1:29" ht="15.75" thickBot="1">
      <c r="A47" s="1792" t="s">
        <v>2370</v>
      </c>
      <c r="B47" s="2013"/>
      <c r="C47" s="2014" t="e">
        <f>R48</f>
        <v>#DIV/0!</v>
      </c>
      <c r="D47" s="1795" t="s">
        <v>2744</v>
      </c>
      <c r="E47" s="2014" t="e">
        <f>R47</f>
        <v>#DIV/0!</v>
      </c>
      <c r="F47" s="1797"/>
      <c r="G47" s="2015" t="e">
        <f>T47</f>
        <v>#DIV/0!</v>
      </c>
      <c r="H47" s="1797"/>
      <c r="I47" s="2014" t="e">
        <f>V47</f>
        <v>#DIV/0!</v>
      </c>
      <c r="J47" s="1797"/>
      <c r="K47" s="2509">
        <f>F47+H47+J47</f>
        <v>0</v>
      </c>
      <c r="L47" s="3001"/>
      <c r="P47" s="3683" t="str">
        <f>A47</f>
        <v>比较价值（元/平方米）</v>
      </c>
      <c r="Q47" s="3683"/>
      <c r="R47" s="3737" t="e">
        <f>ROUND(PRODUCT(R46,AA7:AA45),0)</f>
        <v>#DIV/0!</v>
      </c>
      <c r="S47" s="3737"/>
      <c r="T47" s="3737" t="e">
        <f>ROUND(PRODUCT(T46,AB7:AB45),0)</f>
        <v>#DIV/0!</v>
      </c>
      <c r="U47" s="3737"/>
      <c r="V47" s="3737" t="e">
        <f>ROUND(PRODUCT(V46,AC7:AC45),0)</f>
        <v>#DIV/0!</v>
      </c>
      <c r="W47" s="3737"/>
      <c r="X47" s="1790"/>
      <c r="Y47" s="1790"/>
      <c r="Z47" s="1790"/>
      <c r="AA47" s="1790"/>
      <c r="AB47" s="1790"/>
      <c r="AC47" s="1790"/>
    </row>
    <row r="48" spans="1:29" ht="15.75" thickBot="1">
      <c r="A48" s="1798" t="s">
        <v>2393</v>
      </c>
      <c r="B48" s="1799"/>
      <c r="C48" s="2016" t="e">
        <f>R48</f>
        <v>#DIV/0!</v>
      </c>
      <c r="D48" s="2016"/>
      <c r="E48" s="2016"/>
      <c r="F48" s="2016"/>
      <c r="G48" s="2016"/>
      <c r="H48" s="2016"/>
      <c r="I48" s="2016"/>
      <c r="J48" s="2016"/>
      <c r="K48" s="2017"/>
      <c r="L48" s="3001"/>
      <c r="P48" s="3689" t="str">
        <f>A48</f>
        <v>估价对象XX用房的比较价值（楼面单价，元/平方米）</v>
      </c>
      <c r="Q48" s="3690"/>
      <c r="R48" s="3738" t="e">
        <f>ROUND(IF(D47="简单平均",AVERAGE(R47:W47),R47*F47+T47*H47+V47*J47),0)</f>
        <v>#DIV/0!</v>
      </c>
      <c r="S48" s="3738"/>
      <c r="T48" s="3738"/>
      <c r="U48" s="3738"/>
      <c r="V48" s="3738"/>
      <c r="W48" s="3738"/>
      <c r="X48" s="1790"/>
      <c r="Y48" s="1790"/>
      <c r="Z48" s="1790"/>
      <c r="AA48" s="1790"/>
      <c r="AB48" s="1790"/>
      <c r="AC48" s="1790"/>
    </row>
    <row r="49" spans="1:14">
      <c r="G49" s="3005"/>
    </row>
    <row r="51" spans="1:14" ht="13.5" customHeight="1">
      <c r="C51" s="383" t="s">
        <v>2372</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2373</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2374</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8"/>
      <c r="L53" s="3002"/>
    </row>
    <row r="54" spans="1:14" s="1812" customFormat="1" ht="15" thickBot="1">
      <c r="B54" s="3006"/>
      <c r="C54" s="3007"/>
      <c r="K54" s="3008"/>
      <c r="L54" s="3002"/>
    </row>
    <row r="55" spans="1:14" ht="27">
      <c r="A55" s="564" t="s">
        <v>2455</v>
      </c>
      <c r="B55" s="2018" t="s">
        <v>2456</v>
      </c>
      <c r="C55" s="2019" t="s">
        <v>2457</v>
      </c>
      <c r="D55" s="2020" t="s">
        <v>2458</v>
      </c>
      <c r="E55" s="2021" t="s">
        <v>2459</v>
      </c>
      <c r="F55" s="2022" t="s">
        <v>2460</v>
      </c>
      <c r="G55" s="1917" t="s">
        <v>2461</v>
      </c>
      <c r="H55" s="1917" t="str">
        <f>项目基本情况!G8</f>
        <v>XX</v>
      </c>
      <c r="I55" s="1594" t="s">
        <v>2462</v>
      </c>
      <c r="J55" s="2023"/>
      <c r="K55" s="1804"/>
    </row>
    <row r="56" spans="1:14" s="2030" customFormat="1">
      <c r="A56" s="2024" t="s">
        <v>2463</v>
      </c>
      <c r="B56" s="2025" t="e">
        <f>C48</f>
        <v>#DIV/0!</v>
      </c>
      <c r="C56" s="280">
        <v>1</v>
      </c>
      <c r="D56" s="2026">
        <v>1</v>
      </c>
      <c r="E56" s="2027">
        <v>120</v>
      </c>
      <c r="F56" s="2028" t="e">
        <f t="shared" ref="F56:F65" si="15">ROUND(B56*E56,0)</f>
        <v>#DIV/0!</v>
      </c>
      <c r="G56" s="2029">
        <v>1</v>
      </c>
      <c r="H56" s="2029">
        <v>1</v>
      </c>
      <c r="I56" s="1812"/>
      <c r="J56" s="1812"/>
      <c r="K56" s="3008"/>
      <c r="L56" s="3002"/>
      <c r="M56" s="1812"/>
      <c r="N56" s="1812"/>
    </row>
    <row r="57" spans="1:14" s="2030" customFormat="1">
      <c r="A57" s="2031" t="s">
        <v>2464</v>
      </c>
      <c r="B57" s="2032" t="e">
        <f>ROUND($C$48*C57*D57,0)</f>
        <v>#DIV/0!</v>
      </c>
      <c r="C57" s="50">
        <f>IF($C$55="北京市系数",G57,H57)</f>
        <v>0</v>
      </c>
      <c r="D57" s="2033">
        <v>0.25</v>
      </c>
      <c r="E57" s="2027">
        <v>0</v>
      </c>
      <c r="F57" s="2028" t="e">
        <f t="shared" si="15"/>
        <v>#DIV/0!</v>
      </c>
      <c r="G57" s="2029">
        <f>SUMIF(修正!$A$45:$A$56,项目基本情况!$F$9,修正!B45:B56)</f>
        <v>0</v>
      </c>
      <c r="H57" s="2034"/>
      <c r="I57" s="1667"/>
      <c r="J57" s="1908"/>
      <c r="K57" s="1909"/>
      <c r="L57" s="1909"/>
      <c r="M57" s="1667"/>
      <c r="N57" s="1667"/>
    </row>
    <row r="58" spans="1:14" s="2030" customFormat="1">
      <c r="A58" s="2031" t="s">
        <v>2465</v>
      </c>
      <c r="B58" s="2032" t="e">
        <f t="shared" ref="B58:B65" si="16">ROUND($C$48*C58*D58,0)</f>
        <v>#DIV/0!</v>
      </c>
      <c r="C58" s="50">
        <f t="shared" ref="C58:C65" si="17">IF($C$55="北京市系数",G58,H58)</f>
        <v>0</v>
      </c>
      <c r="D58" s="2033">
        <v>0.25</v>
      </c>
      <c r="E58" s="2027">
        <v>0</v>
      </c>
      <c r="F58" s="2028" t="e">
        <f t="shared" si="15"/>
        <v>#DIV/0!</v>
      </c>
      <c r="G58" s="2029">
        <f>SUMIF(修正!$A$45:$A$56,项目基本情况!$F$9,修正!C45:C56)</f>
        <v>0</v>
      </c>
      <c r="H58" s="2034"/>
      <c r="I58" s="1812"/>
      <c r="J58" s="1812"/>
      <c r="K58" s="3008"/>
      <c r="L58" s="3002"/>
      <c r="M58" s="1812"/>
      <c r="N58" s="1812"/>
    </row>
    <row r="59" spans="1:14" s="2030" customFormat="1">
      <c r="A59" s="2031" t="s">
        <v>2466</v>
      </c>
      <c r="B59" s="2032" t="e">
        <f t="shared" si="16"/>
        <v>#DIV/0!</v>
      </c>
      <c r="C59" s="50">
        <f t="shared" si="17"/>
        <v>0</v>
      </c>
      <c r="D59" s="2033">
        <v>0.25</v>
      </c>
      <c r="E59" s="2027">
        <v>0</v>
      </c>
      <c r="F59" s="2028" t="e">
        <f t="shared" si="15"/>
        <v>#DIV/0!</v>
      </c>
      <c r="G59" s="2029">
        <f>SUMIF(修正!$A$45:$A$56,项目基本情况!$F$9,修正!D45:D56)</f>
        <v>0</v>
      </c>
      <c r="H59" s="2034"/>
      <c r="I59" s="1667"/>
      <c r="J59" s="1908"/>
      <c r="K59" s="1909"/>
      <c r="L59" s="1909"/>
      <c r="M59" s="1667"/>
      <c r="N59" s="1667"/>
    </row>
    <row r="60" spans="1:14" s="2030" customFormat="1">
      <c r="A60" s="2031" t="s">
        <v>2467</v>
      </c>
      <c r="B60" s="2032" t="e">
        <f t="shared" si="16"/>
        <v>#DIV/0!</v>
      </c>
      <c r="C60" s="50">
        <f t="shared" si="17"/>
        <v>0</v>
      </c>
      <c r="D60" s="2033">
        <v>0.25</v>
      </c>
      <c r="E60" s="2027">
        <v>0</v>
      </c>
      <c r="F60" s="2028" t="e">
        <f t="shared" si="15"/>
        <v>#DIV/0!</v>
      </c>
      <c r="G60" s="2029">
        <f>SUMIF(修正!$A$45:$A$56,项目基本情况!$F$9,修正!E45:E56)</f>
        <v>0</v>
      </c>
      <c r="H60" s="2034"/>
      <c r="I60" s="1812"/>
      <c r="J60" s="1812"/>
      <c r="K60" s="3008"/>
      <c r="L60" s="3002"/>
      <c r="M60" s="1812"/>
      <c r="N60" s="1812"/>
    </row>
    <row r="61" spans="1:14" s="2030" customFormat="1">
      <c r="A61" s="2031" t="s">
        <v>2468</v>
      </c>
      <c r="B61" s="2032" t="e">
        <f t="shared" si="16"/>
        <v>#DIV/0!</v>
      </c>
      <c r="C61" s="50">
        <f t="shared" si="17"/>
        <v>0</v>
      </c>
      <c r="D61" s="2033">
        <v>0.25</v>
      </c>
      <c r="E61" s="2027">
        <v>0</v>
      </c>
      <c r="F61" s="2028" t="e">
        <f t="shared" si="15"/>
        <v>#DIV/0!</v>
      </c>
      <c r="G61" s="2029">
        <f>SUMIF(修正!A45:A56,项目基本情况!F9,修正!F45:F56)</f>
        <v>0</v>
      </c>
      <c r="H61" s="2034"/>
      <c r="I61" s="1667"/>
      <c r="J61" s="1908"/>
      <c r="K61" s="1909"/>
      <c r="L61" s="1909"/>
      <c r="M61" s="1667"/>
      <c r="N61" s="1667"/>
    </row>
    <row r="62" spans="1:14" s="2030" customFormat="1">
      <c r="A62" s="2031" t="s">
        <v>2469</v>
      </c>
      <c r="B62" s="2032" t="e">
        <f t="shared" si="16"/>
        <v>#DIV/0!</v>
      </c>
      <c r="C62" s="50">
        <f t="shared" si="17"/>
        <v>0</v>
      </c>
      <c r="D62" s="2033">
        <v>0.25</v>
      </c>
      <c r="E62" s="2027">
        <v>0</v>
      </c>
      <c r="F62" s="2028" t="e">
        <f t="shared" si="15"/>
        <v>#DIV/0!</v>
      </c>
      <c r="G62" s="2029">
        <f>SUMIF(修正!A45:A56,项目基本情况!F9,修正!G45:G56)</f>
        <v>0</v>
      </c>
      <c r="H62" s="2034"/>
      <c r="I62" s="1812"/>
      <c r="J62" s="1812"/>
      <c r="K62" s="3008"/>
      <c r="L62" s="3002"/>
      <c r="M62" s="1812"/>
      <c r="N62" s="1812"/>
    </row>
    <row r="63" spans="1:14" s="2030" customFormat="1">
      <c r="A63" s="2031" t="s">
        <v>2470</v>
      </c>
      <c r="B63" s="2032" t="e">
        <f t="shared" si="16"/>
        <v>#DIV/0!</v>
      </c>
      <c r="C63" s="50">
        <f>IF($C$55="北京市系数",G63,H63)</f>
        <v>0</v>
      </c>
      <c r="D63" s="2033">
        <v>0.25</v>
      </c>
      <c r="E63" s="2027">
        <v>0</v>
      </c>
      <c r="F63" s="2028" t="e">
        <f t="shared" si="15"/>
        <v>#DIV/0!</v>
      </c>
      <c r="G63" s="2029">
        <f>SUMIF(修正!A45:A56,项目基本情况!F9,修正!H45:H56)</f>
        <v>0</v>
      </c>
      <c r="H63" s="2034"/>
      <c r="I63" s="1667"/>
      <c r="J63" s="1908"/>
      <c r="K63" s="1909"/>
      <c r="L63" s="1909"/>
      <c r="M63" s="1667"/>
      <c r="N63" s="1667"/>
    </row>
    <row r="64" spans="1:14" s="2030" customFormat="1">
      <c r="A64" s="2031" t="s">
        <v>2471</v>
      </c>
      <c r="B64" s="2032" t="e">
        <f t="shared" si="16"/>
        <v>#DIV/0!</v>
      </c>
      <c r="C64" s="50">
        <f t="shared" si="17"/>
        <v>0</v>
      </c>
      <c r="D64" s="2033">
        <v>0.25</v>
      </c>
      <c r="E64" s="2027">
        <v>0</v>
      </c>
      <c r="F64" s="2028" t="e">
        <f t="shared" si="15"/>
        <v>#DIV/0!</v>
      </c>
      <c r="G64" s="2029">
        <f>G63</f>
        <v>0</v>
      </c>
      <c r="H64" s="2034"/>
      <c r="I64" s="1812"/>
      <c r="J64" s="1812"/>
      <c r="K64" s="3008"/>
      <c r="L64" s="3002"/>
      <c r="M64" s="1812"/>
      <c r="N64" s="1812"/>
    </row>
    <row r="65" spans="1:17" s="2030" customFormat="1">
      <c r="A65" s="2031" t="s">
        <v>2472</v>
      </c>
      <c r="B65" s="2032" t="e">
        <f t="shared" si="16"/>
        <v>#DIV/0!</v>
      </c>
      <c r="C65" s="50">
        <f t="shared" si="17"/>
        <v>0</v>
      </c>
      <c r="D65" s="2033">
        <v>0.25</v>
      </c>
      <c r="E65" s="2027">
        <v>0</v>
      </c>
      <c r="F65" s="2028" t="e">
        <f t="shared" si="15"/>
        <v>#DIV/0!</v>
      </c>
      <c r="G65" s="2029">
        <f>G63</f>
        <v>0</v>
      </c>
      <c r="H65" s="2034"/>
      <c r="I65" s="1667"/>
      <c r="J65" s="1908"/>
      <c r="K65" s="1909"/>
      <c r="L65" s="1909"/>
      <c r="M65" s="1667"/>
      <c r="N65" s="1667"/>
    </row>
    <row r="66" spans="1:17" s="2030" customFormat="1" ht="13.5" thickBot="1">
      <c r="A66" s="2035" t="s">
        <v>2473</v>
      </c>
      <c r="B66" s="2036" t="s">
        <v>39</v>
      </c>
      <c r="C66" s="2036" t="s">
        <v>40</v>
      </c>
      <c r="D66" s="2036" t="s">
        <v>36</v>
      </c>
      <c r="E66" s="2036">
        <f>SUM(E56:E65)</f>
        <v>120</v>
      </c>
      <c r="F66" s="2037" t="e">
        <f>SUM(F56:F65)</f>
        <v>#DIV/0!</v>
      </c>
      <c r="G66" s="2038"/>
      <c r="H66" s="2038"/>
      <c r="I66" s="3046"/>
      <c r="J66" s="3046"/>
      <c r="K66" s="3046"/>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2006-10-1</v>
      </c>
      <c r="D68" s="2039">
        <f>EDATE(C68,-3)</f>
        <v>38899</v>
      </c>
      <c r="E68" s="2039">
        <f t="shared" ref="E68:O68" si="18">EDATE(D68,-3)</f>
        <v>38808</v>
      </c>
      <c r="F68" s="2039">
        <f t="shared" si="18"/>
        <v>38718</v>
      </c>
      <c r="G68" s="2039">
        <f t="shared" si="18"/>
        <v>38626</v>
      </c>
      <c r="H68" s="2039">
        <f t="shared" si="18"/>
        <v>38534</v>
      </c>
      <c r="I68" s="2039">
        <f t="shared" si="18"/>
        <v>38443</v>
      </c>
      <c r="J68" s="2039">
        <f t="shared" si="18"/>
        <v>38353</v>
      </c>
      <c r="K68" s="2039">
        <f t="shared" si="18"/>
        <v>38261</v>
      </c>
      <c r="L68" s="2039">
        <f t="shared" si="18"/>
        <v>38169</v>
      </c>
      <c r="M68" s="2039">
        <f t="shared" si="18"/>
        <v>38078</v>
      </c>
      <c r="N68" s="2039">
        <f t="shared" si="18"/>
        <v>37987</v>
      </c>
      <c r="O68" s="2039">
        <f t="shared" si="18"/>
        <v>37895</v>
      </c>
    </row>
    <row r="69" spans="1:17" ht="21.75" thickBot="1">
      <c r="A69" s="1815" t="s">
        <v>2375</v>
      </c>
      <c r="B69" s="1790"/>
      <c r="C69" s="1816"/>
      <c r="D69" s="1816"/>
      <c r="E69" s="1816"/>
      <c r="F69" s="1816"/>
      <c r="G69" s="1816"/>
      <c r="H69" s="1816"/>
      <c r="I69" s="2041"/>
      <c r="J69" s="2041"/>
      <c r="K69" s="2042"/>
      <c r="L69" s="2043"/>
      <c r="M69" s="2041"/>
      <c r="N69" s="2041"/>
      <c r="O69" s="2041"/>
      <c r="P69" s="2044"/>
      <c r="Q69" s="1820"/>
    </row>
    <row r="70" spans="1:17" s="2049" customFormat="1" ht="15">
      <c r="A70" s="2045" t="s">
        <v>2474</v>
      </c>
      <c r="B70" s="2046"/>
      <c r="C70" s="2047" t="str">
        <f>YEAR(C68)&amp;"-"&amp;ROUNDUP(MONTH(C68)/3,0)</f>
        <v>2006-4</v>
      </c>
      <c r="D70" s="2047" t="str">
        <f>YEAR(D68)&amp;"-"&amp;ROUNDUP(MONTH(D68)/3,0)</f>
        <v>2006-3</v>
      </c>
      <c r="E70" s="2047" t="str">
        <f t="shared" ref="E70:O70" si="19">YEAR(E68)&amp;"-"&amp;ROUNDUP(MONTH(E68)/3,0)</f>
        <v>2006-2</v>
      </c>
      <c r="F70" s="2047" t="str">
        <f t="shared" si="19"/>
        <v>2006-1</v>
      </c>
      <c r="G70" s="2047" t="str">
        <f t="shared" si="19"/>
        <v>2005-4</v>
      </c>
      <c r="H70" s="2047" t="str">
        <f t="shared" si="19"/>
        <v>2005-3</v>
      </c>
      <c r="I70" s="2047" t="str">
        <f t="shared" si="19"/>
        <v>2005-2</v>
      </c>
      <c r="J70" s="2047" t="str">
        <f t="shared" si="19"/>
        <v>2005-1</v>
      </c>
      <c r="K70" s="2047" t="str">
        <f t="shared" si="19"/>
        <v>2004-4</v>
      </c>
      <c r="L70" s="2047" t="str">
        <f t="shared" si="19"/>
        <v>2004-3</v>
      </c>
      <c r="M70" s="2047" t="str">
        <f t="shared" si="19"/>
        <v>2004-2</v>
      </c>
      <c r="N70" s="2047" t="str">
        <f t="shared" si="19"/>
        <v>2004-1</v>
      </c>
      <c r="O70" s="2047" t="str">
        <f t="shared" si="19"/>
        <v>2003-4</v>
      </c>
      <c r="P70" s="2048"/>
    </row>
    <row r="71" spans="1:17" s="1685" customFormat="1" ht="29.25" customHeight="1">
      <c r="A71" s="2050" t="s">
        <v>2475</v>
      </c>
      <c r="B71" s="2051" t="str">
        <f>"北京市平均增长率"&amp;TEXT(SUMIF(基准地价修正!N21:N25,A71,基准地价修正!P21:P25),"0.00%")</f>
        <v>北京市平均增长率0.00%</v>
      </c>
      <c r="C71" s="1904">
        <v>100</v>
      </c>
      <c r="D71" s="1900"/>
      <c r="E71" s="1900"/>
      <c r="F71" s="1900"/>
      <c r="G71" s="1900"/>
      <c r="H71" s="1900"/>
      <c r="I71" s="1900"/>
      <c r="J71" s="1900"/>
      <c r="K71" s="1900"/>
      <c r="L71" s="1900"/>
      <c r="M71" s="2052"/>
      <c r="N71" s="1900"/>
      <c r="O71" s="2053"/>
      <c r="P71" s="1820"/>
    </row>
    <row r="72" spans="1:17" s="1685" customFormat="1" ht="15.75" thickBot="1">
      <c r="A72" s="1833" t="s">
        <v>2295</v>
      </c>
      <c r="B72" s="1834"/>
      <c r="C72" s="1835"/>
      <c r="D72" s="1836"/>
      <c r="E72" s="1836"/>
      <c r="F72" s="1836"/>
      <c r="G72" s="1836"/>
      <c r="H72" s="1836"/>
      <c r="I72" s="1836"/>
      <c r="J72" s="1836"/>
      <c r="K72" s="1836"/>
      <c r="L72" s="1836"/>
      <c r="M72" s="1837"/>
      <c r="N72" s="1836"/>
      <c r="O72" s="2054"/>
      <c r="P72" s="1820"/>
      <c r="Q72" s="1820"/>
    </row>
    <row r="73" spans="1:17" s="1685" customFormat="1" ht="15">
      <c r="A73" s="1838" t="s">
        <v>2260</v>
      </c>
      <c r="B73" s="1828"/>
      <c r="C73" s="1839" t="s">
        <v>2261</v>
      </c>
      <c r="D73" s="409"/>
      <c r="E73" s="409"/>
      <c r="F73" s="409"/>
      <c r="G73" s="409"/>
      <c r="H73" s="409"/>
      <c r="I73" s="409"/>
      <c r="J73" s="409"/>
      <c r="K73" s="409"/>
      <c r="L73" s="409"/>
      <c r="M73" s="1840"/>
      <c r="N73" s="3013"/>
      <c r="O73" s="3013"/>
      <c r="P73" s="2055"/>
      <c r="Q73" s="1820"/>
    </row>
    <row r="74" spans="1:17" s="1685" customFormat="1" ht="15.75" thickBot="1">
      <c r="A74" s="1838"/>
      <c r="B74" s="1828"/>
      <c r="C74" s="1829">
        <v>100</v>
      </c>
      <c r="D74" s="1830"/>
      <c r="E74" s="1830"/>
      <c r="F74" s="1830"/>
      <c r="G74" s="1830"/>
      <c r="H74" s="1830"/>
      <c r="I74" s="1830"/>
      <c r="J74" s="1830"/>
      <c r="K74" s="1830"/>
      <c r="L74" s="1830"/>
      <c r="M74" s="1844"/>
      <c r="N74" s="3013"/>
      <c r="O74" s="3013"/>
      <c r="P74" s="1820"/>
      <c r="Q74" s="1820"/>
    </row>
    <row r="75" spans="1:17">
      <c r="A75" s="1845" t="s">
        <v>2298</v>
      </c>
      <c r="B75" s="1846" t="s">
        <v>2264</v>
      </c>
      <c r="C75" s="1848"/>
      <c r="D75" s="1848"/>
      <c r="E75" s="1848"/>
      <c r="F75" s="1848"/>
      <c r="G75" s="1848"/>
      <c r="H75" s="1848"/>
      <c r="I75" s="1848"/>
      <c r="J75" s="1848"/>
      <c r="K75" s="417"/>
      <c r="L75" s="417"/>
      <c r="M75" s="1849"/>
      <c r="N75" s="3014"/>
      <c r="O75" s="3014"/>
      <c r="P75" s="2056"/>
      <c r="Q75" s="1820"/>
    </row>
    <row r="76" spans="1:17" ht="15.75" thickBot="1">
      <c r="A76" s="1852"/>
      <c r="B76" s="1853"/>
      <c r="C76" s="1854"/>
      <c r="D76" s="1854"/>
      <c r="E76" s="1854"/>
      <c r="F76" s="1854"/>
      <c r="G76" s="1854"/>
      <c r="H76" s="1854"/>
      <c r="I76" s="1854"/>
      <c r="J76" s="1854"/>
      <c r="K76" s="1854"/>
      <c r="L76" s="1854"/>
      <c r="M76" s="1855"/>
      <c r="N76" s="3015"/>
      <c r="O76" s="3015"/>
      <c r="P76" s="2056"/>
      <c r="Q76" s="1820"/>
    </row>
    <row r="77" spans="1:17" ht="27.75" thickTop="1">
      <c r="A77" s="1852"/>
      <c r="B77" s="1857" t="s">
        <v>2267</v>
      </c>
      <c r="C77" s="1858"/>
      <c r="D77" s="1858"/>
      <c r="E77" s="1858"/>
      <c r="F77" s="1858"/>
      <c r="G77" s="1858"/>
      <c r="H77" s="1858"/>
      <c r="I77" s="1858"/>
      <c r="J77" s="1858"/>
      <c r="K77" s="428"/>
      <c r="L77" s="428"/>
      <c r="M77" s="1859"/>
      <c r="N77" s="3014"/>
      <c r="O77" s="3014"/>
      <c r="P77" s="2056"/>
      <c r="Q77" s="1820"/>
    </row>
    <row r="78" spans="1:17" ht="15.75" thickBot="1">
      <c r="A78" s="1852"/>
      <c r="B78" s="1860"/>
      <c r="C78" s="1861"/>
      <c r="D78" s="1861"/>
      <c r="E78" s="1861"/>
      <c r="F78" s="1861"/>
      <c r="G78" s="1861"/>
      <c r="H78" s="1861"/>
      <c r="I78" s="1861"/>
      <c r="J78" s="1861"/>
      <c r="K78" s="1861"/>
      <c r="L78" s="1861"/>
      <c r="M78" s="1862"/>
      <c r="N78" s="3015"/>
      <c r="O78" s="3015"/>
      <c r="P78" s="2056"/>
      <c r="Q78" s="1820"/>
    </row>
    <row r="79" spans="1:17" ht="15.75" thickTop="1">
      <c r="A79" s="1852"/>
      <c r="B79" s="1863" t="s">
        <v>2268</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1" t="str">
        <f>M80&amp;"（含）"&amp;"-"&amp;P80</f>
        <v>（含）-</v>
      </c>
      <c r="N79" s="3015"/>
      <c r="O79" s="3015"/>
      <c r="P79" s="2056"/>
      <c r="Q79" s="1820"/>
    </row>
    <row r="80" spans="1:17" ht="15">
      <c r="A80" s="1852"/>
      <c r="B80" s="1865"/>
      <c r="C80" s="1866"/>
      <c r="D80" s="1866"/>
      <c r="E80" s="1866"/>
      <c r="F80" s="1866"/>
      <c r="G80" s="1866"/>
      <c r="H80" s="1866"/>
      <c r="I80" s="1866"/>
      <c r="J80" s="1866"/>
      <c r="K80" s="438"/>
      <c r="L80" s="438"/>
      <c r="M80" s="1867"/>
      <c r="N80" s="3014"/>
      <c r="O80" s="3014"/>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5"/>
      <c r="O81" s="3015"/>
      <c r="P81" s="2056"/>
      <c r="Q81" s="1820"/>
    </row>
    <row r="82" spans="1:17" s="1770" customFormat="1" ht="15.75" thickTop="1">
      <c r="A82" s="1868"/>
      <c r="B82" s="1857" t="str">
        <f>B12</f>
        <v>配建</v>
      </c>
      <c r="C82" s="468"/>
      <c r="D82" s="468"/>
      <c r="E82" s="468"/>
      <c r="F82" s="468"/>
      <c r="G82" s="468"/>
      <c r="H82" s="443"/>
      <c r="I82" s="443"/>
      <c r="J82" s="443"/>
      <c r="K82" s="443"/>
      <c r="L82" s="443"/>
      <c r="M82" s="1869"/>
      <c r="N82" s="3016"/>
      <c r="O82" s="3016"/>
      <c r="P82" s="2057"/>
      <c r="Q82" s="1872"/>
    </row>
    <row r="83" spans="1:17" s="1770" customFormat="1" ht="15.75" thickBot="1">
      <c r="A83" s="1868"/>
      <c r="B83" s="1860"/>
      <c r="C83" s="1873"/>
      <c r="D83" s="1854"/>
      <c r="E83" s="1854"/>
      <c r="F83" s="1854"/>
      <c r="G83" s="1854"/>
      <c r="H83" s="1854"/>
      <c r="I83" s="1854"/>
      <c r="J83" s="1854"/>
      <c r="K83" s="1854"/>
      <c r="L83" s="1854"/>
      <c r="M83" s="1855"/>
      <c r="N83" s="3015"/>
      <c r="O83" s="3015"/>
      <c r="P83" s="2057"/>
      <c r="Q83" s="1872"/>
    </row>
    <row r="84" spans="1:17" s="1770" customFormat="1" ht="15.75" thickTop="1">
      <c r="A84" s="1868"/>
      <c r="B84" s="1857">
        <f>B13</f>
        <v>111</v>
      </c>
      <c r="C84" s="468"/>
      <c r="D84" s="468"/>
      <c r="E84" s="468"/>
      <c r="F84" s="468"/>
      <c r="G84" s="468"/>
      <c r="H84" s="443"/>
      <c r="I84" s="443"/>
      <c r="J84" s="443"/>
      <c r="K84" s="443"/>
      <c r="L84" s="443"/>
      <c r="M84" s="1869"/>
      <c r="N84" s="3016"/>
      <c r="O84" s="3016"/>
      <c r="P84" s="2058"/>
      <c r="Q84" s="1875"/>
    </row>
    <row r="85" spans="1:17" s="1770" customFormat="1" ht="15.75" thickBot="1">
      <c r="A85" s="1868"/>
      <c r="B85" s="1860"/>
      <c r="C85" s="1873"/>
      <c r="D85" s="1873"/>
      <c r="E85" s="1873"/>
      <c r="F85" s="1873"/>
      <c r="G85" s="1873"/>
      <c r="H85" s="1876"/>
      <c r="I85" s="1876"/>
      <c r="J85" s="1876"/>
      <c r="K85" s="1876"/>
      <c r="L85" s="1876"/>
      <c r="M85" s="1877"/>
      <c r="N85" s="3016"/>
      <c r="O85" s="3016"/>
      <c r="P85" s="2057"/>
      <c r="Q85" s="1872"/>
    </row>
    <row r="86" spans="1:17" s="1770" customFormat="1" ht="15.75" thickTop="1">
      <c r="A86" s="1868"/>
      <c r="B86" s="1863">
        <f>B14</f>
        <v>111</v>
      </c>
      <c r="C86" s="409"/>
      <c r="D86" s="409"/>
      <c r="E86" s="409"/>
      <c r="F86" s="409"/>
      <c r="G86" s="409"/>
      <c r="H86" s="453"/>
      <c r="I86" s="453"/>
      <c r="J86" s="453"/>
      <c r="K86" s="453"/>
      <c r="L86" s="453"/>
      <c r="M86" s="1878"/>
      <c r="N86" s="3016"/>
      <c r="O86" s="3016"/>
      <c r="P86" s="2057"/>
      <c r="Q86" s="1872"/>
    </row>
    <row r="87" spans="1:17" s="1770" customFormat="1" ht="15.75" thickBot="1">
      <c r="A87" s="1879"/>
      <c r="B87" s="1880"/>
      <c r="C87" s="1881"/>
      <c r="D87" s="1881"/>
      <c r="E87" s="1881"/>
      <c r="F87" s="1881"/>
      <c r="G87" s="1881"/>
      <c r="H87" s="1882"/>
      <c r="I87" s="1882"/>
      <c r="J87" s="1882"/>
      <c r="K87" s="1882"/>
      <c r="L87" s="1882"/>
      <c r="M87" s="1883"/>
      <c r="N87" s="3016"/>
      <c r="O87" s="3016"/>
      <c r="P87" s="2057"/>
      <c r="Q87" s="1872"/>
    </row>
    <row r="88" spans="1:17">
      <c r="A88" s="1845" t="s">
        <v>2269</v>
      </c>
      <c r="B88" s="1846" t="s">
        <v>2306</v>
      </c>
      <c r="C88" s="1884" t="s">
        <v>2307</v>
      </c>
      <c r="D88" s="1884" t="s">
        <v>2308</v>
      </c>
      <c r="E88" s="1884" t="s">
        <v>2309</v>
      </c>
      <c r="F88" s="1884" t="s">
        <v>2310</v>
      </c>
      <c r="G88" s="1884" t="s">
        <v>2311</v>
      </c>
      <c r="H88" s="1847"/>
      <c r="I88" s="1847"/>
      <c r="J88" s="1847"/>
      <c r="K88" s="463"/>
      <c r="L88" s="463"/>
      <c r="M88" s="1885"/>
      <c r="N88" s="3014"/>
      <c r="O88" s="3014"/>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5"/>
      <c r="O89" s="3015"/>
      <c r="P89" s="2056"/>
      <c r="Q89" s="1820"/>
    </row>
    <row r="90" spans="1:17" ht="15.75" thickTop="1">
      <c r="A90" s="1852"/>
      <c r="B90" s="1857" t="s">
        <v>2476</v>
      </c>
      <c r="C90" s="579" t="s">
        <v>2307</v>
      </c>
      <c r="D90" s="579" t="s">
        <v>2308</v>
      </c>
      <c r="E90" s="579" t="s">
        <v>2309</v>
      </c>
      <c r="F90" s="579" t="s">
        <v>2310</v>
      </c>
      <c r="G90" s="579" t="s">
        <v>2311</v>
      </c>
      <c r="H90" s="1858"/>
      <c r="I90" s="1858"/>
      <c r="J90" s="1858"/>
      <c r="K90" s="428"/>
      <c r="L90" s="428"/>
      <c r="M90" s="1859"/>
      <c r="N90" s="3014"/>
      <c r="O90" s="3014"/>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5"/>
      <c r="O91" s="3015"/>
      <c r="P91" s="2056"/>
      <c r="Q91" s="1820"/>
    </row>
    <row r="92" spans="1:17" ht="15.75" thickTop="1">
      <c r="A92" s="1852"/>
      <c r="B92" s="1857" t="s">
        <v>2394</v>
      </c>
      <c r="C92" s="579" t="s">
        <v>2307</v>
      </c>
      <c r="D92" s="579" t="s">
        <v>2308</v>
      </c>
      <c r="E92" s="579" t="s">
        <v>2309</v>
      </c>
      <c r="F92" s="579" t="s">
        <v>2310</v>
      </c>
      <c r="G92" s="579" t="s">
        <v>2311</v>
      </c>
      <c r="H92" s="1858"/>
      <c r="I92" s="1858"/>
      <c r="J92" s="1858"/>
      <c r="K92" s="428"/>
      <c r="L92" s="428"/>
      <c r="M92" s="1859"/>
      <c r="N92" s="3014"/>
      <c r="O92" s="3014"/>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5"/>
      <c r="O93" s="3015"/>
      <c r="P93" s="2056"/>
      <c r="Q93" s="1820"/>
    </row>
    <row r="94" spans="1:17" ht="15.75" thickTop="1">
      <c r="A94" s="1852"/>
      <c r="B94" s="1857" t="s">
        <v>2312</v>
      </c>
      <c r="C94" s="579" t="s">
        <v>2307</v>
      </c>
      <c r="D94" s="579" t="s">
        <v>2308</v>
      </c>
      <c r="E94" s="579" t="s">
        <v>2309</v>
      </c>
      <c r="F94" s="579" t="s">
        <v>2310</v>
      </c>
      <c r="G94" s="579" t="s">
        <v>2311</v>
      </c>
      <c r="H94" s="1858"/>
      <c r="I94" s="1858"/>
      <c r="J94" s="1858"/>
      <c r="K94" s="428"/>
      <c r="L94" s="428"/>
      <c r="M94" s="1859"/>
      <c r="N94" s="3014"/>
      <c r="O94" s="3014"/>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5"/>
      <c r="O95" s="3015"/>
      <c r="P95" s="2056"/>
      <c r="Q95" s="1820"/>
    </row>
    <row r="96" spans="1:17" s="1685" customFormat="1" ht="15.75" thickTop="1">
      <c r="A96" s="1888"/>
      <c r="B96" s="1857" t="s">
        <v>2477</v>
      </c>
      <c r="C96" s="579" t="s">
        <v>2307</v>
      </c>
      <c r="D96" s="579" t="s">
        <v>2308</v>
      </c>
      <c r="E96" s="579" t="s">
        <v>2309</v>
      </c>
      <c r="F96" s="579" t="s">
        <v>2310</v>
      </c>
      <c r="G96" s="579" t="s">
        <v>2311</v>
      </c>
      <c r="H96" s="579"/>
      <c r="I96" s="579"/>
      <c r="J96" s="579"/>
      <c r="K96" s="579"/>
      <c r="L96" s="579"/>
      <c r="M96" s="2059"/>
      <c r="N96" s="3013"/>
      <c r="O96" s="3013"/>
      <c r="P96" s="2056"/>
      <c r="Q96" s="1820"/>
    </row>
    <row r="97" spans="1:17" s="1685"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5"/>
      <c r="O97" s="3015"/>
      <c r="P97" s="2056"/>
      <c r="Q97" s="1820"/>
    </row>
    <row r="98" spans="1:17" s="1685" customFormat="1" ht="27.75" thickTop="1">
      <c r="A98" s="1888"/>
      <c r="B98" s="1857" t="s">
        <v>2478</v>
      </c>
      <c r="C98" s="1884" t="s">
        <v>2307</v>
      </c>
      <c r="D98" s="1884" t="s">
        <v>2308</v>
      </c>
      <c r="E98" s="1884" t="s">
        <v>2309</v>
      </c>
      <c r="F98" s="1884" t="s">
        <v>2310</v>
      </c>
      <c r="G98" s="1884" t="s">
        <v>2311</v>
      </c>
      <c r="H98" s="579"/>
      <c r="I98" s="579"/>
      <c r="J98" s="579"/>
      <c r="K98" s="579"/>
      <c r="L98" s="579"/>
      <c r="M98" s="2059"/>
      <c r="N98" s="3013"/>
      <c r="O98" s="3013"/>
      <c r="P98" s="2056"/>
      <c r="Q98" s="1820"/>
    </row>
    <row r="99" spans="1:17" s="1685"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5"/>
      <c r="O99" s="3015"/>
      <c r="P99" s="2056"/>
      <c r="Q99" s="1820"/>
    </row>
    <row r="100" spans="1:17" s="1685" customFormat="1" ht="15.75" thickTop="1">
      <c r="A100" s="1888"/>
      <c r="B100" s="1863" t="s">
        <v>2355</v>
      </c>
      <c r="C100" s="1884" t="s">
        <v>2307</v>
      </c>
      <c r="D100" s="1884" t="s">
        <v>2308</v>
      </c>
      <c r="E100" s="1884" t="s">
        <v>2309</v>
      </c>
      <c r="F100" s="1884" t="s">
        <v>2310</v>
      </c>
      <c r="G100" s="1884" t="s">
        <v>2311</v>
      </c>
      <c r="H100" s="1858"/>
      <c r="I100" s="1858"/>
      <c r="J100" s="1858"/>
      <c r="K100" s="1858"/>
      <c r="L100" s="1858"/>
      <c r="M100" s="1886"/>
      <c r="N100" s="3015"/>
      <c r="O100" s="3015"/>
      <c r="P100" s="2056"/>
      <c r="Q100" s="1820"/>
    </row>
    <row r="101" spans="1:17" s="1685"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5"/>
      <c r="N101" s="3015"/>
      <c r="O101" s="3015"/>
      <c r="P101" s="2056"/>
      <c r="Q101" s="1820"/>
    </row>
    <row r="102" spans="1:17" s="1770" customFormat="1" ht="15.75" thickTop="1">
      <c r="A102" s="1868"/>
      <c r="B102" s="1857" t="s">
        <v>2356</v>
      </c>
      <c r="C102" s="1858" t="s">
        <v>2314</v>
      </c>
      <c r="D102" s="1858" t="s">
        <v>2315</v>
      </c>
      <c r="E102" s="1858" t="s">
        <v>2316</v>
      </c>
      <c r="F102" s="1858" t="s">
        <v>2317</v>
      </c>
      <c r="G102" s="1858" t="s">
        <v>2318</v>
      </c>
      <c r="H102" s="489"/>
      <c r="I102" s="489"/>
      <c r="J102" s="489"/>
      <c r="K102" s="489"/>
      <c r="L102" s="489"/>
      <c r="M102" s="1903"/>
      <c r="N102" s="3016"/>
      <c r="O102" s="3016"/>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6"/>
      <c r="O103" s="3016"/>
      <c r="P103" s="2057"/>
      <c r="Q103" s="1872"/>
    </row>
    <row r="104" spans="1:17" ht="15.75" thickTop="1">
      <c r="A104" s="1852"/>
      <c r="B104" s="1857" t="str">
        <f>B31</f>
        <v>临街状况</v>
      </c>
      <c r="C104" s="1858" t="s">
        <v>2479</v>
      </c>
      <c r="D104" s="1858" t="s">
        <v>2480</v>
      </c>
      <c r="E104" s="1858" t="s">
        <v>2481</v>
      </c>
      <c r="F104" s="1858" t="s">
        <v>2482</v>
      </c>
      <c r="G104" s="1858"/>
      <c r="H104" s="1858"/>
      <c r="I104" s="1858"/>
      <c r="J104" s="1858"/>
      <c r="K104" s="428"/>
      <c r="L104" s="428"/>
      <c r="M104" s="1859"/>
      <c r="N104" s="3014"/>
      <c r="O104" s="3014"/>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5"/>
      <c r="O105" s="3015"/>
      <c r="P105" s="2056"/>
      <c r="Q105" s="1820"/>
    </row>
    <row r="106" spans="1:17" ht="27.75" thickTop="1">
      <c r="A106" s="1852"/>
      <c r="B106" s="1857" t="s">
        <v>2387</v>
      </c>
      <c r="C106" s="468"/>
      <c r="D106" s="468"/>
      <c r="E106" s="468"/>
      <c r="F106" s="468"/>
      <c r="G106" s="468"/>
      <c r="H106" s="1578"/>
      <c r="I106" s="1578"/>
      <c r="J106" s="1578"/>
      <c r="K106" s="473"/>
      <c r="L106" s="473"/>
      <c r="M106" s="1892"/>
      <c r="N106" s="3014"/>
      <c r="O106" s="3014"/>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5"/>
      <c r="O107" s="3015"/>
      <c r="P107" s="2056"/>
      <c r="Q107" s="1820"/>
    </row>
    <row r="108" spans="1:17" ht="15.75" thickTop="1">
      <c r="A108" s="1852"/>
      <c r="B108" s="1857" t="s">
        <v>2448</v>
      </c>
      <c r="C108" s="1578"/>
      <c r="D108" s="1578"/>
      <c r="E108" s="1578"/>
      <c r="F108" s="1578"/>
      <c r="G108" s="1578"/>
      <c r="H108" s="1578"/>
      <c r="I108" s="1578"/>
      <c r="J108" s="1578"/>
      <c r="K108" s="473"/>
      <c r="L108" s="473"/>
      <c r="M108" s="1892"/>
      <c r="N108" s="3014"/>
      <c r="O108" s="3014"/>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5"/>
      <c r="O109" s="3015"/>
      <c r="P109" s="2056"/>
      <c r="Q109" s="1820"/>
    </row>
    <row r="110" spans="1:17" ht="15.75" thickTop="1">
      <c r="A110" s="1852"/>
      <c r="B110" s="1863">
        <f>B35</f>
        <v>111</v>
      </c>
      <c r="C110" s="468"/>
      <c r="D110" s="468"/>
      <c r="E110" s="468"/>
      <c r="F110" s="468"/>
      <c r="G110" s="1893"/>
      <c r="H110" s="1893"/>
      <c r="I110" s="1893"/>
      <c r="J110" s="1893"/>
      <c r="K110" s="477"/>
      <c r="L110" s="477"/>
      <c r="M110" s="1894"/>
      <c r="N110" s="3014"/>
      <c r="O110" s="3014"/>
      <c r="P110" s="2056"/>
      <c r="Q110" s="1820"/>
    </row>
    <row r="111" spans="1:17" ht="15.75" thickBot="1">
      <c r="A111" s="1852"/>
      <c r="B111" s="1880"/>
      <c r="C111" s="1873"/>
      <c r="D111" s="1873"/>
      <c r="E111" s="1873"/>
      <c r="F111" s="1873"/>
      <c r="G111" s="1896"/>
      <c r="H111" s="1896"/>
      <c r="I111" s="1896"/>
      <c r="J111" s="1896"/>
      <c r="K111" s="1896"/>
      <c r="L111" s="1896"/>
      <c r="M111" s="1897"/>
      <c r="N111" s="3015"/>
      <c r="O111" s="3015"/>
      <c r="P111" s="2056"/>
      <c r="Q111" s="1820"/>
    </row>
    <row r="112" spans="1:17" ht="15" thickTop="1">
      <c r="A112" s="1993"/>
      <c r="B112" s="1857">
        <f>B36</f>
        <v>111</v>
      </c>
      <c r="C112" s="409"/>
      <c r="D112" s="409"/>
      <c r="E112" s="409"/>
      <c r="F112" s="409"/>
      <c r="G112" s="1578"/>
      <c r="H112" s="1578"/>
      <c r="I112" s="1578"/>
      <c r="J112" s="1578"/>
      <c r="K112" s="473"/>
      <c r="L112" s="473"/>
      <c r="M112" s="1892"/>
      <c r="N112" s="3014"/>
      <c r="O112" s="3014"/>
      <c r="P112" s="2056"/>
      <c r="Q112" s="1820"/>
    </row>
    <row r="113" spans="1:17" ht="15.75" thickBot="1">
      <c r="A113" s="1852"/>
      <c r="B113" s="1860"/>
      <c r="C113" s="1881"/>
      <c r="D113" s="1881"/>
      <c r="E113" s="1881"/>
      <c r="F113" s="1881"/>
      <c r="G113" s="1854"/>
      <c r="H113" s="1854"/>
      <c r="I113" s="1854"/>
      <c r="J113" s="1854"/>
      <c r="K113" s="1854"/>
      <c r="L113" s="1854"/>
      <c r="M113" s="1855"/>
      <c r="N113" s="3015"/>
      <c r="O113" s="3015"/>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6"/>
      <c r="O114" s="3016"/>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5"/>
      <c r="O115" s="3015"/>
      <c r="P115" s="2057"/>
      <c r="Q115" s="1872"/>
    </row>
    <row r="116" spans="1:17">
      <c r="A116" s="1845" t="s">
        <v>2273</v>
      </c>
      <c r="B116" s="1846"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4"/>
      <c r="O116" s="3014"/>
      <c r="P116" s="2056"/>
      <c r="Q116" s="1820"/>
    </row>
    <row r="117" spans="1:17" ht="15">
      <c r="A117" s="1852"/>
      <c r="B117" s="1863"/>
      <c r="C117" s="1900"/>
      <c r="D117" s="1900"/>
      <c r="E117" s="1900"/>
      <c r="F117" s="1900"/>
      <c r="G117" s="1900"/>
      <c r="H117" s="1900"/>
      <c r="I117" s="1900"/>
      <c r="J117" s="485"/>
      <c r="K117" s="485"/>
      <c r="L117" s="485"/>
      <c r="M117" s="1901"/>
      <c r="N117" s="3014"/>
      <c r="O117" s="3014"/>
      <c r="P117" s="2056"/>
      <c r="Q117" s="1820"/>
    </row>
    <row r="118" spans="1:17" ht="15.75" thickBot="1">
      <c r="A118" s="1852"/>
      <c r="B118" s="1860"/>
      <c r="C118" s="1881"/>
      <c r="D118" s="1896"/>
      <c r="E118" s="1896"/>
      <c r="F118" s="1896"/>
      <c r="G118" s="1896"/>
      <c r="H118" s="1896"/>
      <c r="I118" s="1896"/>
      <c r="J118" s="1896"/>
      <c r="K118" s="1896"/>
      <c r="L118" s="1896"/>
      <c r="M118" s="1897"/>
      <c r="N118" s="3015"/>
      <c r="O118" s="3015"/>
      <c r="P118" s="2056"/>
      <c r="Q118" s="1820"/>
    </row>
    <row r="119" spans="1:17" ht="15" thickTop="1">
      <c r="A119" s="1902"/>
      <c r="B119" s="1857" t="s">
        <v>2484</v>
      </c>
      <c r="C119" s="1578"/>
      <c r="D119" s="1578"/>
      <c r="E119" s="1578"/>
      <c r="F119" s="1578"/>
      <c r="G119" s="1578"/>
      <c r="H119" s="1578"/>
      <c r="I119" s="1578"/>
      <c r="J119" s="1578"/>
      <c r="K119" s="473"/>
      <c r="L119" s="473"/>
      <c r="M119" s="1892"/>
      <c r="N119" s="3014"/>
      <c r="O119" s="3014"/>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5"/>
      <c r="O120" s="3015"/>
      <c r="P120" s="2056"/>
      <c r="Q120" s="1820"/>
    </row>
    <row r="121" spans="1:17" ht="15" thickTop="1">
      <c r="A121" s="1902"/>
      <c r="B121" s="1857" t="s">
        <v>2485</v>
      </c>
      <c r="C121" s="468"/>
      <c r="D121" s="468"/>
      <c r="E121" s="468"/>
      <c r="F121" s="1578"/>
      <c r="G121" s="1578"/>
      <c r="H121" s="1578"/>
      <c r="I121" s="1578"/>
      <c r="J121" s="1578"/>
      <c r="K121" s="473"/>
      <c r="L121" s="473"/>
      <c r="M121" s="1892"/>
      <c r="N121" s="3014"/>
      <c r="O121" s="3014"/>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5"/>
      <c r="O122" s="3015"/>
      <c r="P122" s="2056"/>
      <c r="Q122" s="1820"/>
    </row>
    <row r="123" spans="1:17" s="1770" customFormat="1" ht="15" thickTop="1">
      <c r="A123" s="1898"/>
      <c r="B123" s="1857" t="s">
        <v>2486</v>
      </c>
      <c r="C123" s="468"/>
      <c r="D123" s="468"/>
      <c r="E123" s="468"/>
      <c r="F123" s="468"/>
      <c r="G123" s="468"/>
      <c r="H123" s="1578"/>
      <c r="I123" s="1578"/>
      <c r="J123" s="1578"/>
      <c r="K123" s="473"/>
      <c r="L123" s="473"/>
      <c r="M123" s="1892"/>
      <c r="N123" s="3016"/>
      <c r="O123" s="3016"/>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6"/>
      <c r="O124" s="3016"/>
      <c r="P124" s="2057"/>
      <c r="Q124" s="1872"/>
    </row>
    <row r="125" spans="1:17" ht="15" thickTop="1">
      <c r="A125" s="1902"/>
      <c r="B125" s="1857" t="s">
        <v>2487</v>
      </c>
      <c r="C125" s="468"/>
      <c r="D125" s="468"/>
      <c r="E125" s="1578"/>
      <c r="F125" s="1578"/>
      <c r="G125" s="1578"/>
      <c r="H125" s="1578"/>
      <c r="I125" s="1578"/>
      <c r="J125" s="1578"/>
      <c r="K125" s="473"/>
      <c r="L125" s="473"/>
      <c r="M125" s="1892"/>
      <c r="N125" s="3014"/>
      <c r="O125" s="3014"/>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5"/>
      <c r="O126" s="3015"/>
      <c r="P126" s="2056"/>
      <c r="Q126" s="1820"/>
    </row>
    <row r="127" spans="1:17" ht="15" thickTop="1">
      <c r="A127" s="1902"/>
      <c r="B127" s="1857">
        <f>B43</f>
        <v>111</v>
      </c>
      <c r="C127" s="468"/>
      <c r="D127" s="468"/>
      <c r="E127" s="468"/>
      <c r="F127" s="468"/>
      <c r="G127" s="468"/>
      <c r="H127" s="1578"/>
      <c r="I127" s="1578"/>
      <c r="J127" s="1578"/>
      <c r="K127" s="473"/>
      <c r="L127" s="473"/>
      <c r="M127" s="1892"/>
      <c r="N127" s="3014"/>
      <c r="O127" s="3014"/>
      <c r="P127" s="2056"/>
      <c r="Q127" s="1820"/>
    </row>
    <row r="128" spans="1:17" ht="15.75" thickBot="1">
      <c r="A128" s="1852"/>
      <c r="B128" s="1860"/>
      <c r="C128" s="1873"/>
      <c r="D128" s="1873"/>
      <c r="E128" s="1873"/>
      <c r="F128" s="1873"/>
      <c r="G128" s="1854"/>
      <c r="H128" s="1854"/>
      <c r="I128" s="1854"/>
      <c r="J128" s="1854"/>
      <c r="K128" s="1854"/>
      <c r="L128" s="1854"/>
      <c r="M128" s="1855"/>
      <c r="N128" s="3015"/>
      <c r="O128" s="3015"/>
      <c r="P128" s="2056"/>
      <c r="Q128" s="1820"/>
    </row>
    <row r="129" spans="1:17" ht="15" thickTop="1">
      <c r="A129" s="1902"/>
      <c r="B129" s="1857">
        <f>B44</f>
        <v>111</v>
      </c>
      <c r="C129" s="409"/>
      <c r="D129" s="409"/>
      <c r="E129" s="409"/>
      <c r="F129" s="409"/>
      <c r="G129" s="1578"/>
      <c r="H129" s="1578"/>
      <c r="I129" s="1578"/>
      <c r="J129" s="1578"/>
      <c r="K129" s="473"/>
      <c r="L129" s="473"/>
      <c r="M129" s="1892"/>
      <c r="N129" s="3014"/>
      <c r="O129" s="3014"/>
      <c r="P129" s="2056"/>
      <c r="Q129" s="1820"/>
    </row>
    <row r="130" spans="1:17" ht="15.75" thickBot="1">
      <c r="A130" s="1852"/>
      <c r="B130" s="1860"/>
      <c r="C130" s="1881"/>
      <c r="D130" s="1881"/>
      <c r="E130" s="1881"/>
      <c r="F130" s="1881"/>
      <c r="G130" s="1854"/>
      <c r="H130" s="1854"/>
      <c r="I130" s="1854"/>
      <c r="J130" s="1854"/>
      <c r="K130" s="1854"/>
      <c r="L130" s="1854"/>
      <c r="M130" s="1855"/>
      <c r="N130" s="3015"/>
      <c r="O130" s="3015"/>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6"/>
      <c r="O131" s="3016"/>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6"/>
      <c r="O132" s="3016"/>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A7" sqref="A7:XFD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2442</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2443</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707" t="s">
        <v>2246</v>
      </c>
      <c r="D4" s="3708"/>
      <c r="E4" s="3709" t="s">
        <v>2247</v>
      </c>
      <c r="F4" s="3710"/>
      <c r="G4" s="3707" t="s">
        <v>2248</v>
      </c>
      <c r="H4" s="3708"/>
      <c r="I4" s="3707" t="s">
        <v>2249</v>
      </c>
      <c r="J4" s="3708"/>
      <c r="K4" s="496" t="s">
        <v>2250</v>
      </c>
      <c r="L4" s="3023"/>
      <c r="M4" s="3024"/>
      <c r="N4" s="3024"/>
      <c r="O4" s="3024"/>
      <c r="P4" s="3711" t="s">
        <v>2251</v>
      </c>
      <c r="Q4" s="3712"/>
      <c r="R4" s="3717" t="s">
        <v>2247</v>
      </c>
      <c r="S4" s="3718"/>
      <c r="T4" s="3717" t="s">
        <v>2248</v>
      </c>
      <c r="U4" s="3718"/>
      <c r="V4" s="3723" t="s">
        <v>2249</v>
      </c>
      <c r="W4" s="3723"/>
      <c r="X4" s="1335"/>
      <c r="Y4" s="3717" t="s">
        <v>2251</v>
      </c>
      <c r="Z4" s="3718"/>
      <c r="AA4" s="3704" t="s">
        <v>2247</v>
      </c>
      <c r="AB4" s="3705" t="s">
        <v>2248</v>
      </c>
      <c r="AC4" s="3704" t="s">
        <v>2249</v>
      </c>
    </row>
    <row r="5" spans="1:29" ht="15">
      <c r="A5" s="297"/>
      <c r="B5" s="298"/>
      <c r="C5" s="3700" t="s">
        <v>2252</v>
      </c>
      <c r="D5" s="3701"/>
      <c r="E5" s="3724" t="s">
        <v>2253</v>
      </c>
      <c r="F5" s="3725"/>
      <c r="G5" s="3700" t="s">
        <v>2254</v>
      </c>
      <c r="H5" s="3701"/>
      <c r="I5" s="3700" t="s">
        <v>2255</v>
      </c>
      <c r="J5" s="3701"/>
      <c r="K5" s="496"/>
      <c r="L5" s="3023"/>
      <c r="M5" s="3024"/>
      <c r="N5" s="3024"/>
      <c r="O5" s="3024"/>
      <c r="P5" s="3713"/>
      <c r="Q5" s="3714"/>
      <c r="R5" s="3719"/>
      <c r="S5" s="3720"/>
      <c r="T5" s="3719"/>
      <c r="U5" s="3720"/>
      <c r="V5" s="3723"/>
      <c r="W5" s="3723"/>
      <c r="X5" s="1335"/>
      <c r="Y5" s="3719"/>
      <c r="Z5" s="3720"/>
      <c r="AA5" s="3705"/>
      <c r="AB5" s="3705"/>
      <c r="AC5" s="3705"/>
    </row>
    <row r="6" spans="1:29" ht="15.75" thickBot="1">
      <c r="A6" s="299"/>
      <c r="B6" s="300"/>
      <c r="C6" s="3697" t="s">
        <v>2256</v>
      </c>
      <c r="D6" s="3698"/>
      <c r="E6" s="3695" t="s">
        <v>2256</v>
      </c>
      <c r="F6" s="3696"/>
      <c r="G6" s="3697" t="s">
        <v>2256</v>
      </c>
      <c r="H6" s="3698"/>
      <c r="I6" s="3697" t="s">
        <v>2256</v>
      </c>
      <c r="J6" s="3698"/>
      <c r="K6" s="496" t="s">
        <v>2257</v>
      </c>
      <c r="L6" s="3023"/>
      <c r="M6" s="3024"/>
      <c r="N6" s="3024"/>
      <c r="O6" s="3024"/>
      <c r="P6" s="3715"/>
      <c r="Q6" s="3716"/>
      <c r="R6" s="3719"/>
      <c r="S6" s="3720"/>
      <c r="T6" s="3721"/>
      <c r="U6" s="3722"/>
      <c r="V6" s="3723"/>
      <c r="W6" s="3723"/>
      <c r="X6" s="1335"/>
      <c r="Y6" s="3721"/>
      <c r="Z6" s="3722"/>
      <c r="AA6" s="3706"/>
      <c r="AB6" s="3706"/>
      <c r="AC6" s="3706"/>
    </row>
    <row r="7" spans="1:29" s="25" customFormat="1" ht="15.75" thickBot="1">
      <c r="A7" s="301" t="s">
        <v>2258</v>
      </c>
      <c r="B7" s="302"/>
      <c r="C7" s="303">
        <f>'数据-取费表'!B2</f>
        <v>39004</v>
      </c>
      <c r="D7" s="304">
        <v>100</v>
      </c>
      <c r="E7" s="305"/>
      <c r="F7" s="306">
        <f>SUMIF(65:65,YEAR(E7)&amp;"-"&amp;INT((MONTH(E7)+2)/3),66:66)</f>
        <v>0</v>
      </c>
      <c r="G7" s="1575"/>
      <c r="H7" s="304">
        <f>SUMIF(65:65,YEAR(G7)&amp;"-"&amp;INT((MONTH(G7)+2)/3),66:66)</f>
        <v>0</v>
      </c>
      <c r="I7" s="1575"/>
      <c r="J7" s="304">
        <f>SUMIF(65:65,YEAR(I7)&amp;"-"&amp;INT((MONTH(I7)+2)/3),66:66)</f>
        <v>0</v>
      </c>
      <c r="K7" s="497"/>
      <c r="L7" s="3025"/>
      <c r="M7" s="3026"/>
      <c r="N7" s="3026"/>
      <c r="O7" s="3026"/>
      <c r="P7" s="3702" t="s">
        <v>2259</v>
      </c>
      <c r="Q7" s="3726"/>
      <c r="R7" s="627" t="s">
        <v>25</v>
      </c>
      <c r="S7" s="628">
        <f t="shared" ref="S7:S15" si="0">F7</f>
        <v>0</v>
      </c>
      <c r="T7" s="627" t="s">
        <v>25</v>
      </c>
      <c r="U7" s="628">
        <f t="shared" ref="U7:U15" si="1">H7</f>
        <v>0</v>
      </c>
      <c r="V7" s="627" t="s">
        <v>25</v>
      </c>
      <c r="W7" s="628">
        <f t="shared" ref="W7:W15" si="2">J7</f>
        <v>0</v>
      </c>
      <c r="X7" s="629"/>
      <c r="Y7" s="3702" t="s">
        <v>2259</v>
      </c>
      <c r="Z7" s="3703"/>
      <c r="AA7" s="630" t="e">
        <f>D7/F7</f>
        <v>#DIV/0!</v>
      </c>
      <c r="AB7" s="630" t="e">
        <f>D7/H7</f>
        <v>#DIV/0!</v>
      </c>
      <c r="AC7" s="630" t="e">
        <f>D7/J7</f>
        <v>#DIV/0!</v>
      </c>
    </row>
    <row r="8" spans="1:29" s="25" customFormat="1" ht="15.75" thickBot="1">
      <c r="A8" s="301" t="s">
        <v>2260</v>
      </c>
      <c r="B8" s="302"/>
      <c r="C8" s="307" t="s">
        <v>2444</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702" t="s">
        <v>2262</v>
      </c>
      <c r="Q8" s="3703"/>
      <c r="R8" s="627" t="s">
        <v>25</v>
      </c>
      <c r="S8" s="628">
        <f t="shared" si="0"/>
        <v>0</v>
      </c>
      <c r="T8" s="627" t="s">
        <v>25</v>
      </c>
      <c r="U8" s="628">
        <f t="shared" si="1"/>
        <v>0</v>
      </c>
      <c r="V8" s="627" t="s">
        <v>25</v>
      </c>
      <c r="W8" s="628">
        <f t="shared" si="2"/>
        <v>0</v>
      </c>
      <c r="X8" s="629"/>
      <c r="Y8" s="3702" t="s">
        <v>2262</v>
      </c>
      <c r="Z8" s="3703"/>
      <c r="AA8" s="630" t="e">
        <f t="shared" ref="AA8:AA40" si="3">D8/F8</f>
        <v>#DIV/0!</v>
      </c>
      <c r="AB8" s="630" t="e">
        <f t="shared" ref="AB8:AB40" si="4">D8/H8</f>
        <v>#DIV/0!</v>
      </c>
      <c r="AC8" s="630" t="e">
        <f t="shared" ref="AC8:AC40" si="5">D8/J8</f>
        <v>#DIV/0!</v>
      </c>
    </row>
    <row r="9" spans="1:29" s="25" customFormat="1">
      <c r="A9" s="308" t="s">
        <v>2263</v>
      </c>
      <c r="B9" s="24" t="s">
        <v>2264</v>
      </c>
      <c r="C9" s="1586" t="s">
        <v>2489</v>
      </c>
      <c r="D9" s="28">
        <v>100</v>
      </c>
      <c r="E9" s="1586"/>
      <c r="F9" s="28">
        <f>SUMIF(70:70,E9,71:71)-SUMIF(70:70,C9,71:71)+100</f>
        <v>100</v>
      </c>
      <c r="G9" s="1586"/>
      <c r="H9" s="28">
        <f>SUMIF(70:70,G9,71:71)-SUMIF(70:70,C9,71:71)+100</f>
        <v>100</v>
      </c>
      <c r="I9" s="1586"/>
      <c r="J9" s="28">
        <f>SUMIF(70:70,I9,71:71)-SUMIF(70:70,C9,71:71)+100</f>
        <v>100</v>
      </c>
      <c r="K9" s="497"/>
      <c r="L9" s="3025"/>
      <c r="M9" s="3026"/>
      <c r="N9" s="3026"/>
      <c r="O9" s="3027"/>
      <c r="P9" s="3699" t="s">
        <v>2265</v>
      </c>
      <c r="Q9" s="1327" t="str">
        <f t="shared" ref="Q9:Q15" si="6">B9</f>
        <v>用途</v>
      </c>
      <c r="R9" s="627" t="s">
        <v>25</v>
      </c>
      <c r="S9" s="628">
        <f t="shared" si="0"/>
        <v>100</v>
      </c>
      <c r="T9" s="627" t="s">
        <v>25</v>
      </c>
      <c r="U9" s="628">
        <f t="shared" si="1"/>
        <v>100</v>
      </c>
      <c r="V9" s="627" t="s">
        <v>25</v>
      </c>
      <c r="W9" s="628">
        <f t="shared" si="2"/>
        <v>100</v>
      </c>
      <c r="X9" s="629"/>
      <c r="Y9" s="3729"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100</v>
      </c>
      <c r="G10" s="322"/>
      <c r="H10" s="29">
        <f>ROUND(100/'数据-取费表'!B14,0)</f>
        <v>100</v>
      </c>
      <c r="I10" s="322"/>
      <c r="J10" s="29">
        <f>ROUND(100/'数据-取费表'!B14,0)</f>
        <v>100</v>
      </c>
      <c r="K10" s="553"/>
      <c r="L10" s="3028"/>
      <c r="M10" s="3029"/>
      <c r="N10" s="3029"/>
      <c r="O10" s="3030"/>
      <c r="P10" s="3699"/>
      <c r="Q10" s="1327" t="str">
        <f t="shared" si="6"/>
        <v>土地使用年限（年）</v>
      </c>
      <c r="R10" s="627" t="s">
        <v>25</v>
      </c>
      <c r="S10" s="628">
        <f t="shared" si="0"/>
        <v>100</v>
      </c>
      <c r="T10" s="627" t="s">
        <v>25</v>
      </c>
      <c r="U10" s="628">
        <f t="shared" si="1"/>
        <v>100</v>
      </c>
      <c r="V10" s="627" t="s">
        <v>25</v>
      </c>
      <c r="W10" s="628">
        <f t="shared" si="2"/>
        <v>100</v>
      </c>
      <c r="X10" s="629"/>
      <c r="Y10" s="3729"/>
      <c r="Z10" s="19" t="str">
        <f t="shared" si="7"/>
        <v>土地使用年限（年）</v>
      </c>
      <c r="AA10" s="630">
        <f t="shared" si="3"/>
        <v>1</v>
      </c>
      <c r="AB10" s="630">
        <f t="shared" si="4"/>
        <v>1</v>
      </c>
      <c r="AC10" s="630">
        <f t="shared" si="5"/>
        <v>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699"/>
      <c r="Q11" s="1327" t="str">
        <f t="shared" si="6"/>
        <v>容积率</v>
      </c>
      <c r="R11" s="627" t="s">
        <v>25</v>
      </c>
      <c r="S11" s="628" t="e">
        <f t="shared" si="0"/>
        <v>#N/A</v>
      </c>
      <c r="T11" s="627" t="s">
        <v>25</v>
      </c>
      <c r="U11" s="628" t="e">
        <f t="shared" si="1"/>
        <v>#N/A</v>
      </c>
      <c r="V11" s="627" t="s">
        <v>25</v>
      </c>
      <c r="W11" s="628" t="e">
        <f t="shared" si="2"/>
        <v>#N/A</v>
      </c>
      <c r="X11" s="629"/>
      <c r="Y11" s="3729"/>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699"/>
      <c r="Q12" s="1327">
        <f t="shared" si="6"/>
        <v>111</v>
      </c>
      <c r="R12" s="627" t="s">
        <v>25</v>
      </c>
      <c r="S12" s="628">
        <f t="shared" si="0"/>
        <v>100</v>
      </c>
      <c r="T12" s="627" t="s">
        <v>25</v>
      </c>
      <c r="U12" s="628">
        <f t="shared" si="1"/>
        <v>100</v>
      </c>
      <c r="V12" s="627" t="s">
        <v>25</v>
      </c>
      <c r="W12" s="628">
        <f t="shared" si="2"/>
        <v>100</v>
      </c>
      <c r="X12" s="629"/>
      <c r="Y12" s="3729"/>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699"/>
      <c r="Q13" s="1327">
        <f t="shared" si="6"/>
        <v>111</v>
      </c>
      <c r="R13" s="627" t="s">
        <v>25</v>
      </c>
      <c r="S13" s="628">
        <f t="shared" si="0"/>
        <v>100</v>
      </c>
      <c r="T13" s="627" t="s">
        <v>25</v>
      </c>
      <c r="U13" s="628">
        <f t="shared" si="1"/>
        <v>100</v>
      </c>
      <c r="V13" s="627" t="s">
        <v>25</v>
      </c>
      <c r="W13" s="628">
        <f t="shared" si="2"/>
        <v>100</v>
      </c>
      <c r="X13" s="629"/>
      <c r="Y13" s="3729"/>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699"/>
      <c r="Q14" s="1327">
        <f t="shared" si="6"/>
        <v>111</v>
      </c>
      <c r="R14" s="627" t="s">
        <v>25</v>
      </c>
      <c r="S14" s="628">
        <f t="shared" si="0"/>
        <v>100</v>
      </c>
      <c r="T14" s="627" t="s">
        <v>25</v>
      </c>
      <c r="U14" s="628">
        <f t="shared" si="1"/>
        <v>100</v>
      </c>
      <c r="V14" s="627" t="s">
        <v>25</v>
      </c>
      <c r="W14" s="628">
        <f t="shared" si="2"/>
        <v>100</v>
      </c>
      <c r="X14" s="629"/>
      <c r="Y14" s="3729"/>
      <c r="Z14" s="19">
        <f t="shared" si="7"/>
        <v>111</v>
      </c>
      <c r="AA14" s="630">
        <f t="shared" si="3"/>
        <v>1</v>
      </c>
      <c r="AB14" s="630">
        <f t="shared" si="4"/>
        <v>1</v>
      </c>
      <c r="AC14" s="630">
        <f t="shared" si="5"/>
        <v>1</v>
      </c>
    </row>
    <row r="15" spans="1:29" ht="57">
      <c r="A15" s="329" t="s">
        <v>2269</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727" t="s">
        <v>2270</v>
      </c>
      <c r="Q15" s="1334" t="str">
        <f t="shared" si="6"/>
        <v>产业集聚程度</v>
      </c>
      <c r="R15" s="631" t="s">
        <v>25</v>
      </c>
      <c r="S15" s="632">
        <f t="shared" si="0"/>
        <v>100</v>
      </c>
      <c r="T15" s="631" t="s">
        <v>25</v>
      </c>
      <c r="U15" s="632">
        <f t="shared" si="1"/>
        <v>100</v>
      </c>
      <c r="V15" s="631" t="s">
        <v>25</v>
      </c>
      <c r="W15" s="632">
        <f t="shared" si="2"/>
        <v>100</v>
      </c>
      <c r="X15" s="1335"/>
      <c r="Y15" s="3727"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3728"/>
      <c r="Q16" s="1334"/>
      <c r="R16" s="631"/>
      <c r="S16" s="632"/>
      <c r="T16" s="631"/>
      <c r="U16" s="632"/>
      <c r="V16" s="631"/>
      <c r="W16" s="632"/>
      <c r="X16" s="1335"/>
      <c r="Y16" s="3728"/>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728"/>
      <c r="Q17" s="1334" t="str">
        <f>B17</f>
        <v>交通便捷度</v>
      </c>
      <c r="R17" s="631" t="s">
        <v>25</v>
      </c>
      <c r="S17" s="632">
        <f>F17</f>
        <v>100</v>
      </c>
      <c r="T17" s="631" t="s">
        <v>25</v>
      </c>
      <c r="U17" s="632">
        <f>H17</f>
        <v>100</v>
      </c>
      <c r="V17" s="631" t="s">
        <v>25</v>
      </c>
      <c r="W17" s="632">
        <f>J17</f>
        <v>100</v>
      </c>
      <c r="X17" s="1335"/>
      <c r="Y17" s="3728"/>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3"/>
      <c r="M18" s="3024"/>
      <c r="N18" s="3024"/>
      <c r="O18" s="3032"/>
      <c r="P18" s="3728"/>
      <c r="Q18" s="1334"/>
      <c r="R18" s="631"/>
      <c r="S18" s="632"/>
      <c r="T18" s="631"/>
      <c r="U18" s="632"/>
      <c r="V18" s="631"/>
      <c r="W18" s="632"/>
      <c r="X18" s="1335"/>
      <c r="Y18" s="3728"/>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728"/>
      <c r="Q19" s="1334" t="str">
        <f t="shared" ref="Q19:Q33" si="8">B19</f>
        <v>区域土地利用方向</v>
      </c>
      <c r="R19" s="631" t="s">
        <v>25</v>
      </c>
      <c r="S19" s="632">
        <f>F19</f>
        <v>100</v>
      </c>
      <c r="T19" s="631" t="s">
        <v>25</v>
      </c>
      <c r="U19" s="632">
        <f>H19</f>
        <v>100</v>
      </c>
      <c r="V19" s="631" t="s">
        <v>25</v>
      </c>
      <c r="W19" s="632">
        <f>J19</f>
        <v>100</v>
      </c>
      <c r="X19" s="1335"/>
      <c r="Y19" s="3728"/>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3728"/>
      <c r="Q20" s="1334"/>
      <c r="R20" s="631"/>
      <c r="S20" s="632"/>
      <c r="T20" s="631"/>
      <c r="U20" s="632"/>
      <c r="V20" s="631"/>
      <c r="W20" s="632"/>
      <c r="X20" s="1335"/>
      <c r="Y20" s="3728"/>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728"/>
      <c r="Q21" s="1334" t="str">
        <f t="shared" si="8"/>
        <v>环境状况</v>
      </c>
      <c r="R21" s="631" t="s">
        <v>25</v>
      </c>
      <c r="S21" s="632">
        <f>F21</f>
        <v>100</v>
      </c>
      <c r="T21" s="631" t="s">
        <v>25</v>
      </c>
      <c r="U21" s="632">
        <f>H21</f>
        <v>100</v>
      </c>
      <c r="V21" s="631" t="s">
        <v>25</v>
      </c>
      <c r="W21" s="632">
        <f>J21</f>
        <v>100</v>
      </c>
      <c r="X21" s="1335"/>
      <c r="Y21" s="3728"/>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3728"/>
      <c r="Q22" s="1334"/>
      <c r="R22" s="631"/>
      <c r="S22" s="632"/>
      <c r="T22" s="631"/>
      <c r="U22" s="632"/>
      <c r="V22" s="631"/>
      <c r="W22" s="632"/>
      <c r="X22" s="1335"/>
      <c r="Y22" s="3728"/>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728"/>
      <c r="Q23" s="1327" t="str">
        <f t="shared" si="8"/>
        <v>公共配套设施</v>
      </c>
      <c r="R23" s="627" t="s">
        <v>25</v>
      </c>
      <c r="S23" s="628">
        <f>F23</f>
        <v>100</v>
      </c>
      <c r="T23" s="627" t="s">
        <v>25</v>
      </c>
      <c r="U23" s="628">
        <f>H23</f>
        <v>100</v>
      </c>
      <c r="V23" s="627" t="s">
        <v>25</v>
      </c>
      <c r="W23" s="628">
        <f>J23</f>
        <v>100</v>
      </c>
      <c r="X23" s="629"/>
      <c r="Y23" s="3728"/>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5"/>
      <c r="M24" s="3026"/>
      <c r="N24" s="3026"/>
      <c r="O24" s="3027"/>
      <c r="P24" s="3728"/>
      <c r="Q24" s="1327"/>
      <c r="R24" s="627"/>
      <c r="S24" s="628"/>
      <c r="T24" s="627"/>
      <c r="U24" s="628"/>
      <c r="V24" s="627"/>
      <c r="W24" s="628"/>
      <c r="X24" s="629"/>
      <c r="Y24" s="3728"/>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728"/>
      <c r="Q25" s="1327" t="str">
        <f t="shared" ref="Q25" si="9">B25</f>
        <v>基础设施水平</v>
      </c>
      <c r="R25" s="627" t="s">
        <v>25</v>
      </c>
      <c r="S25" s="628">
        <f>F25</f>
        <v>100</v>
      </c>
      <c r="T25" s="627" t="s">
        <v>25</v>
      </c>
      <c r="U25" s="628">
        <f>H25</f>
        <v>100</v>
      </c>
      <c r="V25" s="627" t="s">
        <v>25</v>
      </c>
      <c r="W25" s="628">
        <f>J25</f>
        <v>100</v>
      </c>
      <c r="X25" s="629"/>
      <c r="Y25" s="3728"/>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5"/>
      <c r="M26" s="3026"/>
      <c r="N26" s="3026"/>
      <c r="O26" s="3027"/>
      <c r="P26" s="3728"/>
      <c r="Q26" s="1327"/>
      <c r="R26" s="627"/>
      <c r="S26" s="628"/>
      <c r="T26" s="627"/>
      <c r="U26" s="628"/>
      <c r="V26" s="627"/>
      <c r="W26" s="628"/>
      <c r="X26" s="629"/>
      <c r="Y26" s="3728"/>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728"/>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728"/>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728"/>
      <c r="Q28" s="1334" t="str">
        <f t="shared" si="8"/>
        <v>毗邻道路的类型与等级</v>
      </c>
      <c r="R28" s="631" t="s">
        <v>25</v>
      </c>
      <c r="S28" s="632">
        <f t="shared" si="10"/>
        <v>100</v>
      </c>
      <c r="T28" s="631" t="s">
        <v>25</v>
      </c>
      <c r="U28" s="632">
        <f t="shared" si="11"/>
        <v>100</v>
      </c>
      <c r="V28" s="631" t="s">
        <v>25</v>
      </c>
      <c r="W28" s="632">
        <f t="shared" si="12"/>
        <v>100</v>
      </c>
      <c r="X28" s="1335"/>
      <c r="Y28" s="3728"/>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3728"/>
      <c r="Q29" s="1334"/>
      <c r="R29" s="631"/>
      <c r="S29" s="632"/>
      <c r="T29" s="631"/>
      <c r="U29" s="632"/>
      <c r="V29" s="631"/>
      <c r="W29" s="632"/>
      <c r="X29" s="1335"/>
      <c r="Y29" s="3728"/>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728"/>
      <c r="Q30" s="1334" t="str">
        <f t="shared" si="8"/>
        <v>土地级别</v>
      </c>
      <c r="R30" s="631" t="s">
        <v>25</v>
      </c>
      <c r="S30" s="632">
        <f t="shared" si="10"/>
        <v>100</v>
      </c>
      <c r="T30" s="631" t="s">
        <v>25</v>
      </c>
      <c r="U30" s="632">
        <f t="shared" si="11"/>
        <v>100</v>
      </c>
      <c r="V30" s="631" t="s">
        <v>25</v>
      </c>
      <c r="W30" s="632">
        <f t="shared" si="12"/>
        <v>100</v>
      </c>
      <c r="X30" s="1335"/>
      <c r="Y30" s="3728"/>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728"/>
      <c r="Q31" s="1334">
        <f t="shared" si="8"/>
        <v>111</v>
      </c>
      <c r="R31" s="631" t="s">
        <v>25</v>
      </c>
      <c r="S31" s="632">
        <f t="shared" si="10"/>
        <v>100</v>
      </c>
      <c r="T31" s="631" t="s">
        <v>25</v>
      </c>
      <c r="U31" s="632">
        <f t="shared" si="11"/>
        <v>100</v>
      </c>
      <c r="V31" s="631" t="s">
        <v>25</v>
      </c>
      <c r="W31" s="632">
        <f t="shared" si="12"/>
        <v>100</v>
      </c>
      <c r="X31" s="1335"/>
      <c r="Y31" s="3728"/>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730" t="s">
        <v>2275</v>
      </c>
      <c r="Q32" s="1334">
        <f t="shared" si="8"/>
        <v>111</v>
      </c>
      <c r="R32" s="631" t="s">
        <v>25</v>
      </c>
      <c r="S32" s="632">
        <f t="shared" si="10"/>
        <v>100</v>
      </c>
      <c r="T32" s="631" t="s">
        <v>25</v>
      </c>
      <c r="U32" s="632">
        <f t="shared" si="11"/>
        <v>100</v>
      </c>
      <c r="V32" s="631" t="s">
        <v>25</v>
      </c>
      <c r="W32" s="632">
        <f t="shared" si="12"/>
        <v>100</v>
      </c>
      <c r="X32" s="1335"/>
      <c r="Y32" s="3731"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731"/>
      <c r="Q33" s="1334">
        <f t="shared" si="8"/>
        <v>111</v>
      </c>
      <c r="R33" s="634" t="s">
        <v>25</v>
      </c>
      <c r="S33" s="635">
        <f t="shared" si="10"/>
        <v>100</v>
      </c>
      <c r="T33" s="634" t="s">
        <v>25</v>
      </c>
      <c r="U33" s="635">
        <f t="shared" si="11"/>
        <v>100</v>
      </c>
      <c r="V33" s="634" t="s">
        <v>25</v>
      </c>
      <c r="W33" s="635">
        <f t="shared" si="12"/>
        <v>100</v>
      </c>
      <c r="X33" s="636"/>
      <c r="Y33" s="3731"/>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731"/>
      <c r="Q34" s="1334" t="str">
        <f>B34</f>
        <v>宗地面积</v>
      </c>
      <c r="R34" s="631" t="s">
        <v>25</v>
      </c>
      <c r="S34" s="632" t="e">
        <f t="shared" si="10"/>
        <v>#N/A</v>
      </c>
      <c r="T34" s="631" t="s">
        <v>25</v>
      </c>
      <c r="U34" s="632" t="e">
        <f t="shared" si="11"/>
        <v>#N/A</v>
      </c>
      <c r="V34" s="631" t="s">
        <v>25</v>
      </c>
      <c r="W34" s="632" t="e">
        <f t="shared" si="12"/>
        <v>#N/A</v>
      </c>
      <c r="X34" s="1335"/>
      <c r="Y34" s="3731"/>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3"/>
      <c r="M35" s="3024"/>
      <c r="N35" s="3024"/>
      <c r="O35" s="3032"/>
      <c r="P35" s="3731"/>
      <c r="Q35" s="1334" t="str">
        <f t="shared" ref="Q35:Q40" si="14">B35</f>
        <v>宗地形状</v>
      </c>
      <c r="R35" s="631" t="s">
        <v>25</v>
      </c>
      <c r="S35" s="632">
        <f t="shared" si="10"/>
        <v>100</v>
      </c>
      <c r="T35" s="631" t="s">
        <v>25</v>
      </c>
      <c r="U35" s="632">
        <f t="shared" si="11"/>
        <v>100</v>
      </c>
      <c r="V35" s="631" t="s">
        <v>25</v>
      </c>
      <c r="W35" s="632">
        <f t="shared" si="12"/>
        <v>100</v>
      </c>
      <c r="X35" s="1335"/>
      <c r="Y35" s="3731"/>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5"/>
      <c r="M36" s="3026"/>
      <c r="N36" s="3026"/>
      <c r="O36" s="3027"/>
      <c r="P36" s="3731"/>
      <c r="Q36" s="1334" t="str">
        <f t="shared" si="14"/>
        <v>宗地开发程度</v>
      </c>
      <c r="R36" s="627" t="s">
        <v>25</v>
      </c>
      <c r="S36" s="628">
        <f t="shared" si="10"/>
        <v>100</v>
      </c>
      <c r="T36" s="627" t="s">
        <v>25</v>
      </c>
      <c r="U36" s="628">
        <f t="shared" si="11"/>
        <v>100</v>
      </c>
      <c r="V36" s="627" t="s">
        <v>25</v>
      </c>
      <c r="W36" s="628">
        <f t="shared" si="12"/>
        <v>100</v>
      </c>
      <c r="X36" s="629"/>
      <c r="Y36" s="3731"/>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3"/>
      <c r="M37" s="3024"/>
      <c r="N37" s="3024"/>
      <c r="O37" s="3032"/>
      <c r="P37" s="3731" t="s">
        <v>2275</v>
      </c>
      <c r="Q37" s="1334" t="str">
        <f t="shared" si="14"/>
        <v>工程地质条件</v>
      </c>
      <c r="R37" s="631" t="s">
        <v>25</v>
      </c>
      <c r="S37" s="632">
        <f t="shared" si="10"/>
        <v>100</v>
      </c>
      <c r="T37" s="631" t="s">
        <v>25</v>
      </c>
      <c r="U37" s="632">
        <f t="shared" si="11"/>
        <v>100</v>
      </c>
      <c r="V37" s="631" t="s">
        <v>25</v>
      </c>
      <c r="W37" s="632">
        <f t="shared" si="12"/>
        <v>100</v>
      </c>
      <c r="X37" s="1335"/>
      <c r="Y37" s="3731"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731"/>
      <c r="Q38" s="1334">
        <f t="shared" si="14"/>
        <v>111</v>
      </c>
      <c r="R38" s="631" t="s">
        <v>25</v>
      </c>
      <c r="S38" s="632">
        <f t="shared" si="10"/>
        <v>100</v>
      </c>
      <c r="T38" s="631" t="s">
        <v>25</v>
      </c>
      <c r="U38" s="632">
        <f t="shared" si="11"/>
        <v>100</v>
      </c>
      <c r="V38" s="631" t="s">
        <v>25</v>
      </c>
      <c r="W38" s="632">
        <f t="shared" si="12"/>
        <v>100</v>
      </c>
      <c r="X38" s="1335"/>
      <c r="Y38" s="3731"/>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731"/>
      <c r="Q39" s="1334">
        <f t="shared" si="14"/>
        <v>111</v>
      </c>
      <c r="R39" s="631" t="s">
        <v>25</v>
      </c>
      <c r="S39" s="632">
        <f t="shared" si="10"/>
        <v>100</v>
      </c>
      <c r="T39" s="631" t="s">
        <v>25</v>
      </c>
      <c r="U39" s="632">
        <f t="shared" si="11"/>
        <v>100</v>
      </c>
      <c r="V39" s="631" t="s">
        <v>25</v>
      </c>
      <c r="W39" s="632">
        <f t="shared" si="12"/>
        <v>100</v>
      </c>
      <c r="X39" s="1335"/>
      <c r="Y39" s="3731"/>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731"/>
      <c r="Q40" s="1334">
        <f t="shared" si="14"/>
        <v>111</v>
      </c>
      <c r="R40" s="634" t="s">
        <v>25</v>
      </c>
      <c r="S40" s="635">
        <f t="shared" si="10"/>
        <v>100</v>
      </c>
      <c r="T40" s="634" t="s">
        <v>25</v>
      </c>
      <c r="U40" s="635">
        <f t="shared" si="11"/>
        <v>100</v>
      </c>
      <c r="V40" s="634" t="s">
        <v>25</v>
      </c>
      <c r="W40" s="635">
        <f t="shared" si="12"/>
        <v>100</v>
      </c>
      <c r="X40" s="636"/>
      <c r="Y40" s="3731"/>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5"/>
      <c r="M41" s="3024"/>
      <c r="N41" s="3024"/>
      <c r="P41" s="3699" t="str">
        <f>A41</f>
        <v>成交单价</v>
      </c>
      <c r="Q41" s="3699"/>
      <c r="R41" s="3723">
        <f>E41</f>
        <v>0</v>
      </c>
      <c r="S41" s="3723"/>
      <c r="T41" s="3723">
        <f>G41</f>
        <v>0</v>
      </c>
      <c r="U41" s="3723"/>
      <c r="V41" s="3723">
        <f>I41</f>
        <v>0</v>
      </c>
      <c r="W41" s="3723"/>
      <c r="X41" s="618"/>
      <c r="Y41" s="638"/>
      <c r="Z41" s="618"/>
      <c r="AA41" s="618"/>
      <c r="AB41" s="618"/>
      <c r="AC41" s="618"/>
    </row>
    <row r="42" spans="1:29" ht="15.75" thickBot="1">
      <c r="A42" s="374" t="s">
        <v>2370</v>
      </c>
      <c r="B42" s="563"/>
      <c r="C42" s="377" t="e">
        <f>R43</f>
        <v>#DIV/0!</v>
      </c>
      <c r="D42" s="1795" t="s">
        <v>2744</v>
      </c>
      <c r="E42" s="377" t="e">
        <f>R42</f>
        <v>#DIV/0!</v>
      </c>
      <c r="F42" s="1797"/>
      <c r="G42" s="376" t="e">
        <f>T42</f>
        <v>#DIV/0!</v>
      </c>
      <c r="H42" s="1797"/>
      <c r="I42" s="377" t="e">
        <f>V42</f>
        <v>#DIV/0!</v>
      </c>
      <c r="J42" s="1797"/>
      <c r="K42" s="2509">
        <f>F42+H42+J42</f>
        <v>0</v>
      </c>
      <c r="L42" s="3035"/>
      <c r="M42" s="3024"/>
      <c r="N42" s="3024"/>
      <c r="P42" s="3699" t="str">
        <f>A42</f>
        <v>比较价值（元/平方米）</v>
      </c>
      <c r="Q42" s="3699"/>
      <c r="R42" s="3740" t="e">
        <f>ROUND(PRODUCT(R41,AA7:AA40),0)</f>
        <v>#DIV/0!</v>
      </c>
      <c r="S42" s="3740"/>
      <c r="T42" s="3740" t="e">
        <f>ROUND(PRODUCT(T41,AB7:AB40),0)</f>
        <v>#DIV/0!</v>
      </c>
      <c r="U42" s="3740"/>
      <c r="V42" s="3740" t="e">
        <f>ROUND(PRODUCT(V41,AC7:AC40),0)</f>
        <v>#DIV/0!</v>
      </c>
      <c r="W42" s="3740"/>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5"/>
      <c r="M43" s="3024"/>
      <c r="N43" s="3024"/>
      <c r="P43" s="3734" t="str">
        <f>A43</f>
        <v>估价对象XX用房的比较价值（楼面单价，元/平方米）</v>
      </c>
      <c r="Q43" s="3735"/>
      <c r="R43" s="3739" t="e">
        <f>ROUND(IF(D42="简单平均",AVERAGE(R42:W42),R42*F42+T42*H42+V42*J42),0)</f>
        <v>#DIV/0!</v>
      </c>
      <c r="S43" s="3739"/>
      <c r="T43" s="3739"/>
      <c r="U43" s="3739"/>
      <c r="V43" s="3739"/>
      <c r="W43" s="3739"/>
      <c r="X43" s="618"/>
      <c r="Y43" s="618"/>
      <c r="Z43" s="618"/>
      <c r="AA43" s="618"/>
      <c r="AB43" s="618"/>
      <c r="AC43" s="618"/>
    </row>
    <row r="44" spans="1:29">
      <c r="G44" s="3038"/>
      <c r="M44" s="3024"/>
      <c r="N44" s="3024"/>
    </row>
    <row r="45" spans="1:29">
      <c r="M45" s="3024"/>
      <c r="N45" s="3024"/>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2466</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2467</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2468</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2469</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2470</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2471</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2472</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2006-10-1</v>
      </c>
      <c r="D63" s="1182">
        <f>EDATE(C63,-3)</f>
        <v>38899</v>
      </c>
      <c r="E63" s="1182">
        <f t="shared" ref="E63:O63" si="18">EDATE(D63,-3)</f>
        <v>38808</v>
      </c>
      <c r="F63" s="1182">
        <f t="shared" si="18"/>
        <v>38718</v>
      </c>
      <c r="G63" s="1182">
        <f t="shared" si="18"/>
        <v>38626</v>
      </c>
      <c r="H63" s="1182">
        <f t="shared" si="18"/>
        <v>38534</v>
      </c>
      <c r="I63" s="1182">
        <f t="shared" si="18"/>
        <v>38443</v>
      </c>
      <c r="J63" s="1182">
        <f t="shared" si="18"/>
        <v>38353</v>
      </c>
      <c r="K63" s="1182">
        <f t="shared" si="18"/>
        <v>38261</v>
      </c>
      <c r="L63" s="1182">
        <f t="shared" si="18"/>
        <v>38169</v>
      </c>
      <c r="M63" s="1182">
        <f t="shared" si="18"/>
        <v>38078</v>
      </c>
      <c r="N63" s="1182">
        <f t="shared" si="18"/>
        <v>37987</v>
      </c>
      <c r="O63" s="1182">
        <f t="shared" si="18"/>
        <v>37895</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2006-4</v>
      </c>
      <c r="D65" s="1183" t="str">
        <f t="shared" ref="D65:O65" si="19">YEAR(D63)&amp;"-"&amp;ROUNDUP(MONTH(D63)/3,0)</f>
        <v>2006-3</v>
      </c>
      <c r="E65" s="1183" t="str">
        <f t="shared" si="19"/>
        <v>2006-2</v>
      </c>
      <c r="F65" s="1183" t="str">
        <f t="shared" si="19"/>
        <v>2006-1</v>
      </c>
      <c r="G65" s="1183" t="str">
        <f t="shared" si="19"/>
        <v>2005-4</v>
      </c>
      <c r="H65" s="1183" t="str">
        <f t="shared" si="19"/>
        <v>2005-3</v>
      </c>
      <c r="I65" s="1183" t="str">
        <f t="shared" si="19"/>
        <v>2005-2</v>
      </c>
      <c r="J65" s="1183" t="str">
        <f t="shared" si="19"/>
        <v>2005-1</v>
      </c>
      <c r="K65" s="1183" t="str">
        <f t="shared" si="19"/>
        <v>2004-4</v>
      </c>
      <c r="L65" s="1183" t="str">
        <f t="shared" si="19"/>
        <v>2004-3</v>
      </c>
      <c r="M65" s="1183" t="str">
        <f t="shared" si="19"/>
        <v>2004-2</v>
      </c>
      <c r="N65" s="1183" t="str">
        <f t="shared" si="19"/>
        <v>2004-1</v>
      </c>
      <c r="O65" s="1183" t="str">
        <f t="shared" si="19"/>
        <v>2003-4</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估价对象为北京市房地产，为XX所有。根据《》[]，估价对象建筑面积为64.19平方米。根据《》[]，估价对象（分摊）出让国有建设用地使用权面积为平方米。估价对象用途为。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2006年10月14日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本次估价的“房地产价值”是指在正常市场情况下，在价值时点2006年10月14日，估价对象规划用途为，假定未设立法定优先受偿款下的房地产市场价值。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92D050"/>
  </sheetPr>
  <dimension ref="A1:AJ118"/>
  <sheetViews>
    <sheetView view="pageBreakPreview" zoomScale="70" zoomScaleNormal="90" zoomScaleSheetLayoutView="70" workbookViewId="0">
      <selection activeCell="A7" sqref="A7:XFD7"/>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3" customWidth="1"/>
    <col min="33" max="38" width="9.375" style="1624" customWidth="1"/>
    <col min="39" max="16384" width="9" style="1624"/>
  </cols>
  <sheetData>
    <row r="1" spans="1:36" ht="28.5">
      <c r="A1" s="2095" t="s">
        <v>2495</v>
      </c>
      <c r="B1" s="2096"/>
      <c r="C1" s="2097" t="s">
        <v>2496</v>
      </c>
      <c r="D1" s="2098">
        <f>SUM(D29:D30,D33:D39)</f>
        <v>64.19</v>
      </c>
      <c r="E1" s="2098"/>
      <c r="F1" s="2098"/>
      <c r="G1" s="2098"/>
      <c r="H1" s="2098"/>
      <c r="I1" s="2098"/>
      <c r="J1" s="2098"/>
      <c r="K1" s="3048"/>
      <c r="L1" s="2099" t="s">
        <v>2497</v>
      </c>
      <c r="M1" s="2100">
        <f>SUMPRODUCT((区片价!B5:B9=I2)*(区片价!C3:F3=E2)*(区片价!C5:F9))</f>
        <v>0</v>
      </c>
      <c r="N1" s="2101">
        <f>SUMPRODUCT((因素修正幅度!B5:B9=I2)*(因素修正幅度!C3:F3=E2)*(因素修正幅度!C5:F9))</f>
        <v>0</v>
      </c>
      <c r="O1" s="3048"/>
      <c r="P1" s="3048"/>
      <c r="Q1" s="3048"/>
      <c r="R1" s="2102" t="s">
        <v>2498</v>
      </c>
      <c r="S1" s="2102" t="s">
        <v>2499</v>
      </c>
      <c r="T1" s="2102" t="s">
        <v>2500</v>
      </c>
      <c r="U1" s="2102" t="s">
        <v>2501</v>
      </c>
      <c r="V1" s="2102" t="s">
        <v>2502</v>
      </c>
      <c r="W1" s="2103"/>
      <c r="X1" s="2103"/>
      <c r="Y1" s="2103"/>
      <c r="Z1" s="2103"/>
      <c r="AA1" s="2103"/>
      <c r="AB1" s="2103"/>
      <c r="AC1" s="2103"/>
      <c r="AD1" s="2104"/>
      <c r="AE1" s="2104"/>
      <c r="AF1" s="2104"/>
      <c r="AG1" s="2104"/>
      <c r="AH1" s="2104"/>
      <c r="AI1" s="2104"/>
      <c r="AJ1" s="2105"/>
    </row>
    <row r="2" spans="1:36" ht="24.75">
      <c r="A2" s="1959" t="s">
        <v>2503</v>
      </c>
      <c r="B2" s="1659">
        <f ca="1">C26</f>
        <v>0</v>
      </c>
      <c r="C2" s="2106" t="s">
        <v>2504</v>
      </c>
      <c r="D2" s="1602" t="s">
        <v>2505</v>
      </c>
      <c r="E2" s="2107" t="s">
        <v>2884</v>
      </c>
      <c r="F2" s="1602" t="s">
        <v>2506</v>
      </c>
      <c r="G2" s="2108">
        <f>项目基本情况!F9</f>
        <v>0</v>
      </c>
      <c r="H2" s="1603" t="s">
        <v>2507</v>
      </c>
      <c r="I2" s="2108">
        <f>项目基本情况!F10</f>
        <v>0</v>
      </c>
      <c r="J2" s="2109"/>
      <c r="K2" s="3048"/>
      <c r="L2" s="2110" t="s">
        <v>2508</v>
      </c>
      <c r="M2" s="2111">
        <f>SUMPRODUCT((区片价!B10:B28=I2)*(区片价!C3:F3=E2)*(区片价!C10:F28))</f>
        <v>0</v>
      </c>
      <c r="N2" s="2112">
        <f>SUMPRODUCT((因素修正幅度!B10:B28=I2)*(因素修正幅度!C3:F3=E2)*(因素修正幅度!C10:F28))</f>
        <v>0</v>
      </c>
      <c r="O2" s="3048"/>
      <c r="P2" s="3048"/>
      <c r="Q2" s="3048"/>
      <c r="R2" s="2102">
        <v>1</v>
      </c>
      <c r="S2" s="2102">
        <f>ROUND(IF(G3&gt;1,IF(R2&lt;7,SUMPRODUCT((B93:B98=R2)*(C92:N92=G2)*(C93:N98)),SUMIF(C92:N92,G2,C100:N100)),IF(R2&lt;7,SUMPRODUCT((B102:B107=R2)*(C92:N92=G2)*(C102:N107)),SUMIF(C92:N92,G2,C109:N109))),4)</f>
        <v>0</v>
      </c>
      <c r="T2" s="2102">
        <f ca="1">ROUND($C$5*$C$18*$C$19*$C$20*S2*$C$24,0)</f>
        <v>0</v>
      </c>
      <c r="U2" s="2113"/>
      <c r="V2" s="2102">
        <f ca="1">ROUND(T2*U2/10000,0)</f>
        <v>0</v>
      </c>
      <c r="W2" s="2103"/>
      <c r="X2" s="2103"/>
      <c r="Y2" s="2103"/>
      <c r="Z2" s="2103"/>
      <c r="AA2" s="2103"/>
      <c r="AB2" s="2103"/>
      <c r="AC2" s="2103"/>
      <c r="AD2" s="2104"/>
      <c r="AE2" s="2104"/>
      <c r="AF2" s="2104"/>
      <c r="AG2" s="2104"/>
      <c r="AH2" s="2104"/>
      <c r="AI2" s="2104"/>
      <c r="AJ2" s="2105"/>
    </row>
    <row r="3" spans="1:36" ht="25.5">
      <c r="A3" s="1659" t="s">
        <v>2509</v>
      </c>
      <c r="B3" s="1659">
        <f ca="1">ROUND(B2/D1,0)</f>
        <v>0</v>
      </c>
      <c r="C3" s="2106" t="s">
        <v>2510</v>
      </c>
      <c r="D3" s="1602" t="s">
        <v>2511</v>
      </c>
      <c r="E3" s="2107" t="s">
        <v>2886</v>
      </c>
      <c r="F3" s="1604" t="s">
        <v>2512</v>
      </c>
      <c r="G3" s="2114">
        <f>项目基本情况!C15</f>
        <v>2</v>
      </c>
      <c r="H3" s="50" t="s">
        <v>2513</v>
      </c>
      <c r="I3" s="2115"/>
      <c r="J3" s="2109" t="s">
        <v>2514</v>
      </c>
      <c r="K3" s="3048"/>
      <c r="L3" s="2110" t="s">
        <v>2515</v>
      </c>
      <c r="M3" s="2111">
        <f>SUMPRODUCT((区片价!B29:B48=I2)*(区片价!C3:F3=E2)*(区片价!C29:F48))</f>
        <v>0</v>
      </c>
      <c r="N3" s="2112">
        <f>SUMPRODUCT((因素修正幅度!B29:B48=I2)*(因素修正幅度!C3:F3=E2)*(因素修正幅度!C29:F48))</f>
        <v>0</v>
      </c>
      <c r="O3" s="3048"/>
      <c r="P3" s="3048"/>
      <c r="Q3" s="3048"/>
      <c r="R3" s="2102">
        <v>2</v>
      </c>
      <c r="S3" s="2102">
        <f>ROUND(IF(G3&gt;1,IF(R3&lt;7,SUMPRODUCT((B93:B98=R3)*(C92:N92=G2)*(C93:N98)),SUMIF(C92:N92,G2,C100:N100)),IF(R3&lt;7,SUMPRODUCT((B102:B107=R3)*(C92:N92=G2)*(C102:N107)),SUMIF(C92:N92,G2,C109:N109))),4)</f>
        <v>0</v>
      </c>
      <c r="T3" s="2102">
        <f t="shared" ref="T3:T16" ca="1" si="0">ROUND($C$5*$C$18*$C$19*$C$20*S3*$C$24,0)</f>
        <v>0</v>
      </c>
      <c r="U3" s="2113"/>
      <c r="V3" s="2102">
        <f t="shared" ref="V3:V16" ca="1" si="1">ROUND(T3*U3/10000,0)</f>
        <v>0</v>
      </c>
      <c r="W3" s="2103"/>
      <c r="X3" s="2103"/>
      <c r="Y3" s="2103"/>
      <c r="Z3" s="2103"/>
      <c r="AA3" s="2103"/>
      <c r="AB3" s="2103"/>
      <c r="AC3" s="2103"/>
      <c r="AD3" s="2104"/>
      <c r="AE3" s="2104"/>
      <c r="AF3" s="2104"/>
      <c r="AG3" s="2104"/>
      <c r="AH3" s="2104"/>
      <c r="AI3" s="2104"/>
      <c r="AJ3" s="2105"/>
    </row>
    <row r="4" spans="1:36" ht="15.75">
      <c r="A4" s="3758"/>
      <c r="B4" s="3759"/>
      <c r="C4" s="3759"/>
      <c r="D4" s="3760"/>
      <c r="E4" s="3760"/>
      <c r="F4" s="3760"/>
      <c r="G4" s="3760"/>
      <c r="H4" s="3760"/>
      <c r="I4" s="3760"/>
      <c r="J4" s="3761"/>
      <c r="K4" s="3048"/>
      <c r="L4" s="2110" t="s">
        <v>2516</v>
      </c>
      <c r="M4" s="2111">
        <f>SUMPRODUCT((区片价!B49:B75=I2)*(区片价!C3:F3=E2)*(区片价!C49:F75))</f>
        <v>0</v>
      </c>
      <c r="N4" s="2112">
        <f>SUMPRODUCT((因素修正幅度!B49:B75=I2)*(因素修正幅度!C3:F3=E2)*(因素修正幅度!C49:F75))</f>
        <v>0</v>
      </c>
      <c r="O4" s="3048"/>
      <c r="P4" s="3048"/>
      <c r="Q4" s="3048"/>
      <c r="R4" s="2102">
        <v>3</v>
      </c>
      <c r="S4" s="2102">
        <f>ROUND(IF(G3&gt;1,IF(R4&lt;7,SUMPRODUCT((B93:B98=R4)*(C92:N92=G2)*(C93:N98)),SUMIF(C92:N92,G2,C100:N100)),IF(R4&lt;7,SUMPRODUCT((B102:B107=R4)*(C92:N92=G2)*(C102:N107)),SUMIF(C92:N92,G2,C109:N109))),4)</f>
        <v>0</v>
      </c>
      <c r="T4" s="2102">
        <f t="shared" ca="1" si="0"/>
        <v>0</v>
      </c>
      <c r="U4" s="2113"/>
      <c r="V4" s="2102">
        <f t="shared" ca="1" si="1"/>
        <v>0</v>
      </c>
      <c r="W4" s="2103"/>
      <c r="X4" s="2103"/>
      <c r="Y4" s="2103"/>
      <c r="Z4" s="2103"/>
      <c r="AA4" s="2103"/>
      <c r="AB4" s="2103"/>
      <c r="AC4" s="2103"/>
      <c r="AD4" s="2104"/>
      <c r="AE4" s="2104"/>
      <c r="AF4" s="2104"/>
      <c r="AG4" s="2104"/>
      <c r="AH4" s="2104"/>
      <c r="AI4" s="2104"/>
      <c r="AJ4" s="2105"/>
    </row>
    <row r="5" spans="1:36" s="2123" customFormat="1" ht="15.75" thickBot="1">
      <c r="A5" s="1605" t="s">
        <v>2517</v>
      </c>
      <c r="B5" s="1605" t="s">
        <v>2518</v>
      </c>
      <c r="C5" s="2116">
        <f>ROUND(IF(E2="商业",C6*C7+C16,(IF(E2="住宅",C6*C12+C16,C6+C16))),0)</f>
        <v>0</v>
      </c>
      <c r="D5" s="2117">
        <f>ROUND(C6+C16,0)</f>
        <v>0</v>
      </c>
      <c r="E5" s="2117"/>
      <c r="F5" s="2118"/>
      <c r="G5" s="2119"/>
      <c r="H5" s="2119"/>
      <c r="I5" s="2119"/>
      <c r="J5" s="2076"/>
      <c r="K5" s="1667"/>
      <c r="L5" s="2110" t="s">
        <v>2519</v>
      </c>
      <c r="M5" s="2111">
        <f>SUMPRODUCT((区片价!B76:B109=I2)*(区片价!C3:F3=E2)*(区片价!C76:F109))</f>
        <v>0</v>
      </c>
      <c r="N5" s="2112">
        <f>SUMPRODUCT((因素修正幅度!B76:B109=I2)*(因素修正幅度!C3:F3=E2)*(因素修正幅度!C76:F109))</f>
        <v>0</v>
      </c>
      <c r="O5" s="3048"/>
      <c r="P5" s="3048"/>
      <c r="Q5" s="3048"/>
      <c r="R5" s="2102">
        <v>4</v>
      </c>
      <c r="S5" s="2102">
        <f>ROUND(IF(G3&gt;1,IF(R5&lt;7,SUMPRODUCT((B93:B98=R5)*(C92:N92=G2)*(C93:N98)),SUMIF(C92:N92,G2,C100:N100)),IF(R5&lt;7,SUMPRODUCT((B102:B107=R5)*(C92:N92=G2)*(C102:N107)),SUMIF(C92:N92,G2,C109:N109))),4)</f>
        <v>0</v>
      </c>
      <c r="T5" s="2102">
        <f t="shared" ca="1" si="0"/>
        <v>0</v>
      </c>
      <c r="U5" s="2113"/>
      <c r="V5" s="2102">
        <f t="shared" ca="1" si="1"/>
        <v>0</v>
      </c>
      <c r="W5" s="2103"/>
      <c r="X5" s="2103"/>
      <c r="Y5" s="2103"/>
      <c r="Z5" s="2103"/>
      <c r="AA5" s="2103"/>
      <c r="AB5" s="2103"/>
      <c r="AC5" s="2120"/>
      <c r="AD5" s="2121"/>
      <c r="AE5" s="2121"/>
      <c r="AF5" s="2121"/>
      <c r="AG5" s="2121"/>
      <c r="AH5" s="2121"/>
      <c r="AI5" s="2121"/>
      <c r="AJ5" s="2122"/>
    </row>
    <row r="6" spans="1:36" ht="15.75" thickBot="1">
      <c r="A6" s="2124">
        <v>1</v>
      </c>
      <c r="B6" s="1606" t="s">
        <v>2520</v>
      </c>
      <c r="C6" s="2125">
        <f>SUMIF(L1:L12,G2,M1:M12)</f>
        <v>0</v>
      </c>
      <c r="D6" s="2126" t="s">
        <v>2521</v>
      </c>
      <c r="E6" s="1606"/>
      <c r="F6" s="1606"/>
      <c r="G6" s="2127"/>
      <c r="H6" s="2127"/>
      <c r="I6" s="2127"/>
      <c r="J6" s="2128"/>
      <c r="K6" s="3049"/>
      <c r="L6" s="2110" t="s">
        <v>2522</v>
      </c>
      <c r="M6" s="2111">
        <f>SUMPRODUCT((区片价!B110:B157=I2)*(区片价!C3:F3=E2)*(区片价!C110:F157))</f>
        <v>0</v>
      </c>
      <c r="N6" s="2112">
        <f>SUMPRODUCT((因素修正幅度!B110:B157=I2)*(因素修正幅度!C3:F3=E2)*(因素修正幅度!C110:F157))</f>
        <v>0</v>
      </c>
      <c r="O6" s="3048"/>
      <c r="P6" s="3048"/>
      <c r="Q6" s="3048"/>
      <c r="R6" s="2102">
        <v>5</v>
      </c>
      <c r="S6" s="2102">
        <f>ROUND(IF(G3&gt;1,IF(R6&lt;7,SUMPRODUCT((B93:B98=R6)*(C92:N92=G2)*(C93:N98)),SUMIF(C92:N92,G2,C100:N100)),IF(R6&lt;7,SUMPRODUCT((B102:B107=R6)*(C92:N92=G2)*(C102:N107)),SUMIF(C92:N92,G2,C109:N109))),4)</f>
        <v>0</v>
      </c>
      <c r="T6" s="2102">
        <f t="shared" ca="1" si="0"/>
        <v>0</v>
      </c>
      <c r="U6" s="2113"/>
      <c r="V6" s="2102">
        <f t="shared" ca="1" si="1"/>
        <v>0</v>
      </c>
      <c r="W6" s="2103"/>
      <c r="X6" s="2103"/>
      <c r="Y6" s="2103"/>
      <c r="Z6" s="2103"/>
      <c r="AA6" s="2103"/>
      <c r="AB6" s="2103"/>
      <c r="AC6" s="2120"/>
      <c r="AD6" s="2121"/>
      <c r="AE6" s="2121"/>
      <c r="AF6" s="2121"/>
      <c r="AG6" s="2121"/>
      <c r="AH6" s="2121"/>
      <c r="AI6" s="2121"/>
      <c r="AJ6" s="2122"/>
    </row>
    <row r="7" spans="1:36" ht="24">
      <c r="A7" s="3762" t="str">
        <f>IF(E2="商业",IF(C8="不临58条商业街","",2),"")</f>
        <v/>
      </c>
      <c r="B7" s="1607" t="s">
        <v>2523</v>
      </c>
      <c r="C7" s="2129" t="e">
        <f>IF(C8="不临58条商业街",1,ROUND(1+(1.6*E8+1.2*E9+0.8*E10+0.4*E11)*C9,4))</f>
        <v>#DIV/0!</v>
      </c>
      <c r="D7" s="2130" t="s">
        <v>2524</v>
      </c>
      <c r="E7" s="2131"/>
      <c r="F7" s="2132"/>
      <c r="G7" s="2132"/>
      <c r="H7" s="2132"/>
      <c r="I7" s="2132"/>
      <c r="J7" s="2133"/>
      <c r="K7" s="3049"/>
      <c r="L7" s="2110" t="s">
        <v>2525</v>
      </c>
      <c r="M7" s="2111">
        <f>SUMPRODUCT((区片价!B158:B205=I2)*(区片价!C3:F3=E2)*(区片价!C158:F205))</f>
        <v>0</v>
      </c>
      <c r="N7" s="2112">
        <f>SUMPRODUCT((因素修正幅度!B158:B205=I2)*(因素修正幅度!C3:F3=E2)*(因素修正幅度!C158:F205))</f>
        <v>0</v>
      </c>
      <c r="O7" s="3048"/>
      <c r="P7" s="3048"/>
      <c r="Q7" s="3048"/>
      <c r="R7" s="2102">
        <v>6</v>
      </c>
      <c r="S7" s="2102">
        <f>ROUND(IF(G3&gt;1,IF(R7&lt;7,SUMPRODUCT((B93:B98=R7)*(C92:N92=G2)*(C93:N98)),SUMIF(C92:N92,G2,C100:N100)),IF(R7&lt;7,SUMPRODUCT((B102:B107=R7)*(C92:N92=G2)*(C102:N107)),SUMIF(C92:N92,G2,C109:N109))),4)</f>
        <v>0</v>
      </c>
      <c r="T7" s="2102">
        <f t="shared" ca="1" si="0"/>
        <v>0</v>
      </c>
      <c r="U7" s="2113"/>
      <c r="V7" s="2102">
        <f t="shared" ca="1" si="1"/>
        <v>0</v>
      </c>
      <c r="W7" s="2134" t="s">
        <v>2526</v>
      </c>
      <c r="X7" s="2135">
        <f>G2</f>
        <v>0</v>
      </c>
      <c r="Y7" s="2135" t="s">
        <v>2527</v>
      </c>
      <c r="Z7" s="2136">
        <f>G3</f>
        <v>2</v>
      </c>
      <c r="AA7" s="2103"/>
      <c r="AB7" s="2103"/>
      <c r="AC7" s="2103"/>
      <c r="AD7" s="2104"/>
      <c r="AE7" s="2104"/>
      <c r="AF7" s="2104"/>
      <c r="AG7" s="2104"/>
      <c r="AH7" s="2104"/>
      <c r="AI7" s="2104"/>
      <c r="AJ7" s="2105"/>
    </row>
    <row r="8" spans="1:36" ht="15">
      <c r="A8" s="3763"/>
      <c r="B8" s="50" t="s">
        <v>2528</v>
      </c>
      <c r="C8" s="2137"/>
      <c r="D8" s="65" t="s">
        <v>89</v>
      </c>
      <c r="E8" s="2138" t="e">
        <f>ROUND(C11/E7,4)</f>
        <v>#DIV/0!</v>
      </c>
      <c r="F8" s="2139" t="s">
        <v>2529</v>
      </c>
      <c r="G8" s="2140"/>
      <c r="H8" s="2140"/>
      <c r="I8" s="2140"/>
      <c r="J8" s="2141"/>
      <c r="K8" s="3048"/>
      <c r="L8" s="2110" t="s">
        <v>2530</v>
      </c>
      <c r="M8" s="2111">
        <f>SUMPRODUCT((区片价!B206:B244=I2)*(区片价!C3:F3=E2)*(区片价!C206:F244))</f>
        <v>0</v>
      </c>
      <c r="N8" s="2112">
        <f>SUMPRODUCT((因素修正幅度!B206:B244=I2)*(因素修正幅度!C3:F3=E2)*(因素修正幅度!C206:F244))</f>
        <v>0</v>
      </c>
      <c r="O8" s="3048"/>
      <c r="P8" s="3048"/>
      <c r="Q8" s="3048"/>
      <c r="R8" s="2102">
        <v>7</v>
      </c>
      <c r="S8" s="2113"/>
      <c r="T8" s="2102">
        <f t="shared" ca="1" si="0"/>
        <v>0</v>
      </c>
      <c r="U8" s="2113"/>
      <c r="V8" s="2102">
        <f t="shared" ca="1" si="1"/>
        <v>0</v>
      </c>
      <c r="W8" s="3756" t="s">
        <v>2531</v>
      </c>
      <c r="X8" s="3757"/>
      <c r="Y8" s="2142" t="s">
        <v>2532</v>
      </c>
      <c r="Z8" s="2142" t="s">
        <v>2533</v>
      </c>
      <c r="AA8" s="2142" t="s">
        <v>2534</v>
      </c>
      <c r="AB8" s="2142" t="s">
        <v>2535</v>
      </c>
      <c r="AC8" s="2142" t="s">
        <v>2536</v>
      </c>
      <c r="AD8" s="2142" t="s">
        <v>2537</v>
      </c>
      <c r="AE8" s="2142" t="s">
        <v>2538</v>
      </c>
      <c r="AF8" s="2142" t="s">
        <v>2539</v>
      </c>
      <c r="AG8" s="2142" t="s">
        <v>2540</v>
      </c>
      <c r="AH8" s="2142" t="s">
        <v>2541</v>
      </c>
      <c r="AI8" s="2142" t="s">
        <v>2542</v>
      </c>
      <c r="AJ8" s="2142" t="s">
        <v>2543</v>
      </c>
    </row>
    <row r="9" spans="1:36" ht="15">
      <c r="A9" s="3763"/>
      <c r="B9" s="50" t="s">
        <v>2544</v>
      </c>
      <c r="C9" s="2143">
        <f>SUMIF(修正!C59:C119,C8,修正!E59:E119)</f>
        <v>0</v>
      </c>
      <c r="D9" s="50" t="s">
        <v>90</v>
      </c>
      <c r="E9" s="50" t="e">
        <f>ROUND(C11/E7,4)</f>
        <v>#DIV/0!</v>
      </c>
      <c r="F9" s="2139" t="s">
        <v>2545</v>
      </c>
      <c r="G9" s="2140"/>
      <c r="H9" s="2140"/>
      <c r="I9" s="2140"/>
      <c r="J9" s="2141"/>
      <c r="K9" s="3048"/>
      <c r="L9" s="2110" t="s">
        <v>2546</v>
      </c>
      <c r="M9" s="2111">
        <f>SUMPRODUCT((区片价!B245:B289=I2)*(区片价!C3:F3=E2)*(区片价!C245:F289))</f>
        <v>0</v>
      </c>
      <c r="N9" s="2112">
        <f>SUMPRODUCT((因素修正幅度!B245:B289=I2)*(因素修正幅度!C3:F3=E2)*(因素修正幅度!C245:F289))</f>
        <v>0</v>
      </c>
      <c r="O9" s="3048"/>
      <c r="P9" s="3048"/>
      <c r="Q9" s="3048"/>
      <c r="R9" s="2102">
        <v>8</v>
      </c>
      <c r="S9" s="2113"/>
      <c r="T9" s="2102">
        <f t="shared" ca="1" si="0"/>
        <v>0</v>
      </c>
      <c r="U9" s="2113"/>
      <c r="V9" s="2102">
        <f t="shared" ca="1" si="1"/>
        <v>0</v>
      </c>
      <c r="W9" s="3757" t="s">
        <v>2547</v>
      </c>
      <c r="X9" s="2144" t="s">
        <v>2548</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763"/>
      <c r="B10" s="50" t="s">
        <v>2549</v>
      </c>
      <c r="C10" s="50">
        <f>SUMIF(修正!C59:C119,C8,修正!F59:F119)</f>
        <v>0</v>
      </c>
      <c r="D10" s="50" t="s">
        <v>91</v>
      </c>
      <c r="E10" s="50" t="e">
        <f>ROUND(C11/E7,4)</f>
        <v>#DIV/0!</v>
      </c>
      <c r="F10" s="2139" t="s">
        <v>2550</v>
      </c>
      <c r="G10" s="2140"/>
      <c r="H10" s="2140"/>
      <c r="I10" s="2140"/>
      <c r="J10" s="2141"/>
      <c r="K10" s="3048"/>
      <c r="L10" s="2110" t="s">
        <v>2551</v>
      </c>
      <c r="M10" s="2111">
        <f>SUMPRODUCT((区片价!B290:B316=I2)*(区片价!C3:F3=E2)*(区片价!C290:F316))</f>
        <v>0</v>
      </c>
      <c r="N10" s="2112">
        <f>SUMPRODUCT((因素修正幅度!B290:B316=I2)*(因素修正幅度!C3:F3=E2)*(因素修正幅度!C290:F316))</f>
        <v>0</v>
      </c>
      <c r="O10" s="3048"/>
      <c r="P10" s="3048"/>
      <c r="Q10" s="3048"/>
      <c r="R10" s="2102">
        <v>9</v>
      </c>
      <c r="S10" s="2113"/>
      <c r="T10" s="2102">
        <f t="shared" ca="1" si="0"/>
        <v>0</v>
      </c>
      <c r="U10" s="2113"/>
      <c r="V10" s="2102">
        <f t="shared" ca="1" si="1"/>
        <v>0</v>
      </c>
      <c r="W10" s="3757"/>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763"/>
      <c r="B11" s="1608" t="s">
        <v>2552</v>
      </c>
      <c r="C11" s="1608">
        <f>C10/4</f>
        <v>0</v>
      </c>
      <c r="D11" s="1608" t="s">
        <v>92</v>
      </c>
      <c r="E11" s="1608" t="e">
        <f>ROUND(C11/E7,4)</f>
        <v>#DIV/0!</v>
      </c>
      <c r="F11" s="2148" t="s">
        <v>2553</v>
      </c>
      <c r="G11" s="2149"/>
      <c r="H11" s="2149"/>
      <c r="I11" s="2149"/>
      <c r="J11" s="2150"/>
      <c r="K11" s="3048"/>
      <c r="L11" s="2110" t="s">
        <v>2554</v>
      </c>
      <c r="M11" s="2111">
        <f>SUMPRODUCT((区片价!B317:B337=I2)*(区片价!C3:F3=E2)*(区片价!C317:F337))</f>
        <v>0</v>
      </c>
      <c r="N11" s="2112">
        <f>SUMPRODUCT((因素修正幅度!B317:B337=I2)*(因素修正幅度!C3:F3=E2)*(因素修正幅度!C317:F337))</f>
        <v>0</v>
      </c>
      <c r="O11" s="3048"/>
      <c r="P11" s="3048"/>
      <c r="Q11" s="3048"/>
      <c r="R11" s="2102">
        <v>10</v>
      </c>
      <c r="S11" s="2113"/>
      <c r="T11" s="2102">
        <f t="shared" ca="1" si="0"/>
        <v>0</v>
      </c>
      <c r="U11" s="2113"/>
      <c r="V11" s="2102">
        <f t="shared" ca="1" si="1"/>
        <v>0</v>
      </c>
      <c r="W11" s="3757" t="s">
        <v>2555</v>
      </c>
      <c r="X11" s="2151" t="s">
        <v>2556</v>
      </c>
      <c r="Y11" s="2152">
        <f>$G$3</f>
        <v>2</v>
      </c>
      <c r="Z11" s="2152">
        <f t="shared" ref="Z11:AJ11" si="3">$G$3</f>
        <v>2</v>
      </c>
      <c r="AA11" s="2152">
        <f t="shared" si="3"/>
        <v>2</v>
      </c>
      <c r="AB11" s="2152">
        <f t="shared" si="3"/>
        <v>2</v>
      </c>
      <c r="AC11" s="2152">
        <f t="shared" si="3"/>
        <v>2</v>
      </c>
      <c r="AD11" s="2152">
        <f t="shared" si="3"/>
        <v>2</v>
      </c>
      <c r="AE11" s="2152">
        <f t="shared" si="3"/>
        <v>2</v>
      </c>
      <c r="AF11" s="2152">
        <f t="shared" si="3"/>
        <v>2</v>
      </c>
      <c r="AG11" s="2152">
        <f t="shared" si="3"/>
        <v>2</v>
      </c>
      <c r="AH11" s="2152">
        <f t="shared" si="3"/>
        <v>2</v>
      </c>
      <c r="AI11" s="2152">
        <f t="shared" si="3"/>
        <v>2</v>
      </c>
      <c r="AJ11" s="2152">
        <f t="shared" si="3"/>
        <v>2</v>
      </c>
    </row>
    <row r="12" spans="1:36" ht="25.5" thickBot="1">
      <c r="A12" s="3762">
        <f>IF(E2="住宅",2,"")</f>
        <v>2</v>
      </c>
      <c r="B12" s="1609" t="s">
        <v>2557</v>
      </c>
      <c r="C12" s="2129">
        <f>ROUND(C15*D15*E15*F15*G15*H15*I15*J15,4)</f>
        <v>1.32</v>
      </c>
      <c r="D12" s="2153" t="s">
        <v>2558</v>
      </c>
      <c r="E12" s="2154"/>
      <c r="F12" s="2154"/>
      <c r="G12" s="2154"/>
      <c r="H12" s="2154"/>
      <c r="I12" s="2154"/>
      <c r="J12" s="2155"/>
      <c r="K12" s="3048"/>
      <c r="L12" s="2156" t="s">
        <v>2559</v>
      </c>
      <c r="M12" s="2157">
        <f>SUMPRODUCT((区片价!B338:B344=I2)*(区片价!C3:F3=E2)*(区片价!C338:F344))</f>
        <v>0</v>
      </c>
      <c r="N12" s="2158">
        <f>SUMPRODUCT((因素修正幅度!B338:B344=I2)*(因素修正幅度!C3:F3=E2)*(因素修正幅度!C338:F344))</f>
        <v>0</v>
      </c>
      <c r="O12" s="3048"/>
      <c r="P12" s="3048"/>
      <c r="Q12" s="3048"/>
      <c r="R12" s="2102">
        <v>11</v>
      </c>
      <c r="S12" s="2113"/>
      <c r="T12" s="2102">
        <f t="shared" ca="1" si="0"/>
        <v>0</v>
      </c>
      <c r="U12" s="2113"/>
      <c r="V12" s="2102">
        <f t="shared" ca="1" si="1"/>
        <v>0</v>
      </c>
      <c r="W12" s="3757"/>
      <c r="X12" s="2159" t="s">
        <v>2560</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764"/>
      <c r="B13" s="1610" t="s">
        <v>2561</v>
      </c>
      <c r="C13" s="2160" t="s">
        <v>2562</v>
      </c>
      <c r="D13" s="1611" t="s">
        <v>2563</v>
      </c>
      <c r="E13" s="1611" t="s">
        <v>2564</v>
      </c>
      <c r="F13" s="264" t="s">
        <v>2565</v>
      </c>
      <c r="G13" s="2161" t="s">
        <v>2566</v>
      </c>
      <c r="H13" s="2161" t="s">
        <v>2566</v>
      </c>
      <c r="I13" s="2161" t="s">
        <v>2566</v>
      </c>
      <c r="J13" s="2162" t="s">
        <v>2566</v>
      </c>
      <c r="K13" s="3048"/>
      <c r="L13" s="3048"/>
      <c r="M13" s="3048"/>
      <c r="N13" s="3048"/>
      <c r="O13" s="3048"/>
      <c r="P13" s="3048"/>
      <c r="Q13" s="3048"/>
      <c r="R13" s="2102">
        <v>12</v>
      </c>
      <c r="S13" s="2113"/>
      <c r="T13" s="2102">
        <f t="shared" ca="1" si="0"/>
        <v>0</v>
      </c>
      <c r="U13" s="2113"/>
      <c r="V13" s="2102">
        <f t="shared" ca="1" si="1"/>
        <v>0</v>
      </c>
      <c r="W13" s="3757"/>
      <c r="X13" s="2159"/>
      <c r="Y13" s="2147">
        <f>(-0.163*(Y12^2)-0.59*Y12+7617)*(10^(-4))/Y11</f>
        <v>0.38085000000000002</v>
      </c>
      <c r="Z13" s="2147">
        <f t="shared" ref="Z13:AJ13" si="5">(-0.163*(Z12^2)-0.59*Z12+7617)*(10^(-4))/Z11</f>
        <v>0.38085000000000002</v>
      </c>
      <c r="AA13" s="2147">
        <f t="shared" si="5"/>
        <v>0.38085000000000002</v>
      </c>
      <c r="AB13" s="2147">
        <f t="shared" si="5"/>
        <v>0.38085000000000002</v>
      </c>
      <c r="AC13" s="2147">
        <f t="shared" si="5"/>
        <v>0.38085000000000002</v>
      </c>
      <c r="AD13" s="2147">
        <f t="shared" si="5"/>
        <v>0.38085000000000002</v>
      </c>
      <c r="AE13" s="2147">
        <f t="shared" si="5"/>
        <v>0.38085000000000002</v>
      </c>
      <c r="AF13" s="2147">
        <f t="shared" si="5"/>
        <v>0.38085000000000002</v>
      </c>
      <c r="AG13" s="2147">
        <f t="shared" si="5"/>
        <v>0.38085000000000002</v>
      </c>
      <c r="AH13" s="2147">
        <f t="shared" si="5"/>
        <v>0.38085000000000002</v>
      </c>
      <c r="AI13" s="2147">
        <f t="shared" si="5"/>
        <v>0.38085000000000002</v>
      </c>
      <c r="AJ13" s="2147">
        <f t="shared" si="5"/>
        <v>0.38085000000000002</v>
      </c>
    </row>
    <row r="14" spans="1:36" ht="15">
      <c r="A14" s="3764"/>
      <c r="B14" s="1611"/>
      <c r="C14" s="2163" t="s">
        <v>2567</v>
      </c>
      <c r="D14" s="2164" t="s">
        <v>2568</v>
      </c>
      <c r="E14" s="2164" t="s">
        <v>2568</v>
      </c>
      <c r="F14" s="2165" t="s">
        <v>2569</v>
      </c>
      <c r="G14" s="2166" t="s">
        <v>2570</v>
      </c>
      <c r="H14" s="2167"/>
      <c r="I14" s="2168"/>
      <c r="J14" s="2169"/>
      <c r="K14" s="3048"/>
      <c r="L14" s="3048"/>
      <c r="M14" s="3048"/>
      <c r="N14" s="3048"/>
      <c r="O14" s="3048"/>
      <c r="P14" s="3048"/>
      <c r="Q14" s="3048"/>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75" thickBot="1">
      <c r="A15" s="3765"/>
      <c r="B15" s="1612" t="s">
        <v>2571</v>
      </c>
      <c r="C15" s="2170">
        <f>IF(C14="有",1.1,1)</f>
        <v>1.1000000000000001</v>
      </c>
      <c r="D15" s="2170">
        <f>IF(D14="有",1.1,1)</f>
        <v>1</v>
      </c>
      <c r="E15" s="2170">
        <f>IF(E14="有",1.1,1)</f>
        <v>1</v>
      </c>
      <c r="F15" s="2170">
        <f>IF(F14="500米范围内",1.2,IF(F14="500-1000米",1.1,1))</f>
        <v>1.2</v>
      </c>
      <c r="G15" s="2171">
        <v>1</v>
      </c>
      <c r="H15" s="2171">
        <v>1</v>
      </c>
      <c r="I15" s="2171">
        <v>1</v>
      </c>
      <c r="J15" s="2172">
        <v>1</v>
      </c>
      <c r="K15" s="3048"/>
      <c r="L15" s="3048"/>
      <c r="M15" s="3048"/>
      <c r="N15" s="3048"/>
      <c r="O15" s="3048"/>
      <c r="P15" s="3048"/>
      <c r="Q15" s="3048"/>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741">
        <f>IF(E2="办公",2,IF(E2="工业",2,IF(E2="住宅",3,IF(E2="商业",IF(C8="不临58条商业街",2,3)))))</f>
        <v>3</v>
      </c>
      <c r="B16" s="1631" t="s">
        <v>2577</v>
      </c>
      <c r="C16" s="1607">
        <f>ROUND(IF(F17="与级别开发程度一致",0,(G17-E17)/C17),0)</f>
        <v>0</v>
      </c>
      <c r="D16" s="3754" t="s">
        <v>2581</v>
      </c>
      <c r="E16" s="3755"/>
      <c r="F16" s="3754" t="s">
        <v>2578</v>
      </c>
      <c r="G16" s="3755"/>
      <c r="H16" s="2173"/>
      <c r="I16" s="2173"/>
      <c r="J16" s="2174"/>
      <c r="K16" s="2173"/>
      <c r="L16" s="2173"/>
      <c r="M16" s="2173"/>
      <c r="N16" s="2173"/>
      <c r="O16" s="2175"/>
      <c r="P16" s="3048"/>
      <c r="Q16" s="3048"/>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6.25" thickBot="1">
      <c r="A17" s="3742"/>
      <c r="B17" s="1632" t="s">
        <v>2580</v>
      </c>
      <c r="C17" s="2176">
        <f>SUMPRODUCT((修正!A2:A5=E2)*(修正!B1:M1=G2)*(修正!B2:M5))</f>
        <v>0</v>
      </c>
      <c r="D17" s="2170" t="str">
        <f>IF(OR(G2="八级",G2="九级",G2="十级",G2="十一级",G2="十二级"),"五通一平","七通一平")</f>
        <v>七通一平</v>
      </c>
      <c r="E17" s="2177">
        <f>SUMPRODUCT((修正!B1:M1=G2)*(修正!B15:M15))</f>
        <v>0</v>
      </c>
      <c r="F17" s="2178" t="s">
        <v>2887</v>
      </c>
      <c r="G17" s="1621">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48"/>
      <c r="Q17" s="3048"/>
      <c r="R17" s="1623"/>
      <c r="S17" s="1623"/>
      <c r="T17" s="1623"/>
      <c r="U17" s="1623"/>
      <c r="V17" s="1623"/>
      <c r="W17" s="1623"/>
      <c r="X17" s="1623"/>
      <c r="Y17" s="1623"/>
      <c r="Z17" s="1623"/>
      <c r="AA17" s="1623"/>
      <c r="AB17" s="1623"/>
      <c r="AC17" s="1623"/>
      <c r="AD17" s="1623"/>
      <c r="AE17" s="1623"/>
      <c r="AF17" s="1623"/>
    </row>
    <row r="18" spans="1:35" s="2123" customFormat="1" ht="15.75" thickBot="1">
      <c r="A18" s="2181" t="s">
        <v>2583</v>
      </c>
      <c r="B18" s="1630" t="s">
        <v>2584</v>
      </c>
      <c r="C18" s="2182">
        <f>SUMIF(修正!C18:C39,E3,修正!E18:E39)</f>
        <v>1</v>
      </c>
      <c r="D18" s="2183"/>
      <c r="E18" s="2184"/>
      <c r="F18" s="2184"/>
      <c r="G18" s="2184"/>
      <c r="H18" s="2184"/>
      <c r="I18" s="2184"/>
      <c r="J18" s="2185"/>
      <c r="K18" s="3050"/>
      <c r="L18" s="3050"/>
      <c r="M18" s="3050"/>
      <c r="N18" s="3050"/>
      <c r="O18" s="3048"/>
      <c r="P18" s="3048"/>
      <c r="Q18" s="3048"/>
      <c r="R18" s="3048"/>
      <c r="S18" s="3048"/>
      <c r="T18" s="3048"/>
      <c r="U18" s="3048"/>
      <c r="V18" s="3048"/>
      <c r="W18" s="3048"/>
      <c r="X18" s="1623"/>
      <c r="Y18" s="1623"/>
      <c r="Z18" s="1623"/>
      <c r="AA18" s="1623"/>
      <c r="AB18" s="1623"/>
      <c r="AC18" s="1623"/>
      <c r="AD18" s="1623"/>
      <c r="AE18" s="1623"/>
      <c r="AF18" s="1623"/>
      <c r="AG18" s="1624"/>
      <c r="AH18" s="1624"/>
      <c r="AI18" s="1624"/>
    </row>
    <row r="19" spans="1:35" s="2123" customFormat="1" ht="29.25" thickBot="1">
      <c r="A19" s="2181" t="s">
        <v>2585</v>
      </c>
      <c r="B19" s="1613" t="s">
        <v>2586</v>
      </c>
      <c r="C19" s="2187">
        <f>ROUND(IF(H19="按公示增长率计算",SUMPRODUCT((地价!A3:A33=YEAR(G19)&amp;"-"&amp;ROUNDUP(MONTH(G19)/3,0))*(地价!X2:AB2=E2)*(地价!X3:AB33)),IF(H19="地价指数",M20/M19,(1+I19)^O19)),4)</f>
        <v>0</v>
      </c>
      <c r="D19" s="2188" t="s">
        <v>2587</v>
      </c>
      <c r="E19" s="2189">
        <v>41640</v>
      </c>
      <c r="F19" s="2188" t="s">
        <v>2588</v>
      </c>
      <c r="G19" s="2190">
        <f>'数据-取费表'!B2</f>
        <v>39004</v>
      </c>
      <c r="H19" s="2191" t="s">
        <v>2724</v>
      </c>
      <c r="I19" s="2192" t="str">
        <f>IF(H19="季度增幅（自定义）",SUMIF(N21:N24,E2,O21:O24),"")</f>
        <v/>
      </c>
      <c r="J19" s="2193"/>
      <c r="K19" s="3050"/>
      <c r="L19" s="2074" t="s">
        <v>2589</v>
      </c>
      <c r="M19" s="2194">
        <f>ROUND(SUMIF(地价!B2:F2,E2,地价!B33:F33),0)</f>
        <v>423</v>
      </c>
      <c r="N19" s="2195" t="s">
        <v>2590</v>
      </c>
      <c r="O19" s="2196" t="e">
        <f>ROUNDDOWN(DATEDIF(E19,G19,"M")/3,0)</f>
        <v>#NUM!</v>
      </c>
      <c r="P19" s="3048"/>
      <c r="Q19" s="3050"/>
      <c r="R19" s="3048"/>
      <c r="S19" s="3048"/>
      <c r="T19" s="3048"/>
      <c r="U19" s="3048"/>
      <c r="V19" s="3048"/>
      <c r="W19" s="3048"/>
      <c r="X19" s="1623"/>
      <c r="Y19" s="1623"/>
      <c r="Z19" s="1623"/>
      <c r="AA19" s="1623"/>
      <c r="AB19" s="1623"/>
      <c r="AC19" s="1623"/>
      <c r="AD19" s="1623"/>
      <c r="AE19" s="2186"/>
      <c r="AF19" s="2197"/>
      <c r="AG19" s="2198"/>
      <c r="AH19" s="1624"/>
    </row>
    <row r="20" spans="1:35" s="2123" customFormat="1" ht="27.75" thickBot="1">
      <c r="A20" s="1717" t="s">
        <v>2591</v>
      </c>
      <c r="B20" s="1614" t="s">
        <v>2592</v>
      </c>
      <c r="C20" s="2199">
        <f ca="1">ROUND(POWER(1+G20,J20-I20)*(POWER(1+G20,I20)-1)/(POWER(1+G20,J20)-1),4)</f>
        <v>1</v>
      </c>
      <c r="D20" s="2200" t="s">
        <v>2593</v>
      </c>
      <c r="E20" s="3151">
        <f ca="1">存贷款利率!D4/100</f>
        <v>6.1200000000000004E-2</v>
      </c>
      <c r="F20" s="2200" t="s">
        <v>2582</v>
      </c>
      <c r="G20" s="3152">
        <f ca="1">SUMIF(M26:P26,E2,M28:P28)</f>
        <v>7.0000000000000007E-2</v>
      </c>
      <c r="H20" s="2200" t="s">
        <v>2594</v>
      </c>
      <c r="I20" s="2201">
        <f>'数据-取费表'!B13</f>
        <v>70</v>
      </c>
      <c r="J20" s="2202">
        <f>IF(E2="住宅",70,IF(E2="商业",40,50))</f>
        <v>70</v>
      </c>
      <c r="K20" s="3050"/>
      <c r="L20" s="2203" t="s">
        <v>2595</v>
      </c>
      <c r="M20" s="2204">
        <f>ROUND(SUMPRODUCT((地价!A4:A33=YEAR(G19)&amp;"-"&amp;ROUNDUP(MONTH(G19)/3,0))*(地价!B2:F2=E2)*(地价!B4:F33)),0)</f>
        <v>0</v>
      </c>
      <c r="N20" s="2205" t="s">
        <v>2596</v>
      </c>
      <c r="O20" s="2206" t="s">
        <v>2597</v>
      </c>
      <c r="P20" s="2207" t="s">
        <v>2598</v>
      </c>
      <c r="Q20" s="3050"/>
      <c r="R20" s="3048"/>
      <c r="S20" s="3048"/>
      <c r="T20" s="3048"/>
      <c r="U20" s="3048"/>
      <c r="V20" s="3048"/>
      <c r="W20" s="3048"/>
      <c r="X20" s="1623"/>
      <c r="Y20" s="1623"/>
      <c r="Z20" s="1623"/>
      <c r="AA20" s="1623"/>
      <c r="AB20" s="1623"/>
      <c r="AC20" s="1623"/>
      <c r="AD20" s="1623"/>
      <c r="AE20" s="2186"/>
      <c r="AF20" s="2186"/>
    </row>
    <row r="21" spans="1:35" s="2123" customFormat="1" ht="14.25">
      <c r="A21" s="2208" t="s">
        <v>2599</v>
      </c>
      <c r="B21" s="1615" t="s">
        <v>2600</v>
      </c>
      <c r="C21" s="2209">
        <f>IF(B21="容积率修正",IF(G3&lt;=10,D22,J22),C23)</f>
        <v>0</v>
      </c>
      <c r="D21" s="2210"/>
      <c r="E21" s="2210"/>
      <c r="F21" s="2210"/>
      <c r="G21" s="2210"/>
      <c r="H21" s="2210"/>
      <c r="I21" s="2210"/>
      <c r="J21" s="2075"/>
      <c r="K21" s="3050"/>
      <c r="L21" s="3050"/>
      <c r="M21" s="3050"/>
      <c r="N21" s="2211" t="s">
        <v>2601</v>
      </c>
      <c r="O21" s="2212"/>
      <c r="P21" s="2213">
        <f>SUMPRODUCT((地价!A3:A33=YEAR(G19)&amp;"-"&amp;ROUNDUP(MONTH(G19)/3,0))*(地价!AD2:AH2=N21)*(地价!AD3:AH33))</f>
        <v>0</v>
      </c>
      <c r="Q21" s="3050"/>
      <c r="R21" s="3048"/>
      <c r="S21" s="3048"/>
      <c r="T21" s="3048"/>
      <c r="U21" s="3048"/>
      <c r="V21" s="3048"/>
      <c r="W21" s="3048"/>
      <c r="X21" s="1623"/>
      <c r="Y21" s="1623"/>
      <c r="Z21" s="1623"/>
      <c r="AA21" s="1623"/>
      <c r="AB21" s="1623"/>
      <c r="AC21" s="1623"/>
      <c r="AD21" s="1623"/>
      <c r="AE21" s="2186"/>
      <c r="AF21" s="2186"/>
    </row>
    <row r="22" spans="1:35" s="2123" customFormat="1" ht="14.25">
      <c r="A22" s="2071">
        <v>1</v>
      </c>
      <c r="B22" s="2070" t="s">
        <v>2602</v>
      </c>
      <c r="C22" s="2070" t="s">
        <v>2603</v>
      </c>
      <c r="D22" s="2070">
        <f>IF(E22=G22,F22,IF(G3&lt;=10,ROUND(F22+(H22-F22)*(G3-E22)/(G22-E22),4),"——"))</f>
        <v>0</v>
      </c>
      <c r="E22" s="2114">
        <f>ROUNDDOWN(G3,1)</f>
        <v>2</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4">
        <f>ROUNDUP(G3,1)</f>
        <v>2</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0" t="s">
        <v>104</v>
      </c>
      <c r="J22" s="2214" t="str">
        <f>IF(G3&gt;10,D113,"——")</f>
        <v>——</v>
      </c>
      <c r="K22" s="3050"/>
      <c r="L22" s="3050"/>
      <c r="M22" s="3050"/>
      <c r="N22" s="2211" t="s">
        <v>2604</v>
      </c>
      <c r="O22" s="2212"/>
      <c r="P22" s="2213">
        <f>SUMPRODUCT((地价!A3:A33=YEAR(G19)&amp;"-"&amp;ROUNDUP(MONTH(G19)/3,0))*(地价!AD2:AH2=N22)*(地价!AD3:AH33))</f>
        <v>0</v>
      </c>
      <c r="Q22" s="3050"/>
      <c r="R22" s="3048"/>
      <c r="S22" s="3048"/>
      <c r="T22" s="3048"/>
      <c r="U22" s="3048"/>
      <c r="V22" s="3048"/>
      <c r="W22" s="3048"/>
      <c r="X22" s="1623"/>
      <c r="Y22" s="1623"/>
      <c r="Z22" s="1623"/>
      <c r="AA22" s="1623"/>
      <c r="AB22" s="1623"/>
      <c r="AC22" s="1623"/>
      <c r="AD22" s="1623"/>
      <c r="AE22" s="2186"/>
      <c r="AF22" s="2186"/>
    </row>
    <row r="23" spans="1:35" ht="27">
      <c r="A23" s="2071">
        <v>2</v>
      </c>
      <c r="B23" s="2070" t="s">
        <v>2605</v>
      </c>
      <c r="C23" s="2215">
        <f>ROUND(IF(G3&gt;1,IF(I3&lt;7,SUMPRODUCT((B93:B98=I3)*(C92:N92=G2)*(C93:N98)),SUMIF(C92:N92,G2,C100:N100)),IF(I3&lt;7,SUMPRODUCT((B102:B107=I3)*(C92:N92=G2)*(C102:N107)),SUMIF(C92:N92,G2,C109:N109))),4)</f>
        <v>0</v>
      </c>
      <c r="D23" s="2167"/>
      <c r="E23" s="2167"/>
      <c r="F23" s="2216"/>
      <c r="G23" s="2217"/>
      <c r="H23" s="1620"/>
      <c r="I23" s="2070"/>
      <c r="J23" s="2214"/>
      <c r="K23" s="3048"/>
      <c r="L23" s="3048"/>
      <c r="M23" s="3048"/>
      <c r="N23" s="2211" t="s">
        <v>2606</v>
      </c>
      <c r="O23" s="2212"/>
      <c r="P23" s="2213">
        <f>SUMPRODUCT((地价!A3:A33=YEAR(G19)&amp;"-"&amp;ROUNDUP(MONTH(G19)/3,0))*(地价!AD2:AH2=N23)*(地价!AD3:AH33))</f>
        <v>0</v>
      </c>
      <c r="Q23" s="3048"/>
      <c r="R23" s="3048"/>
      <c r="S23" s="3048"/>
      <c r="T23" s="3048"/>
      <c r="U23" s="3048"/>
      <c r="V23" s="3048"/>
      <c r="W23" s="3048"/>
      <c r="X23" s="1623"/>
      <c r="Y23" s="1623"/>
      <c r="Z23" s="1623"/>
      <c r="AA23" s="1623"/>
      <c r="AB23" s="1623"/>
      <c r="AC23" s="1623"/>
      <c r="AD23" s="1623"/>
      <c r="AE23" s="1623"/>
      <c r="AF23" s="1623"/>
    </row>
    <row r="24" spans="1:35" s="2123" customFormat="1" ht="15.75" thickBot="1">
      <c r="A24" s="2218" t="s">
        <v>2607</v>
      </c>
      <c r="B24" s="1617" t="s">
        <v>2608</v>
      </c>
      <c r="C24" s="2219">
        <f>SUMIF(A46:A88,E2,B46:B88)</f>
        <v>1</v>
      </c>
      <c r="D24" s="2220"/>
      <c r="E24" s="2221"/>
      <c r="F24" s="2221"/>
      <c r="G24" s="2221"/>
      <c r="H24" s="2221"/>
      <c r="I24" s="2221"/>
      <c r="J24" s="2222"/>
      <c r="K24" s="3050"/>
      <c r="L24" s="3050"/>
      <c r="M24" s="3050"/>
      <c r="N24" s="2223" t="s">
        <v>2609</v>
      </c>
      <c r="O24" s="2224"/>
      <c r="P24" s="2225">
        <f>SUMPRODUCT((地价!A3:A33=YEAR(G19)&amp;"-"&amp;ROUNDUP(MONTH(G19)/3,0))*(地价!AD2:AH2=N24)*(地价!AD3:AH33))</f>
        <v>0</v>
      </c>
      <c r="Q24" s="3050"/>
      <c r="R24" s="3048"/>
      <c r="S24" s="3048"/>
      <c r="T24" s="3048"/>
      <c r="U24" s="3048"/>
      <c r="V24" s="3048"/>
      <c r="W24" s="3048"/>
      <c r="X24" s="1623"/>
      <c r="Y24" s="1623"/>
      <c r="Z24" s="1623"/>
      <c r="AA24" s="1623"/>
      <c r="AB24" s="1623"/>
      <c r="AC24" s="1623"/>
      <c r="AD24" s="1623"/>
      <c r="AE24" s="2186"/>
      <c r="AF24" s="2186"/>
    </row>
    <row r="25" spans="1:35" ht="15" thickBot="1">
      <c r="A25" s="1717" t="s">
        <v>2610</v>
      </c>
      <c r="B25" s="1618" t="s">
        <v>2611</v>
      </c>
      <c r="C25" s="2226"/>
      <c r="D25" s="2132"/>
      <c r="E25" s="2132"/>
      <c r="F25" s="2227"/>
      <c r="G25" s="2132"/>
      <c r="H25" s="2132"/>
      <c r="I25" s="2132"/>
      <c r="J25" s="2133"/>
      <c r="K25" s="3048"/>
      <c r="L25" s="3048"/>
      <c r="M25" s="3048"/>
      <c r="N25" s="3051" t="s">
        <v>2612</v>
      </c>
      <c r="O25" s="3052"/>
      <c r="P25" s="3053">
        <f>SUMPRODUCT((地价!A3:A33=YEAR(G19)&amp;"-"&amp;ROUNDUP(MONTH(G19)/3,0))*(地价!AD2:AH2=N25)*(地价!AD3:AH33))</f>
        <v>0</v>
      </c>
      <c r="Q25" s="3048"/>
      <c r="R25" s="3048"/>
      <c r="S25" s="3048"/>
      <c r="T25" s="3048"/>
      <c r="U25" s="3048"/>
      <c r="V25" s="3048"/>
      <c r="W25" s="3048"/>
      <c r="X25" s="1623"/>
      <c r="Y25" s="1623"/>
      <c r="Z25" s="1623"/>
      <c r="AA25" s="1623"/>
      <c r="AB25" s="1623"/>
      <c r="AC25" s="1623"/>
      <c r="AD25" s="1623"/>
      <c r="AE25" s="1623"/>
      <c r="AF25" s="1623"/>
    </row>
    <row r="26" spans="1:35" ht="15">
      <c r="A26" s="1702"/>
      <c r="B26" s="2070" t="s">
        <v>2613</v>
      </c>
      <c r="C26" s="2888">
        <f ca="1">IF(B21="容积率修正",E29+SUM(E33:E39),SUM(V2:V16)+SUM(E33:E39))</f>
        <v>0</v>
      </c>
      <c r="D26" s="2228"/>
      <c r="E26" s="2167"/>
      <c r="F26" s="1478"/>
      <c r="G26" s="2167"/>
      <c r="H26" s="2167"/>
      <c r="I26" s="2167"/>
      <c r="J26" s="2229"/>
      <c r="K26" s="3048"/>
      <c r="L26" s="3054" t="s">
        <v>2572</v>
      </c>
      <c r="M26" s="2130" t="s">
        <v>2573</v>
      </c>
      <c r="N26" s="2130" t="s">
        <v>2574</v>
      </c>
      <c r="O26" s="2130" t="s">
        <v>2575</v>
      </c>
      <c r="P26" s="3055" t="s">
        <v>2576</v>
      </c>
      <c r="Q26" s="3048"/>
      <c r="R26" s="3048"/>
      <c r="S26" s="3048"/>
      <c r="T26" s="3048"/>
      <c r="U26" s="3048"/>
      <c r="V26" s="3048"/>
      <c r="W26" s="3048"/>
      <c r="X26" s="1623"/>
      <c r="Y26" s="1623"/>
      <c r="Z26" s="1623"/>
      <c r="AA26" s="1623"/>
      <c r="AB26" s="1623"/>
      <c r="AC26" s="1623"/>
      <c r="AD26" s="1623"/>
      <c r="AE26" s="1623"/>
      <c r="AF26" s="1623"/>
    </row>
    <row r="27" spans="1:35" ht="15.75" thickBot="1">
      <c r="A27" s="1702"/>
      <c r="B27" s="1619" t="s">
        <v>2614</v>
      </c>
      <c r="C27" s="2230">
        <f ca="1">E30+SUM(I33:I39)</f>
        <v>0</v>
      </c>
      <c r="D27" s="2179"/>
      <c r="E27" s="2231"/>
      <c r="F27" s="2232"/>
      <c r="G27" s="2231"/>
      <c r="H27" s="2231"/>
      <c r="I27" s="2231"/>
      <c r="J27" s="2233"/>
      <c r="K27" s="3048"/>
      <c r="L27" s="2234" t="s">
        <v>2579</v>
      </c>
      <c r="M27" s="2143">
        <v>0.25</v>
      </c>
      <c r="N27" s="2143">
        <v>0.2</v>
      </c>
      <c r="O27" s="2143">
        <v>0.15</v>
      </c>
      <c r="P27" s="2235">
        <v>0.1</v>
      </c>
      <c r="Q27" s="3048"/>
      <c r="R27" s="3048"/>
      <c r="S27" s="3048"/>
      <c r="T27" s="3048"/>
      <c r="U27" s="3048"/>
      <c r="V27" s="3048"/>
      <c r="W27" s="3048"/>
      <c r="X27" s="1623"/>
      <c r="Y27" s="1623"/>
      <c r="Z27" s="1623"/>
      <c r="AA27" s="1623"/>
      <c r="AB27" s="1623"/>
      <c r="AC27" s="1623"/>
      <c r="AD27" s="1623"/>
      <c r="AE27" s="1623"/>
      <c r="AF27" s="1623"/>
    </row>
    <row r="28" spans="1:35" ht="15.75" thickBot="1">
      <c r="A28" s="1717"/>
      <c r="B28" s="2236" t="s">
        <v>2615</v>
      </c>
      <c r="C28" s="2237" t="s">
        <v>2616</v>
      </c>
      <c r="D28" s="2237" t="s">
        <v>2617</v>
      </c>
      <c r="E28" s="1618" t="s">
        <v>2618</v>
      </c>
      <c r="F28" s="2238"/>
      <c r="G28" s="2154"/>
      <c r="H28" s="2154"/>
      <c r="I28" s="2154"/>
      <c r="J28" s="2155"/>
      <c r="K28" s="3048"/>
      <c r="L28" s="2239" t="s">
        <v>2582</v>
      </c>
      <c r="M28" s="2240">
        <f ca="1">ROUND($E$20*(1+M27),3)</f>
        <v>7.6999999999999999E-2</v>
      </c>
      <c r="N28" s="2240">
        <f ca="1">ROUND($E$20*(1+N27),3)</f>
        <v>7.2999999999999995E-2</v>
      </c>
      <c r="O28" s="2240">
        <f ca="1">ROUND($E$20*(1+O27),3)</f>
        <v>7.0000000000000007E-2</v>
      </c>
      <c r="P28" s="2158">
        <f ca="1">ROUND($E$20*(1+P27),3)</f>
        <v>6.7000000000000004E-2</v>
      </c>
      <c r="Q28" s="3048"/>
      <c r="R28" s="3048"/>
      <c r="S28" s="3048"/>
      <c r="T28" s="3048"/>
      <c r="U28" s="3048"/>
      <c r="V28" s="3048"/>
      <c r="W28" s="3048"/>
      <c r="X28" s="1623"/>
      <c r="Y28" s="1623"/>
      <c r="Z28" s="1623"/>
      <c r="AA28" s="1623"/>
      <c r="AB28" s="1623"/>
      <c r="AC28" s="1623"/>
      <c r="AD28" s="1623"/>
      <c r="AE28" s="1623"/>
      <c r="AF28" s="1623"/>
    </row>
    <row r="29" spans="1:35">
      <c r="A29" s="2241"/>
      <c r="B29" s="1620" t="s">
        <v>2619</v>
      </c>
      <c r="C29" s="54">
        <f ca="1">ROUND(C5*C18*C19*C20*C21*C24,0)</f>
        <v>0</v>
      </c>
      <c r="D29" s="2242">
        <f>项目基本情况!C12</f>
        <v>64.19</v>
      </c>
      <c r="E29" s="2029">
        <f ca="1">ROUND(C29*D29,0)</f>
        <v>0</v>
      </c>
      <c r="F29" s="2243" t="s">
        <v>2620</v>
      </c>
      <c r="G29" s="2244"/>
      <c r="H29" s="2244"/>
      <c r="I29" s="2244"/>
      <c r="J29" s="2245"/>
      <c r="K29" s="3048"/>
      <c r="L29" s="3048"/>
      <c r="M29" s="3048"/>
      <c r="N29" s="3048"/>
      <c r="O29" s="3048"/>
      <c r="P29" s="3048"/>
      <c r="Q29" s="3048"/>
      <c r="R29" s="3048"/>
      <c r="S29" s="3048"/>
      <c r="T29" s="3048"/>
      <c r="U29" s="3048"/>
      <c r="V29" s="3048"/>
      <c r="W29" s="3048"/>
      <c r="X29" s="1623"/>
      <c r="Y29" s="1623"/>
      <c r="Z29" s="1623"/>
      <c r="AA29" s="1623"/>
      <c r="AB29" s="1623"/>
      <c r="AC29" s="1623"/>
      <c r="AD29" s="1623"/>
      <c r="AE29" s="1623"/>
      <c r="AF29" s="1623"/>
    </row>
    <row r="30" spans="1:35" ht="25.5" thickBot="1">
      <c r="A30" s="2246"/>
      <c r="B30" s="1621" t="s">
        <v>2621</v>
      </c>
      <c r="C30" s="2170">
        <f ca="1">ROUND(IF(E2="工业",C29*M39,C29*M38),0)</f>
        <v>0</v>
      </c>
      <c r="D30" s="2247"/>
      <c r="E30" s="2029">
        <f ca="1">ROUND(C30*D30,0)</f>
        <v>0</v>
      </c>
      <c r="F30" s="2248" t="s">
        <v>2622</v>
      </c>
      <c r="G30" s="2249"/>
      <c r="H30" s="2249"/>
      <c r="I30" s="2249"/>
      <c r="J30" s="2250"/>
      <c r="K30" s="3048"/>
      <c r="L30" s="3048"/>
      <c r="M30" s="3048"/>
      <c r="N30" s="3048"/>
      <c r="O30" s="3048"/>
      <c r="P30" s="3048"/>
      <c r="Q30" s="3048"/>
      <c r="R30" s="3048"/>
      <c r="S30" s="3048"/>
      <c r="T30" s="3048"/>
      <c r="U30" s="3048"/>
      <c r="V30" s="3048"/>
      <c r="W30" s="3048"/>
      <c r="X30" s="1623"/>
      <c r="Y30" s="1623"/>
      <c r="Z30" s="1623"/>
      <c r="AA30" s="1623"/>
      <c r="AB30" s="1623"/>
      <c r="AC30" s="1623"/>
      <c r="AD30" s="1623"/>
      <c r="AE30" s="1623"/>
      <c r="AF30" s="1623"/>
    </row>
    <row r="31" spans="1:35">
      <c r="A31" s="2251"/>
      <c r="B31" s="1622" t="s">
        <v>2623</v>
      </c>
      <c r="C31" s="2252" t="s">
        <v>2624</v>
      </c>
      <c r="D31" s="2154"/>
      <c r="E31" s="2252"/>
      <c r="F31" s="2252"/>
      <c r="G31" s="2153" t="s">
        <v>2625</v>
      </c>
      <c r="H31" s="2154"/>
      <c r="I31" s="2253"/>
      <c r="J31" s="2155"/>
      <c r="K31" s="3048"/>
      <c r="L31" s="3048"/>
      <c r="M31" s="3048"/>
      <c r="N31" s="3048"/>
      <c r="O31" s="3048"/>
      <c r="P31" s="3048"/>
      <c r="Q31" s="3048"/>
      <c r="R31" s="3048"/>
      <c r="S31" s="3048"/>
      <c r="T31" s="3048"/>
      <c r="U31" s="3048"/>
      <c r="V31" s="3048"/>
      <c r="W31" s="3048"/>
      <c r="X31" s="1623"/>
      <c r="Y31" s="1623"/>
      <c r="Z31" s="1623"/>
      <c r="AA31" s="1623"/>
      <c r="AB31" s="1623"/>
      <c r="AC31" s="1623"/>
      <c r="AD31" s="1623"/>
      <c r="AE31" s="1623"/>
      <c r="AF31" s="1623"/>
    </row>
    <row r="32" spans="1:35" ht="24">
      <c r="A32" s="2241"/>
      <c r="B32" s="2254"/>
      <c r="C32" s="1809" t="s">
        <v>2616</v>
      </c>
      <c r="D32" s="1806" t="s">
        <v>2617</v>
      </c>
      <c r="E32" s="1806" t="s">
        <v>2618</v>
      </c>
      <c r="F32" s="50" t="s">
        <v>2626</v>
      </c>
      <c r="G32" s="2215" t="s">
        <v>2616</v>
      </c>
      <c r="H32" s="2215" t="s">
        <v>2617</v>
      </c>
      <c r="I32" s="2215" t="s">
        <v>2618</v>
      </c>
      <c r="J32" s="2067"/>
      <c r="K32" s="3048"/>
      <c r="L32" s="3048"/>
      <c r="M32" s="3048"/>
      <c r="N32" s="3048"/>
      <c r="O32" s="3048"/>
      <c r="P32" s="3048"/>
      <c r="Q32" s="3048"/>
      <c r="R32" s="3048"/>
      <c r="S32" s="3048"/>
      <c r="T32" s="3048"/>
      <c r="U32" s="3048"/>
      <c r="V32" s="3048"/>
      <c r="W32" s="3048"/>
      <c r="X32" s="1623"/>
      <c r="Y32" s="1623"/>
      <c r="Z32" s="1623"/>
      <c r="AA32" s="1623"/>
      <c r="AB32" s="1623"/>
      <c r="AC32" s="1623"/>
      <c r="AD32" s="1623"/>
      <c r="AE32" s="1623"/>
      <c r="AF32" s="1623"/>
    </row>
    <row r="33" spans="1:33">
      <c r="A33" s="3751" t="s">
        <v>2627</v>
      </c>
      <c r="B33" s="2255" t="s">
        <v>2628</v>
      </c>
      <c r="C33" s="54">
        <f ca="1">ROUND(D5*C19*C20*C24*F33,0)</f>
        <v>0</v>
      </c>
      <c r="D33" s="2242"/>
      <c r="E33" s="50">
        <f t="shared" ref="E33:E39" ca="1" si="6">ROUND(C33*D33,0)</f>
        <v>0</v>
      </c>
      <c r="F33" s="50">
        <f>SUMIF(修正!A45:A56,G2,修正!B45:B56)</f>
        <v>0</v>
      </c>
      <c r="G33" s="50">
        <f t="shared" ref="G33" ca="1" si="7">ROUND(IF(E2="工业",C33*$M$39,C33*$M$38),0)</f>
        <v>0</v>
      </c>
      <c r="H33" s="50">
        <f>D33</f>
        <v>0</v>
      </c>
      <c r="I33" s="50">
        <f t="shared" ref="I33:I39" ca="1" si="8">ROUND(G33*H33,0)</f>
        <v>0</v>
      </c>
      <c r="J33" s="2229"/>
      <c r="K33" s="3048"/>
      <c r="L33" s="3048"/>
      <c r="M33" s="3048"/>
      <c r="N33" s="3048"/>
      <c r="O33" s="3048"/>
      <c r="P33" s="3048"/>
      <c r="Q33" s="3048"/>
      <c r="R33" s="3048"/>
      <c r="S33" s="3048"/>
      <c r="T33" s="3048"/>
      <c r="U33" s="3048"/>
      <c r="V33" s="3048"/>
      <c r="W33" s="3048"/>
      <c r="X33" s="1623"/>
      <c r="Y33" s="1623"/>
      <c r="Z33" s="1623"/>
      <c r="AA33" s="1623"/>
      <c r="AB33" s="1623"/>
      <c r="AC33" s="1623"/>
      <c r="AD33" s="1623"/>
      <c r="AE33" s="1623"/>
      <c r="AF33" s="1623"/>
    </row>
    <row r="34" spans="1:33">
      <c r="A34" s="3752"/>
      <c r="B34" s="2160" t="s">
        <v>2629</v>
      </c>
      <c r="C34" s="54">
        <f ca="1">ROUND(D5*C19*C20*C24*F34,0)</f>
        <v>0</v>
      </c>
      <c r="D34" s="2242"/>
      <c r="E34" s="50">
        <f t="shared" ca="1" si="6"/>
        <v>0</v>
      </c>
      <c r="F34" s="50">
        <f>SUMIF(修正!A45:A56,G2,修正!C45:C56)</f>
        <v>0</v>
      </c>
      <c r="G34" s="50">
        <f ca="1">ROUND(IF(E2="工业",C34*$M$39,C34*$M$38),0)</f>
        <v>0</v>
      </c>
      <c r="H34" s="50">
        <f t="shared" ref="H34:H39" si="9">D34</f>
        <v>0</v>
      </c>
      <c r="I34" s="50">
        <f t="shared" ca="1" si="8"/>
        <v>0</v>
      </c>
      <c r="J34" s="2229"/>
      <c r="K34" s="3048"/>
      <c r="L34" s="3048"/>
      <c r="M34" s="3048"/>
      <c r="N34" s="3048"/>
      <c r="O34" s="3048"/>
      <c r="P34" s="3048"/>
      <c r="Q34" s="3048"/>
      <c r="R34" s="3048"/>
      <c r="S34" s="3048"/>
      <c r="T34" s="3048"/>
      <c r="U34" s="3048"/>
      <c r="V34" s="3048"/>
      <c r="W34" s="3048"/>
      <c r="X34" s="1623"/>
      <c r="Y34" s="1623"/>
      <c r="Z34" s="1623"/>
      <c r="AA34" s="1623"/>
      <c r="AB34" s="1623"/>
      <c r="AC34" s="1623"/>
      <c r="AD34" s="1623"/>
      <c r="AE34" s="1623"/>
      <c r="AF34" s="1623"/>
    </row>
    <row r="35" spans="1:33">
      <c r="A35" s="3752"/>
      <c r="B35" s="2160" t="s">
        <v>2630</v>
      </c>
      <c r="C35" s="54">
        <f ca="1">ROUND(D5*C19*C20*C24*F35,0)</f>
        <v>0</v>
      </c>
      <c r="D35" s="2242"/>
      <c r="E35" s="50">
        <f t="shared" ca="1" si="6"/>
        <v>0</v>
      </c>
      <c r="F35" s="50">
        <f>SUMIF(修正!A45:A56,G2,修正!D45:D56)</f>
        <v>0</v>
      </c>
      <c r="G35" s="50">
        <f ca="1">ROUND(IF(E2="工业",C35*$M$39,C35*$M$38),0)</f>
        <v>0</v>
      </c>
      <c r="H35" s="50">
        <f t="shared" si="9"/>
        <v>0</v>
      </c>
      <c r="I35" s="50">
        <f t="shared" ca="1" si="8"/>
        <v>0</v>
      </c>
      <c r="J35" s="2229"/>
      <c r="K35" s="3048"/>
      <c r="L35" s="3048"/>
      <c r="M35" s="3048"/>
      <c r="N35" s="3048"/>
      <c r="O35" s="3048"/>
      <c r="P35" s="3048"/>
      <c r="Q35" s="3048"/>
      <c r="R35" s="3048"/>
      <c r="S35" s="3048"/>
      <c r="T35" s="3048"/>
      <c r="U35" s="3048"/>
      <c r="V35" s="3048"/>
      <c r="W35" s="3048"/>
      <c r="X35" s="1623"/>
      <c r="Y35" s="1623"/>
      <c r="Z35" s="1623"/>
      <c r="AA35" s="1623"/>
      <c r="AB35" s="1623"/>
      <c r="AC35" s="1623"/>
      <c r="AD35" s="1623"/>
      <c r="AE35" s="1623"/>
      <c r="AF35" s="1623"/>
    </row>
    <row r="36" spans="1:33" ht="13.5" thickBot="1">
      <c r="A36" s="3753"/>
      <c r="B36" s="2160" t="s">
        <v>2631</v>
      </c>
      <c r="C36" s="54">
        <f ca="1">ROUND(D5*C19*C20*C24*F36,0)</f>
        <v>0</v>
      </c>
      <c r="D36" s="2242"/>
      <c r="E36" s="50">
        <f t="shared" ca="1" si="6"/>
        <v>0</v>
      </c>
      <c r="F36" s="50">
        <f>SUMIF(修正!A45:A56,G2,修正!E45:E56)</f>
        <v>0</v>
      </c>
      <c r="G36" s="50">
        <f ca="1">ROUND(IF(E2="工业",C36*$M$39,C36*$M$38),0)</f>
        <v>0</v>
      </c>
      <c r="H36" s="50">
        <f t="shared" si="9"/>
        <v>0</v>
      </c>
      <c r="I36" s="50">
        <f t="shared" ca="1" si="8"/>
        <v>0</v>
      </c>
      <c r="J36" s="2229"/>
      <c r="K36" s="3048"/>
      <c r="L36" s="3048"/>
      <c r="M36" s="3048"/>
      <c r="N36" s="3048"/>
      <c r="O36" s="3048"/>
      <c r="P36" s="3048"/>
      <c r="Q36" s="3048"/>
      <c r="R36" s="3048"/>
      <c r="S36" s="3048"/>
      <c r="T36" s="3048"/>
      <c r="U36" s="3048"/>
      <c r="V36" s="3048"/>
      <c r="W36" s="3048"/>
      <c r="X36" s="1623"/>
      <c r="Y36" s="1623"/>
      <c r="Z36" s="1623"/>
      <c r="AA36" s="1623"/>
      <c r="AB36" s="1623"/>
      <c r="AC36" s="1623"/>
      <c r="AD36" s="1623"/>
      <c r="AE36" s="1623"/>
      <c r="AF36" s="1623"/>
    </row>
    <row r="37" spans="1:33">
      <c r="A37" s="2256"/>
      <c r="B37" s="2160" t="s">
        <v>2632</v>
      </c>
      <c r="C37" s="50">
        <f ca="1">ROUND(D5*C19*C20*C24*F37,0)</f>
        <v>0</v>
      </c>
      <c r="D37" s="2242"/>
      <c r="E37" s="50">
        <f t="shared" ca="1" si="6"/>
        <v>0</v>
      </c>
      <c r="F37" s="54">
        <f>SUMIF(修正!A45:A56,G2,修正!F45:F56)</f>
        <v>0</v>
      </c>
      <c r="G37" s="50">
        <f ca="1">ROUND(IF(E2="工业",C37*$M$39,C37*$M$38),0)</f>
        <v>0</v>
      </c>
      <c r="H37" s="50">
        <f t="shared" si="9"/>
        <v>0</v>
      </c>
      <c r="I37" s="50">
        <f t="shared" ca="1" si="8"/>
        <v>0</v>
      </c>
      <c r="J37" s="2229"/>
      <c r="K37" s="3048"/>
      <c r="L37" s="2257" t="s">
        <v>2633</v>
      </c>
      <c r="M37" s="2133"/>
      <c r="N37" s="3048"/>
      <c r="O37" s="3048"/>
      <c r="P37" s="3048"/>
      <c r="Q37" s="3048"/>
      <c r="R37" s="3048"/>
      <c r="S37" s="3048"/>
      <c r="T37" s="3048"/>
      <c r="U37" s="3048"/>
      <c r="V37" s="3048"/>
      <c r="W37" s="3048"/>
      <c r="X37" s="1623"/>
      <c r="Y37" s="1623"/>
      <c r="Z37" s="1623"/>
      <c r="AA37" s="1623"/>
      <c r="AB37" s="1623"/>
      <c r="AC37" s="1623"/>
      <c r="AD37" s="1623"/>
      <c r="AE37" s="1623"/>
      <c r="AF37" s="1623"/>
    </row>
    <row r="38" spans="1:33">
      <c r="A38" s="2256"/>
      <c r="B38" s="2160" t="s">
        <v>2634</v>
      </c>
      <c r="C38" s="50">
        <f ca="1">ROUND(D5*C19*C41*C24*F38,0)</f>
        <v>0</v>
      </c>
      <c r="D38" s="2242"/>
      <c r="E38" s="50">
        <f t="shared" ca="1" si="6"/>
        <v>0</v>
      </c>
      <c r="F38" s="54">
        <f>SUMIF(修正!A45:A56,G2,修正!G45:G56)</f>
        <v>0</v>
      </c>
      <c r="G38" s="50">
        <f ca="1">ROUND(IF(E2="工业",C38*$M$39,C38*$M$38),0)</f>
        <v>0</v>
      </c>
      <c r="H38" s="50">
        <f t="shared" si="9"/>
        <v>0</v>
      </c>
      <c r="I38" s="50">
        <f t="shared" ca="1" si="8"/>
        <v>0</v>
      </c>
      <c r="J38" s="2229"/>
      <c r="K38" s="3048"/>
      <c r="L38" s="2258" t="s">
        <v>2635</v>
      </c>
      <c r="M38" s="2259">
        <v>0.25</v>
      </c>
      <c r="N38" s="3048"/>
      <c r="O38" s="3048"/>
      <c r="P38" s="3048"/>
      <c r="Q38" s="3048"/>
      <c r="R38" s="3048"/>
      <c r="S38" s="3048"/>
      <c r="T38" s="3048"/>
      <c r="U38" s="3048"/>
      <c r="V38" s="3048"/>
      <c r="W38" s="3048"/>
      <c r="X38" s="1623"/>
      <c r="Y38" s="1623"/>
      <c r="Z38" s="1623"/>
      <c r="AA38" s="1623"/>
      <c r="AB38" s="1623"/>
      <c r="AC38" s="1623"/>
      <c r="AD38" s="1623"/>
      <c r="AE38" s="1623"/>
      <c r="AF38" s="1623"/>
    </row>
    <row r="39" spans="1:33" ht="13.5" thickBot="1">
      <c r="A39" s="2246"/>
      <c r="B39" s="2260" t="s">
        <v>2636</v>
      </c>
      <c r="C39" s="2170">
        <f ca="1">ROUND(D5*C19*C41*C24*F39,0)</f>
        <v>0</v>
      </c>
      <c r="D39" s="2247"/>
      <c r="E39" s="2170">
        <f t="shared" ca="1" si="6"/>
        <v>0</v>
      </c>
      <c r="F39" s="56">
        <f>SUMIF(修正!A45:A56,G2,修正!H45:H56)</f>
        <v>0</v>
      </c>
      <c r="G39" s="2170">
        <f ca="1">ROUND(IF(E2="工业",C39*$M$39,C39*$M$38),0)</f>
        <v>0</v>
      </c>
      <c r="H39" s="2170">
        <f t="shared" si="9"/>
        <v>0</v>
      </c>
      <c r="I39" s="2170">
        <f t="shared" ca="1" si="8"/>
        <v>0</v>
      </c>
      <c r="J39" s="2233"/>
      <c r="K39" s="3048"/>
      <c r="L39" s="2261" t="s">
        <v>2576</v>
      </c>
      <c r="M39" s="2262">
        <v>0.15</v>
      </c>
      <c r="N39" s="3048"/>
      <c r="O39" s="3048"/>
      <c r="P39" s="3048"/>
      <c r="Q39" s="3048"/>
      <c r="R39" s="3048"/>
      <c r="S39" s="3048"/>
      <c r="T39" s="3048"/>
      <c r="U39" s="3048"/>
      <c r="V39" s="3048"/>
      <c r="W39" s="3048"/>
      <c r="X39" s="1623"/>
      <c r="Y39" s="1623"/>
      <c r="Z39" s="1623"/>
      <c r="AA39" s="1623"/>
      <c r="AB39" s="1623"/>
      <c r="AC39" s="1623"/>
      <c r="AD39" s="1623"/>
      <c r="AE39" s="1623"/>
      <c r="AF39" s="1623"/>
    </row>
    <row r="40" spans="1:33" s="2263" customFormat="1">
      <c r="A40" s="1623"/>
      <c r="B40" s="1623"/>
      <c r="C40" s="1623"/>
      <c r="D40" s="1623"/>
      <c r="E40" s="1623"/>
      <c r="F40" s="1623"/>
      <c r="G40" s="1623"/>
      <c r="H40" s="1623"/>
      <c r="I40" s="1623"/>
      <c r="J40" s="1623"/>
      <c r="K40" s="3048"/>
      <c r="L40" s="3048"/>
      <c r="M40" s="3048"/>
      <c r="N40" s="3048"/>
      <c r="O40" s="3048"/>
      <c r="P40" s="3048"/>
      <c r="Q40" s="3048"/>
      <c r="R40" s="3048"/>
      <c r="S40" s="3048"/>
      <c r="T40" s="3048"/>
      <c r="U40" s="3048"/>
      <c r="V40" s="3048"/>
      <c r="W40" s="3048"/>
      <c r="X40" s="1623"/>
      <c r="Y40" s="1623"/>
      <c r="Z40" s="1623"/>
      <c r="AA40" s="1623"/>
      <c r="AB40" s="1623"/>
      <c r="AC40" s="1623"/>
      <c r="AD40" s="1623"/>
      <c r="AE40" s="1623"/>
      <c r="AF40" s="1623"/>
    </row>
    <row r="41" spans="1:33" s="2263" customFormat="1">
      <c r="A41" s="1623"/>
      <c r="B41" s="2264" t="s">
        <v>2716</v>
      </c>
      <c r="C41" s="50">
        <f ca="1">ROUND(POWER(1+E41,H41-G41)*(POWER(1+E41,G41)-1)/(POWER(1+E41,H41)-1),4)</f>
        <v>0</v>
      </c>
      <c r="D41" s="50" t="s">
        <v>2714</v>
      </c>
      <c r="E41" s="2265">
        <f ca="1">G20</f>
        <v>7.0000000000000007E-2</v>
      </c>
      <c r="F41" s="50" t="s">
        <v>2715</v>
      </c>
      <c r="G41" s="2266"/>
      <c r="H41" s="50">
        <v>50</v>
      </c>
      <c r="I41" s="1623"/>
      <c r="J41" s="1623"/>
      <c r="K41" s="3048"/>
      <c r="L41" s="3048"/>
      <c r="M41" s="3048"/>
      <c r="N41" s="3048"/>
      <c r="O41" s="3048"/>
      <c r="P41" s="3048"/>
      <c r="Q41" s="3048"/>
      <c r="R41" s="3048"/>
      <c r="S41" s="3048"/>
      <c r="T41" s="3048"/>
      <c r="U41" s="3048"/>
      <c r="V41" s="3048"/>
      <c r="W41" s="3048"/>
      <c r="X41" s="1623"/>
      <c r="Y41" s="1623"/>
      <c r="Z41" s="1623"/>
      <c r="AA41" s="1623"/>
      <c r="AB41" s="1623"/>
      <c r="AC41" s="1623"/>
      <c r="AD41" s="1623"/>
      <c r="AE41" s="1623"/>
      <c r="AF41" s="1623"/>
    </row>
    <row r="42" spans="1:33" s="2263"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3"/>
      <c r="Y42" s="1623"/>
      <c r="Z42" s="1623"/>
      <c r="AA42" s="1623"/>
      <c r="AB42" s="1623"/>
      <c r="AC42" s="1623"/>
      <c r="AD42" s="1623"/>
      <c r="AE42" s="1623"/>
      <c r="AF42" s="1623"/>
    </row>
    <row r="43" spans="1:33" s="2263"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3"/>
      <c r="Y43" s="1623"/>
      <c r="Z43" s="1623"/>
      <c r="AA43" s="1623"/>
      <c r="AB43" s="1623"/>
      <c r="AC43" s="1623"/>
      <c r="AD43" s="1623"/>
      <c r="AE43" s="1623"/>
      <c r="AF43" s="1623"/>
    </row>
    <row r="44" spans="1:33" s="2263"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3"/>
      <c r="Y44" s="1623"/>
      <c r="Z44" s="1623"/>
      <c r="AA44" s="1623"/>
      <c r="AB44" s="1623"/>
      <c r="AC44" s="1623"/>
      <c r="AD44" s="1623"/>
      <c r="AE44" s="1623"/>
      <c r="AF44" s="1623"/>
    </row>
    <row r="45" spans="1:33" s="2263" customFormat="1" ht="15.75" thickBot="1">
      <c r="A45" s="2267" t="s">
        <v>2637</v>
      </c>
      <c r="B45" s="2268"/>
      <c r="C45" s="608"/>
      <c r="D45" s="608"/>
      <c r="E45" s="608"/>
      <c r="F45" s="608"/>
      <c r="G45" s="608"/>
      <c r="H45" s="608"/>
      <c r="I45" s="608"/>
      <c r="J45" s="608"/>
      <c r="K45" s="608"/>
      <c r="L45" s="608"/>
      <c r="M45" s="608"/>
      <c r="N45" s="2098"/>
      <c r="O45" s="1623"/>
      <c r="P45" s="1623"/>
      <c r="Q45" s="3048"/>
      <c r="R45" s="3048"/>
      <c r="S45" s="3048"/>
      <c r="T45" s="3048"/>
      <c r="U45" s="3048"/>
      <c r="V45" s="3048"/>
      <c r="W45" s="3048"/>
      <c r="X45" s="1623"/>
      <c r="Y45" s="1623"/>
      <c r="Z45" s="1623"/>
      <c r="AA45" s="1623"/>
      <c r="AB45" s="1623"/>
      <c r="AC45" s="1623"/>
      <c r="AD45" s="1623"/>
      <c r="AE45" s="1623"/>
      <c r="AF45" s="1623"/>
    </row>
    <row r="46" spans="1:33" s="2263" customFormat="1" ht="15">
      <c r="A46" s="2269" t="s">
        <v>2638</v>
      </c>
      <c r="B46" s="2270">
        <f>1+E48</f>
        <v>1</v>
      </c>
      <c r="C46" s="2271"/>
      <c r="D46" s="2272"/>
      <c r="E46" s="2273"/>
      <c r="F46" s="2274"/>
      <c r="G46" s="608"/>
      <c r="H46" s="608"/>
      <c r="I46" s="608"/>
      <c r="J46" s="608"/>
      <c r="K46" s="608"/>
      <c r="L46" s="608"/>
      <c r="M46" s="2098"/>
      <c r="N46" s="2275"/>
      <c r="O46" s="1623"/>
      <c r="P46" s="1623"/>
      <c r="Q46" s="3048"/>
      <c r="R46" s="3048"/>
      <c r="S46" s="3048"/>
      <c r="T46" s="3048"/>
      <c r="U46" s="3048"/>
      <c r="V46" s="3048"/>
      <c r="W46" s="3048"/>
      <c r="X46" s="1623"/>
      <c r="Y46" s="1623"/>
      <c r="Z46" s="1623"/>
      <c r="AA46" s="1623"/>
      <c r="AB46" s="1623"/>
      <c r="AC46" s="1623"/>
      <c r="AD46" s="1623"/>
      <c r="AE46" s="1623"/>
    </row>
    <row r="47" spans="1:33" s="2263" customFormat="1" ht="24.75">
      <c r="A47" s="2276" t="s">
        <v>2639</v>
      </c>
      <c r="B47" s="2277" t="s">
        <v>2640</v>
      </c>
      <c r="C47" s="2277" t="s">
        <v>2641</v>
      </c>
      <c r="D47" s="2277" t="s">
        <v>2642</v>
      </c>
      <c r="E47" s="2278" t="s">
        <v>2643</v>
      </c>
      <c r="F47" s="2228" t="s">
        <v>2644</v>
      </c>
      <c r="G47" s="2277" t="s">
        <v>2645</v>
      </c>
      <c r="H47" s="2279" t="s">
        <v>2646</v>
      </c>
      <c r="I47" s="2277" t="s">
        <v>2647</v>
      </c>
      <c r="J47" s="1904" t="s">
        <v>2648</v>
      </c>
      <c r="K47" s="1904" t="s">
        <v>2649</v>
      </c>
      <c r="L47" s="1904" t="s">
        <v>2650</v>
      </c>
      <c r="M47" s="1904" t="s">
        <v>2651</v>
      </c>
      <c r="N47" s="1904" t="s">
        <v>2652</v>
      </c>
      <c r="O47" s="1623"/>
      <c r="P47" s="1623"/>
      <c r="Q47" s="3048"/>
      <c r="R47" s="3048"/>
      <c r="S47" s="3048"/>
      <c r="T47" s="3048"/>
      <c r="U47" s="3048"/>
      <c r="V47" s="3048"/>
      <c r="W47" s="3048"/>
      <c r="X47" s="1623"/>
      <c r="Y47" s="1623"/>
      <c r="Z47" s="1623"/>
      <c r="AA47" s="1623"/>
      <c r="AB47" s="1623"/>
      <c r="AC47" s="1623"/>
      <c r="AD47" s="1623"/>
      <c r="AE47" s="1623"/>
      <c r="AF47" s="1623"/>
      <c r="AG47" s="1623"/>
    </row>
    <row r="48" spans="1:33" s="2263" customFormat="1" ht="38.25">
      <c r="A48" s="2276" t="s">
        <v>2653</v>
      </c>
      <c r="B48" s="2280" t="str">
        <f>估价对象房地状况!C16</f>
        <v>估价对象位于XX商圈，周边商业氛围成熟，人流量大，商业繁华度好</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3"/>
      <c r="P48" s="1623"/>
      <c r="Q48" s="3048"/>
      <c r="R48" s="3048"/>
      <c r="S48" s="3048"/>
      <c r="T48" s="3048"/>
      <c r="U48" s="3048"/>
      <c r="V48" s="3048"/>
      <c r="W48" s="3048"/>
      <c r="X48" s="1623"/>
      <c r="Y48" s="1623"/>
      <c r="Z48" s="1623"/>
      <c r="AA48" s="1623"/>
      <c r="AB48" s="1623"/>
      <c r="AC48" s="1623"/>
      <c r="AD48" s="1623"/>
      <c r="AE48" s="1623"/>
      <c r="AF48" s="1623"/>
      <c r="AG48" s="1623"/>
    </row>
    <row r="49" spans="1:33" s="2263" customFormat="1" ht="38.25">
      <c r="A49" s="2276" t="s">
        <v>2654</v>
      </c>
      <c r="B49" s="2288" t="str">
        <f>估价对象房地状况!C18</f>
        <v>估价对象周边有多条公交线路，综合评价交通便捷度较好。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3"/>
      <c r="P49" s="1623"/>
      <c r="Q49" s="3048"/>
      <c r="R49" s="3048"/>
      <c r="S49" s="3048"/>
      <c r="T49" s="3048"/>
      <c r="U49" s="3048"/>
      <c r="V49" s="3048"/>
      <c r="W49" s="3048"/>
      <c r="X49" s="1623"/>
      <c r="Y49" s="1623"/>
      <c r="Z49" s="1623"/>
      <c r="AA49" s="1623"/>
      <c r="AB49" s="1623"/>
      <c r="AC49" s="1623"/>
      <c r="AD49" s="1623"/>
      <c r="AE49" s="1623"/>
      <c r="AF49" s="1623"/>
      <c r="AG49" s="1623"/>
    </row>
    <row r="50" spans="1:33" s="2263" customFormat="1" ht="24">
      <c r="A50" s="2276" t="s">
        <v>2655</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3"/>
      <c r="P50" s="1623"/>
      <c r="Q50" s="3048"/>
      <c r="R50" s="3048"/>
      <c r="S50" s="3048"/>
      <c r="T50" s="3048"/>
      <c r="U50" s="3048"/>
      <c r="V50" s="3048"/>
      <c r="W50" s="3048"/>
      <c r="X50" s="1623"/>
      <c r="Y50" s="1623"/>
      <c r="Z50" s="1623"/>
      <c r="AA50" s="1623"/>
      <c r="AB50" s="1623"/>
      <c r="AC50" s="1623"/>
      <c r="AD50" s="1623"/>
      <c r="AE50" s="1623"/>
      <c r="AF50" s="1623"/>
      <c r="AG50" s="1623"/>
    </row>
    <row r="51" spans="1:33" s="2263" customFormat="1" ht="36.75">
      <c r="A51" s="2276" t="s">
        <v>2656</v>
      </c>
      <c r="B51" s="2290" t="s">
        <v>2657</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3"/>
      <c r="P51" s="1623"/>
      <c r="Q51" s="3048"/>
      <c r="R51" s="3048"/>
      <c r="S51" s="3048"/>
      <c r="T51" s="3048"/>
      <c r="U51" s="3048"/>
      <c r="V51" s="3048"/>
      <c r="W51" s="3048"/>
      <c r="X51" s="1623"/>
      <c r="Y51" s="1623"/>
      <c r="Z51" s="1623"/>
      <c r="AA51" s="1623"/>
      <c r="AB51" s="1623"/>
      <c r="AC51" s="1623"/>
      <c r="AD51" s="1623"/>
      <c r="AE51" s="1623"/>
      <c r="AF51" s="1623"/>
      <c r="AG51" s="1623"/>
    </row>
    <row r="52" spans="1:33" s="2263" customFormat="1" ht="24">
      <c r="A52" s="2276" t="s">
        <v>2658</v>
      </c>
      <c r="B52" s="2288" t="str">
        <f>估价对象房地状况!C24</f>
        <v>城市支路——东关二条</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3"/>
      <c r="P52" s="1623"/>
      <c r="Q52" s="3048"/>
      <c r="R52" s="3048"/>
      <c r="S52" s="3048"/>
      <c r="T52" s="3048"/>
      <c r="U52" s="3048"/>
      <c r="V52" s="3048"/>
      <c r="W52" s="3048"/>
      <c r="X52" s="1623"/>
      <c r="Y52" s="1623"/>
      <c r="Z52" s="1623"/>
      <c r="AA52" s="1623"/>
      <c r="AB52" s="1623"/>
      <c r="AC52" s="1623"/>
      <c r="AD52" s="1623"/>
      <c r="AE52" s="1623"/>
      <c r="AF52" s="1623"/>
      <c r="AG52" s="1623"/>
    </row>
    <row r="53" spans="1:33" s="2263" customFormat="1" ht="24">
      <c r="A53" s="2276" t="s">
        <v>2659</v>
      </c>
      <c r="B53" s="2291" t="s">
        <v>2660</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3"/>
      <c r="P53" s="1623"/>
      <c r="Q53" s="3048"/>
      <c r="R53" s="3048"/>
      <c r="S53" s="3048"/>
      <c r="T53" s="3048"/>
      <c r="U53" s="3048"/>
      <c r="V53" s="3048"/>
      <c r="W53" s="3048"/>
      <c r="X53" s="1623"/>
      <c r="Y53" s="1623"/>
      <c r="Z53" s="1623"/>
      <c r="AA53" s="1623"/>
      <c r="AB53" s="1623"/>
      <c r="AC53" s="1623"/>
      <c r="AD53" s="1623"/>
      <c r="AE53" s="1623"/>
      <c r="AF53" s="1623"/>
      <c r="AG53" s="1623"/>
    </row>
    <row r="54" spans="1:33" s="2263" customFormat="1" ht="165.75">
      <c r="A54" s="2292" t="s">
        <v>2661</v>
      </c>
      <c r="B54" s="2293"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3"/>
      <c r="P54" s="1623"/>
      <c r="Q54" s="3048"/>
      <c r="R54" s="3048"/>
      <c r="S54" s="3048"/>
      <c r="T54" s="3048"/>
      <c r="U54" s="3048"/>
      <c r="V54" s="3048"/>
      <c r="W54" s="3048"/>
      <c r="X54" s="1623"/>
      <c r="Y54" s="1623"/>
      <c r="Z54" s="1623"/>
      <c r="AA54" s="1623"/>
      <c r="AB54" s="1623"/>
      <c r="AC54" s="1623"/>
      <c r="AD54" s="1623"/>
      <c r="AE54" s="1623"/>
      <c r="AF54" s="1623"/>
      <c r="AG54" s="1623"/>
    </row>
    <row r="55" spans="1:33" s="2263" customFormat="1" ht="25.5">
      <c r="A55" s="2292" t="s">
        <v>2662</v>
      </c>
      <c r="B55" s="2288" t="str">
        <f>估价对象房地状况!C22</f>
        <v>估价对象所在区域基础设施水平-七通</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3"/>
      <c r="P55" s="1623"/>
      <c r="Q55" s="3048"/>
      <c r="R55" s="3048"/>
      <c r="S55" s="3048"/>
      <c r="T55" s="3048"/>
      <c r="U55" s="3048"/>
      <c r="V55" s="3048"/>
      <c r="W55" s="3048"/>
      <c r="X55" s="1623"/>
      <c r="Y55" s="1623"/>
      <c r="Z55" s="1623"/>
      <c r="AA55" s="1623"/>
      <c r="AB55" s="1623"/>
      <c r="AC55" s="1623"/>
      <c r="AD55" s="1623"/>
      <c r="AE55" s="1623"/>
      <c r="AF55" s="1623"/>
      <c r="AG55" s="1623"/>
    </row>
    <row r="56" spans="1:33" s="2263" customFormat="1" ht="39" thickBot="1">
      <c r="A56" s="2294" t="s">
        <v>2663</v>
      </c>
      <c r="B56" s="2295" t="str">
        <f>估价对象房地状况!C20</f>
        <v xml:space="preserve">自然环境：昌平公园等；
综上，环境状况一般。
</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3"/>
      <c r="P56" s="1623"/>
      <c r="Q56" s="3048"/>
      <c r="R56" s="3048"/>
      <c r="S56" s="3048"/>
      <c r="T56" s="3048"/>
      <c r="U56" s="3048"/>
      <c r="V56" s="3048"/>
      <c r="W56" s="3048"/>
      <c r="X56" s="1623"/>
      <c r="Y56" s="1623"/>
      <c r="Z56" s="1623"/>
      <c r="AA56" s="1623"/>
      <c r="AB56" s="1623"/>
      <c r="AC56" s="1623"/>
      <c r="AD56" s="1623"/>
      <c r="AE56" s="1623"/>
      <c r="AF56" s="1623"/>
      <c r="AG56" s="1623"/>
    </row>
    <row r="57" spans="1:33" s="2263" customFormat="1" ht="15">
      <c r="A57" s="2269" t="s">
        <v>2664</v>
      </c>
      <c r="B57" s="2298">
        <f>1+E59</f>
        <v>1</v>
      </c>
      <c r="C57" s="2272"/>
      <c r="D57" s="2272"/>
      <c r="E57" s="2273"/>
      <c r="F57" s="2274"/>
      <c r="G57" s="608"/>
      <c r="H57" s="608"/>
      <c r="I57" s="608"/>
      <c r="J57" s="608"/>
      <c r="K57" s="608"/>
      <c r="L57" s="608"/>
      <c r="M57" s="608"/>
      <c r="N57" s="608"/>
      <c r="O57" s="1623"/>
      <c r="P57" s="1623"/>
      <c r="Q57" s="3048"/>
      <c r="R57" s="3048"/>
      <c r="S57" s="3048"/>
      <c r="T57" s="3048"/>
      <c r="U57" s="3048"/>
      <c r="V57" s="3048"/>
      <c r="W57" s="3048"/>
      <c r="X57" s="1623"/>
      <c r="Y57" s="1623"/>
      <c r="Z57" s="1623"/>
      <c r="AA57" s="1623"/>
      <c r="AB57" s="1623"/>
      <c r="AC57" s="1623"/>
      <c r="AD57" s="1623"/>
      <c r="AE57" s="1623"/>
      <c r="AF57" s="1623"/>
      <c r="AG57" s="1623"/>
    </row>
    <row r="58" spans="1:33" s="2263" customFormat="1" ht="24.75">
      <c r="A58" s="2276" t="s">
        <v>2639</v>
      </c>
      <c r="B58" s="2288"/>
      <c r="C58" s="2277" t="s">
        <v>2641</v>
      </c>
      <c r="D58" s="2277" t="s">
        <v>2642</v>
      </c>
      <c r="E58" s="2278" t="s">
        <v>2643</v>
      </c>
      <c r="F58" s="2228" t="s">
        <v>2644</v>
      </c>
      <c r="G58" s="2277" t="s">
        <v>2665</v>
      </c>
      <c r="H58" s="2279" t="s">
        <v>2666</v>
      </c>
      <c r="I58" s="2277" t="s">
        <v>2667</v>
      </c>
      <c r="J58" s="1904" t="s">
        <v>2307</v>
      </c>
      <c r="K58" s="1904" t="s">
        <v>2308</v>
      </c>
      <c r="L58" s="1904" t="s">
        <v>2309</v>
      </c>
      <c r="M58" s="1904" t="s">
        <v>2310</v>
      </c>
      <c r="N58" s="1904" t="s">
        <v>2311</v>
      </c>
      <c r="O58" s="1623"/>
      <c r="P58" s="1623"/>
      <c r="Q58" s="3048"/>
      <c r="R58" s="3048"/>
      <c r="S58" s="3048"/>
      <c r="T58" s="3048"/>
      <c r="U58" s="3048"/>
      <c r="V58" s="3048"/>
      <c r="W58" s="3048"/>
      <c r="X58" s="1623"/>
      <c r="Y58" s="1623"/>
      <c r="Z58" s="1623"/>
      <c r="AA58" s="1623"/>
      <c r="AB58" s="1623"/>
      <c r="AC58" s="1623"/>
      <c r="AD58" s="1623"/>
      <c r="AE58" s="1623"/>
      <c r="AF58" s="1623"/>
      <c r="AG58" s="1623"/>
    </row>
    <row r="59" spans="1:33" s="2263" customFormat="1" ht="38.25">
      <c r="A59" s="2276" t="s">
        <v>2668</v>
      </c>
      <c r="B59" s="2280" t="str">
        <f>估价对象房地状况!C17</f>
        <v>估价对象位于XX商圈，周边办公楼项目较多，入驻率高，办公集聚程度较好</v>
      </c>
      <c r="C59" s="2164"/>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3"/>
      <c r="P59" s="1623"/>
      <c r="Q59" s="3048"/>
      <c r="R59" s="3048"/>
      <c r="S59" s="3048"/>
      <c r="T59" s="3048"/>
      <c r="U59" s="3048"/>
      <c r="V59" s="3048"/>
      <c r="W59" s="3048"/>
      <c r="X59" s="1623"/>
      <c r="Y59" s="1623"/>
      <c r="Z59" s="1623"/>
      <c r="AA59" s="1623"/>
      <c r="AB59" s="1623"/>
      <c r="AC59" s="1623"/>
      <c r="AD59" s="1623"/>
      <c r="AE59" s="1623"/>
      <c r="AF59" s="1623"/>
      <c r="AG59" s="1623"/>
    </row>
    <row r="60" spans="1:33" s="2263" customFormat="1" ht="38.25">
      <c r="A60" s="2276" t="s">
        <v>2654</v>
      </c>
      <c r="B60" s="2288" t="str">
        <f>估价对象房地状况!C18</f>
        <v>估价对象周边有多条公交线路，综合评价交通便捷度较好。</v>
      </c>
      <c r="C60" s="2164"/>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3"/>
      <c r="P60" s="1623"/>
      <c r="Q60" s="3048"/>
      <c r="R60" s="3048"/>
      <c r="S60" s="3048"/>
      <c r="T60" s="3048"/>
      <c r="U60" s="3048"/>
      <c r="V60" s="3048"/>
      <c r="W60" s="3048"/>
      <c r="X60" s="1623"/>
      <c r="Y60" s="1623"/>
      <c r="Z60" s="1623"/>
      <c r="AA60" s="1623"/>
      <c r="AB60" s="1623"/>
      <c r="AC60" s="1623"/>
      <c r="AD60" s="1623"/>
      <c r="AE60" s="1623"/>
      <c r="AF60" s="1623"/>
      <c r="AG60" s="1623"/>
    </row>
    <row r="61" spans="1:33" s="2263" customFormat="1" ht="24">
      <c r="A61" s="2276" t="s">
        <v>2655</v>
      </c>
      <c r="B61" s="2288">
        <f>估价对象房地状况!C19</f>
        <v>0</v>
      </c>
      <c r="C61" s="2164"/>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3"/>
      <c r="P61" s="1623"/>
      <c r="Q61" s="3048"/>
      <c r="R61" s="3048"/>
      <c r="S61" s="3048"/>
      <c r="T61" s="3048"/>
      <c r="U61" s="3048"/>
      <c r="V61" s="3048"/>
      <c r="W61" s="3048"/>
      <c r="X61" s="1623"/>
      <c r="Y61" s="1623"/>
      <c r="Z61" s="1623"/>
      <c r="AA61" s="1623"/>
      <c r="AB61" s="1623"/>
      <c r="AC61" s="1623"/>
      <c r="AD61" s="1623"/>
      <c r="AE61" s="1623"/>
      <c r="AF61" s="1623"/>
      <c r="AG61" s="1623"/>
    </row>
    <row r="62" spans="1:33" s="2263" customFormat="1" ht="36.75">
      <c r="A62" s="2276" t="s">
        <v>2656</v>
      </c>
      <c r="B62" s="2290" t="s">
        <v>2657</v>
      </c>
      <c r="C62" s="2164"/>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3"/>
      <c r="P62" s="1623"/>
      <c r="Q62" s="3048"/>
      <c r="R62" s="3048"/>
      <c r="S62" s="3048"/>
      <c r="T62" s="3048"/>
      <c r="U62" s="3048"/>
      <c r="V62" s="3048"/>
      <c r="W62" s="3048"/>
      <c r="X62" s="1623"/>
      <c r="Y62" s="1623"/>
      <c r="Z62" s="1623"/>
      <c r="AA62" s="1623"/>
      <c r="AB62" s="1623"/>
      <c r="AC62" s="1623"/>
      <c r="AD62" s="1623"/>
      <c r="AE62" s="1623"/>
      <c r="AF62" s="1623"/>
      <c r="AG62" s="1623"/>
    </row>
    <row r="63" spans="1:33" s="2263" customFormat="1" ht="24">
      <c r="A63" s="2276" t="s">
        <v>2658</v>
      </c>
      <c r="B63" s="2288" t="str">
        <f>估价对象房地状况!C24</f>
        <v>城市支路——东关二条</v>
      </c>
      <c r="C63" s="2164"/>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3"/>
      <c r="P63" s="1623"/>
      <c r="Q63" s="3048"/>
      <c r="R63" s="3048"/>
      <c r="S63" s="3048"/>
      <c r="T63" s="3048"/>
      <c r="U63" s="3048"/>
      <c r="V63" s="3048"/>
      <c r="W63" s="3048"/>
      <c r="X63" s="1623"/>
      <c r="Y63" s="1623"/>
      <c r="Z63" s="1623"/>
      <c r="AA63" s="1623"/>
      <c r="AB63" s="1623"/>
      <c r="AC63" s="1623"/>
      <c r="AD63" s="1623"/>
      <c r="AE63" s="1623"/>
      <c r="AF63" s="1623"/>
      <c r="AG63" s="1623"/>
    </row>
    <row r="64" spans="1:33" s="2263" customFormat="1" ht="24">
      <c r="A64" s="2276" t="s">
        <v>2659</v>
      </c>
      <c r="B64" s="2291" t="s">
        <v>2660</v>
      </c>
      <c r="C64" s="2164"/>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3"/>
      <c r="P64" s="1623"/>
      <c r="Q64" s="3048"/>
      <c r="R64" s="3048"/>
      <c r="S64" s="3048"/>
      <c r="T64" s="3048"/>
      <c r="U64" s="3048"/>
      <c r="V64" s="3048"/>
      <c r="W64" s="3048"/>
      <c r="X64" s="1623"/>
      <c r="Y64" s="1623"/>
      <c r="Z64" s="1623"/>
      <c r="AA64" s="1623"/>
      <c r="AB64" s="1623"/>
      <c r="AC64" s="1623"/>
      <c r="AD64" s="1623"/>
      <c r="AE64" s="1623"/>
      <c r="AF64" s="1623"/>
      <c r="AG64" s="1623"/>
    </row>
    <row r="65" spans="1:33" s="2263" customFormat="1" ht="165.75">
      <c r="A65" s="2276" t="s">
        <v>2661</v>
      </c>
      <c r="B65" s="2293"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65" s="2164"/>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3"/>
      <c r="P65" s="1623"/>
      <c r="Q65" s="3048"/>
      <c r="R65" s="3048"/>
      <c r="S65" s="3048"/>
      <c r="T65" s="3048"/>
      <c r="U65" s="3048"/>
      <c r="V65" s="3048"/>
      <c r="W65" s="3048"/>
      <c r="X65" s="1623"/>
      <c r="Y65" s="1623"/>
      <c r="Z65" s="1623"/>
      <c r="AA65" s="1623"/>
      <c r="AB65" s="1623"/>
      <c r="AC65" s="1623"/>
      <c r="AD65" s="1623"/>
      <c r="AE65" s="1623"/>
      <c r="AF65" s="1623"/>
      <c r="AG65" s="1623"/>
    </row>
    <row r="66" spans="1:33" s="2263" customFormat="1" ht="25.5">
      <c r="A66" s="2276" t="s">
        <v>2662</v>
      </c>
      <c r="B66" s="2293" t="str">
        <f>估价对象房地状况!C22</f>
        <v>估价对象所在区域基础设施水平-七通</v>
      </c>
      <c r="C66" s="2164"/>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3"/>
      <c r="P66" s="1623"/>
      <c r="Q66" s="3048"/>
      <c r="R66" s="3048"/>
      <c r="S66" s="3048"/>
      <c r="T66" s="3048"/>
      <c r="U66" s="3048"/>
      <c r="V66" s="3048"/>
      <c r="W66" s="3048"/>
      <c r="X66" s="1623"/>
      <c r="Y66" s="1623"/>
      <c r="Z66" s="1623"/>
      <c r="AA66" s="1623"/>
      <c r="AB66" s="1623"/>
      <c r="AC66" s="1623"/>
      <c r="AD66" s="1623"/>
      <c r="AE66" s="1623"/>
      <c r="AF66" s="1623"/>
      <c r="AG66" s="1623"/>
    </row>
    <row r="67" spans="1:33" s="2263" customFormat="1" ht="39" thickBot="1">
      <c r="A67" s="2294" t="s">
        <v>2663</v>
      </c>
      <c r="B67" s="2299" t="str">
        <f>估价对象房地状况!C20</f>
        <v xml:space="preserve">自然环境：昌平公园等；
综上，环境状况一般。
</v>
      </c>
      <c r="C67" s="2164"/>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3"/>
      <c r="P67" s="1623"/>
      <c r="Q67" s="3048"/>
      <c r="R67" s="3048"/>
      <c r="S67" s="3048"/>
      <c r="T67" s="3048"/>
      <c r="U67" s="3048"/>
      <c r="V67" s="3048"/>
      <c r="W67" s="3048"/>
      <c r="X67" s="1623"/>
      <c r="Y67" s="1623"/>
      <c r="Z67" s="1623"/>
      <c r="AA67" s="1623"/>
      <c r="AB67" s="1623"/>
      <c r="AC67" s="1623"/>
      <c r="AD67" s="1623"/>
      <c r="AE67" s="1623"/>
      <c r="AF67" s="1623"/>
      <c r="AG67" s="1623"/>
    </row>
    <row r="68" spans="1:33" s="2263" customFormat="1" ht="15">
      <c r="A68" s="2269" t="s">
        <v>2669</v>
      </c>
      <c r="B68" s="2298">
        <f>1+E70</f>
        <v>1</v>
      </c>
      <c r="C68" s="2272"/>
      <c r="D68" s="2272"/>
      <c r="E68" s="2273"/>
      <c r="F68" s="2274"/>
      <c r="G68" s="608"/>
      <c r="H68" s="608"/>
      <c r="I68" s="608"/>
      <c r="J68" s="608"/>
      <c r="K68" s="608"/>
      <c r="L68" s="608"/>
      <c r="M68" s="608"/>
      <c r="N68" s="608"/>
      <c r="O68" s="1623"/>
      <c r="P68" s="1623"/>
      <c r="Q68" s="3048"/>
      <c r="R68" s="3048"/>
      <c r="S68" s="3048"/>
      <c r="T68" s="3048"/>
      <c r="U68" s="3048"/>
      <c r="V68" s="3048"/>
      <c r="W68" s="3048"/>
      <c r="X68" s="1623"/>
      <c r="Y68" s="1623"/>
      <c r="Z68" s="1623"/>
      <c r="AA68" s="1623"/>
      <c r="AB68" s="1623"/>
      <c r="AC68" s="1623"/>
      <c r="AD68" s="1623"/>
      <c r="AE68" s="1623"/>
      <c r="AF68" s="1623"/>
      <c r="AG68" s="1623"/>
    </row>
    <row r="69" spans="1:33" s="2263" customFormat="1" ht="24.75">
      <c r="A69" s="2276" t="s">
        <v>2639</v>
      </c>
      <c r="B69" s="2288"/>
      <c r="C69" s="2277" t="s">
        <v>2641</v>
      </c>
      <c r="D69" s="2277" t="s">
        <v>2642</v>
      </c>
      <c r="E69" s="2278" t="s">
        <v>2643</v>
      </c>
      <c r="F69" s="2228" t="s">
        <v>2644</v>
      </c>
      <c r="G69" s="2277" t="s">
        <v>2665</v>
      </c>
      <c r="H69" s="2279" t="s">
        <v>2666</v>
      </c>
      <c r="I69" s="2277" t="s">
        <v>2667</v>
      </c>
      <c r="J69" s="1904" t="s">
        <v>2307</v>
      </c>
      <c r="K69" s="1904" t="s">
        <v>2308</v>
      </c>
      <c r="L69" s="1904" t="s">
        <v>2309</v>
      </c>
      <c r="M69" s="1904" t="s">
        <v>2310</v>
      </c>
      <c r="N69" s="1904" t="s">
        <v>2311</v>
      </c>
      <c r="O69" s="1623"/>
      <c r="P69" s="1623"/>
      <c r="Q69" s="3048"/>
      <c r="R69" s="3048"/>
      <c r="S69" s="3048"/>
      <c r="T69" s="3048"/>
      <c r="U69" s="3048"/>
      <c r="V69" s="3048"/>
      <c r="W69" s="3048"/>
      <c r="X69" s="1623"/>
      <c r="Y69" s="1623"/>
      <c r="Z69" s="1623"/>
      <c r="AA69" s="1623"/>
      <c r="AB69" s="1623"/>
      <c r="AC69" s="1623"/>
      <c r="AD69" s="1623"/>
      <c r="AE69" s="1623"/>
      <c r="AF69" s="1623"/>
      <c r="AG69" s="1623"/>
    </row>
    <row r="70" spans="1:33" s="2263" customFormat="1" ht="51">
      <c r="A70" s="2276" t="s">
        <v>2670</v>
      </c>
      <c r="B70" s="2280" t="str">
        <f>估价对象房地状况!C15</f>
        <v>周边有东关二条、东关南里、燕平家园等住宅小区，综合评价居住社区成熟度好</v>
      </c>
      <c r="C70" s="2164"/>
      <c r="D70" s="2281">
        <f t="shared" ref="D70:D78" si="20">SUMIF($J$69:$N$69,C70,J70:N70)</f>
        <v>0</v>
      </c>
      <c r="E70" s="2282">
        <f>ROUND(SUM(D70:D78),4)</f>
        <v>0</v>
      </c>
      <c r="F70" s="2283">
        <f>IF(E2="住宅",SUMIF(L1:L12,G2,N1:N12),"——")</f>
        <v>0</v>
      </c>
      <c r="G70" s="2284"/>
      <c r="H70" s="2285">
        <f t="shared" ref="H70:H78" si="21">IFERROR(ROUNDDOWN($F$70*I70/2,4),"——")</f>
        <v>0</v>
      </c>
      <c r="I70" s="2286">
        <v>0.14000000000000001</v>
      </c>
      <c r="J70" s="2287">
        <f t="shared" ref="J70:J78" si="22">K70+$G70</f>
        <v>0</v>
      </c>
      <c r="K70" s="2287">
        <f t="shared" ref="K70:K78" si="23">$L70+$G70</f>
        <v>0</v>
      </c>
      <c r="L70" s="2287">
        <v>0</v>
      </c>
      <c r="M70" s="2287">
        <f t="shared" ref="M70:N78" si="24">L70-$G70</f>
        <v>0</v>
      </c>
      <c r="N70" s="2287">
        <f t="shared" si="24"/>
        <v>0</v>
      </c>
      <c r="O70" s="1623"/>
      <c r="P70" s="1623"/>
      <c r="Q70" s="3048"/>
      <c r="R70" s="3048"/>
      <c r="S70" s="3048"/>
      <c r="T70" s="3048"/>
      <c r="U70" s="3048"/>
      <c r="V70" s="3048"/>
      <c r="W70" s="3048"/>
      <c r="X70" s="1623"/>
      <c r="Y70" s="1623"/>
      <c r="Z70" s="1623"/>
      <c r="AA70" s="1623"/>
      <c r="AB70" s="1623"/>
      <c r="AC70" s="1623"/>
      <c r="AD70" s="1623"/>
      <c r="AE70" s="1623"/>
      <c r="AF70" s="1623"/>
      <c r="AG70" s="1623"/>
    </row>
    <row r="71" spans="1:33" s="2263" customFormat="1" ht="38.25">
      <c r="A71" s="2276" t="s">
        <v>2654</v>
      </c>
      <c r="B71" s="2288" t="str">
        <f>估价对象房地状况!C18</f>
        <v>估价对象周边有多条公交线路，综合评价交通便捷度较好。</v>
      </c>
      <c r="C71" s="2164"/>
      <c r="D71" s="2281">
        <f t="shared" si="20"/>
        <v>0</v>
      </c>
      <c r="E71" s="2289"/>
      <c r="F71" s="2283"/>
      <c r="G71" s="2284"/>
      <c r="H71" s="2285">
        <f t="shared" si="21"/>
        <v>0</v>
      </c>
      <c r="I71" s="2286">
        <v>0.3</v>
      </c>
      <c r="J71" s="2287">
        <f t="shared" si="22"/>
        <v>0</v>
      </c>
      <c r="K71" s="2287">
        <f t="shared" si="23"/>
        <v>0</v>
      </c>
      <c r="L71" s="2287">
        <v>0</v>
      </c>
      <c r="M71" s="2287">
        <f t="shared" si="24"/>
        <v>0</v>
      </c>
      <c r="N71" s="2287">
        <f t="shared" si="24"/>
        <v>0</v>
      </c>
      <c r="O71" s="1623"/>
      <c r="P71" s="1623"/>
      <c r="Q71" s="3048"/>
      <c r="R71" s="3048"/>
      <c r="S71" s="3048"/>
      <c r="T71" s="3048"/>
      <c r="U71" s="3048"/>
      <c r="V71" s="3048"/>
      <c r="W71" s="3048"/>
      <c r="X71" s="1623"/>
      <c r="Y71" s="1623"/>
      <c r="Z71" s="1623"/>
      <c r="AA71" s="1623"/>
      <c r="AB71" s="1623"/>
      <c r="AC71" s="1623"/>
      <c r="AD71" s="1623"/>
      <c r="AE71" s="1623"/>
      <c r="AF71" s="1623"/>
      <c r="AG71" s="1623"/>
    </row>
    <row r="72" spans="1:33" s="2263" customFormat="1" ht="24">
      <c r="A72" s="2276" t="s">
        <v>2655</v>
      </c>
      <c r="B72" s="2288">
        <f>估价对象房地状况!C19</f>
        <v>0</v>
      </c>
      <c r="C72" s="2164"/>
      <c r="D72" s="2281">
        <f t="shared" si="20"/>
        <v>0</v>
      </c>
      <c r="E72" s="2289"/>
      <c r="F72" s="2283"/>
      <c r="G72" s="2284"/>
      <c r="H72" s="2285">
        <f t="shared" si="21"/>
        <v>0</v>
      </c>
      <c r="I72" s="2286">
        <v>0.08</v>
      </c>
      <c r="J72" s="2287">
        <f t="shared" si="22"/>
        <v>0</v>
      </c>
      <c r="K72" s="2287">
        <f t="shared" si="23"/>
        <v>0</v>
      </c>
      <c r="L72" s="2287">
        <v>0</v>
      </c>
      <c r="M72" s="2287">
        <f t="shared" si="24"/>
        <v>0</v>
      </c>
      <c r="N72" s="2287">
        <f t="shared" si="24"/>
        <v>0</v>
      </c>
      <c r="O72" s="1623"/>
      <c r="P72" s="1623"/>
      <c r="Q72" s="3048"/>
      <c r="R72" s="3048"/>
      <c r="S72" s="3048"/>
      <c r="T72" s="3048"/>
      <c r="U72" s="3048"/>
      <c r="V72" s="3048"/>
      <c r="W72" s="3048"/>
      <c r="X72" s="1623"/>
      <c r="Y72" s="1623"/>
      <c r="Z72" s="1623"/>
      <c r="AA72" s="1623"/>
      <c r="AB72" s="1623"/>
      <c r="AC72" s="1623"/>
      <c r="AD72" s="1623"/>
      <c r="AE72" s="1623"/>
      <c r="AF72" s="1623"/>
      <c r="AG72" s="1623"/>
    </row>
    <row r="73" spans="1:33" s="2263" customFormat="1" ht="14.25">
      <c r="A73" s="2276" t="s">
        <v>2671</v>
      </c>
      <c r="B73" s="2288" t="str">
        <f>估价对象房地状况!C24</f>
        <v>城市支路——东关二条</v>
      </c>
      <c r="C73" s="2164"/>
      <c r="D73" s="2281">
        <f t="shared" si="20"/>
        <v>0</v>
      </c>
      <c r="E73" s="2289"/>
      <c r="F73" s="2283"/>
      <c r="G73" s="2284"/>
      <c r="H73" s="2285">
        <f t="shared" si="21"/>
        <v>0</v>
      </c>
      <c r="I73" s="2286">
        <v>0.04</v>
      </c>
      <c r="J73" s="2287">
        <f t="shared" si="22"/>
        <v>0</v>
      </c>
      <c r="K73" s="2287">
        <f t="shared" si="23"/>
        <v>0</v>
      </c>
      <c r="L73" s="2287">
        <v>0</v>
      </c>
      <c r="M73" s="2287">
        <f t="shared" si="24"/>
        <v>0</v>
      </c>
      <c r="N73" s="2287">
        <f t="shared" si="24"/>
        <v>0</v>
      </c>
      <c r="O73" s="1623"/>
      <c r="P73" s="1623"/>
      <c r="Q73" s="3048"/>
      <c r="R73" s="3048"/>
      <c r="S73" s="3048"/>
      <c r="T73" s="3048"/>
      <c r="U73" s="3048"/>
      <c r="V73" s="3048"/>
      <c r="W73" s="3048"/>
      <c r="X73" s="1623"/>
      <c r="Y73" s="1623"/>
      <c r="Z73" s="1623"/>
      <c r="AA73" s="1623"/>
      <c r="AB73" s="1623"/>
      <c r="AC73" s="1623"/>
      <c r="AD73" s="1623"/>
      <c r="AE73" s="1623"/>
      <c r="AF73" s="1623"/>
      <c r="AG73" s="1623"/>
    </row>
    <row r="74" spans="1:33" s="2263" customFormat="1" ht="165.75">
      <c r="A74" s="2276" t="s">
        <v>2661</v>
      </c>
      <c r="B74" s="2293"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74" s="2164"/>
      <c r="D74" s="2281">
        <f t="shared" si="20"/>
        <v>0</v>
      </c>
      <c r="E74" s="2289"/>
      <c r="F74" s="2283"/>
      <c r="G74" s="2284"/>
      <c r="H74" s="2285">
        <f t="shared" si="21"/>
        <v>0</v>
      </c>
      <c r="I74" s="2286">
        <v>0.08</v>
      </c>
      <c r="J74" s="2287">
        <f t="shared" si="22"/>
        <v>0</v>
      </c>
      <c r="K74" s="2287">
        <f t="shared" si="23"/>
        <v>0</v>
      </c>
      <c r="L74" s="2287">
        <v>0</v>
      </c>
      <c r="M74" s="2287">
        <f t="shared" si="24"/>
        <v>0</v>
      </c>
      <c r="N74" s="2287">
        <f t="shared" si="24"/>
        <v>0</v>
      </c>
      <c r="O74" s="1623"/>
      <c r="P74" s="1623"/>
      <c r="Q74" s="3048"/>
      <c r="R74" s="3048"/>
      <c r="S74" s="3048"/>
      <c r="T74" s="3048"/>
      <c r="U74" s="3048"/>
      <c r="V74" s="3048"/>
      <c r="W74" s="3048"/>
      <c r="X74" s="1623"/>
      <c r="Y74" s="1623"/>
      <c r="Z74" s="1623"/>
      <c r="AA74" s="1623"/>
      <c r="AB74" s="1623"/>
      <c r="AC74" s="1623"/>
      <c r="AD74" s="1623"/>
      <c r="AE74" s="1623"/>
      <c r="AF74" s="1623"/>
      <c r="AG74" s="1623"/>
    </row>
    <row r="75" spans="1:33" s="2263" customFormat="1" ht="25.5">
      <c r="A75" s="2276" t="s">
        <v>2662</v>
      </c>
      <c r="B75" s="2293" t="str">
        <f>估价对象房地状况!C22</f>
        <v>估价对象所在区域基础设施水平-七通</v>
      </c>
      <c r="C75" s="2164"/>
      <c r="D75" s="2281">
        <f t="shared" si="20"/>
        <v>0</v>
      </c>
      <c r="E75" s="2289"/>
      <c r="F75" s="2283"/>
      <c r="G75" s="2284"/>
      <c r="H75" s="2285">
        <f t="shared" si="21"/>
        <v>0</v>
      </c>
      <c r="I75" s="2286">
        <v>0.12</v>
      </c>
      <c r="J75" s="2287">
        <f t="shared" si="22"/>
        <v>0</v>
      </c>
      <c r="K75" s="2287">
        <f t="shared" si="23"/>
        <v>0</v>
      </c>
      <c r="L75" s="2287">
        <v>0</v>
      </c>
      <c r="M75" s="2287">
        <f t="shared" si="24"/>
        <v>0</v>
      </c>
      <c r="N75" s="2287">
        <f t="shared" si="24"/>
        <v>0</v>
      </c>
      <c r="O75" s="1623"/>
      <c r="P75" s="1623"/>
      <c r="Q75" s="3048"/>
      <c r="R75" s="3048"/>
      <c r="S75" s="3048"/>
      <c r="T75" s="3048"/>
      <c r="U75" s="3048"/>
      <c r="V75" s="3048"/>
      <c r="W75" s="3048"/>
      <c r="X75" s="1623"/>
      <c r="Y75" s="1623"/>
      <c r="Z75" s="1623"/>
      <c r="AA75" s="1623"/>
      <c r="AB75" s="1623"/>
      <c r="AC75" s="1623"/>
      <c r="AD75" s="1623"/>
      <c r="AE75" s="1623"/>
      <c r="AF75" s="1623"/>
      <c r="AG75" s="1623"/>
    </row>
    <row r="76" spans="1:33" ht="24">
      <c r="A76" s="2276" t="s">
        <v>2659</v>
      </c>
      <c r="B76" s="2291" t="s">
        <v>2660</v>
      </c>
      <c r="C76" s="2164"/>
      <c r="D76" s="2281">
        <f t="shared" si="20"/>
        <v>0</v>
      </c>
      <c r="E76" s="2289"/>
      <c r="F76" s="2283"/>
      <c r="G76" s="2284"/>
      <c r="H76" s="2285">
        <f t="shared" si="21"/>
        <v>0</v>
      </c>
      <c r="I76" s="2286">
        <v>0.05</v>
      </c>
      <c r="J76" s="2287">
        <f t="shared" si="22"/>
        <v>0</v>
      </c>
      <c r="K76" s="2287">
        <f t="shared" si="23"/>
        <v>0</v>
      </c>
      <c r="L76" s="2287">
        <v>0</v>
      </c>
      <c r="M76" s="2287">
        <f t="shared" si="24"/>
        <v>0</v>
      </c>
      <c r="N76" s="2287">
        <f t="shared" si="24"/>
        <v>0</v>
      </c>
      <c r="Q76" s="3056"/>
      <c r="R76" s="3056"/>
      <c r="S76" s="3056"/>
      <c r="T76" s="3056"/>
      <c r="U76" s="3056"/>
      <c r="V76" s="3056"/>
      <c r="W76" s="3056"/>
      <c r="AA76" s="1624"/>
      <c r="AG76" s="2263"/>
    </row>
    <row r="77" spans="1:33" ht="38.25">
      <c r="A77" s="2276" t="s">
        <v>2663</v>
      </c>
      <c r="B77" s="2280" t="str">
        <f>估价对象房地状况!C20</f>
        <v xml:space="preserve">自然环境：昌平公园等；
综上，环境状况一般。
</v>
      </c>
      <c r="C77" s="2164"/>
      <c r="D77" s="2281">
        <f t="shared" si="20"/>
        <v>0</v>
      </c>
      <c r="E77" s="2289"/>
      <c r="F77" s="2283"/>
      <c r="G77" s="2284"/>
      <c r="H77" s="2285">
        <f t="shared" si="21"/>
        <v>0</v>
      </c>
      <c r="I77" s="2286">
        <v>0.15</v>
      </c>
      <c r="J77" s="2287">
        <f t="shared" si="22"/>
        <v>0</v>
      </c>
      <c r="K77" s="2287">
        <f t="shared" si="23"/>
        <v>0</v>
      </c>
      <c r="L77" s="2287">
        <v>0</v>
      </c>
      <c r="M77" s="2287">
        <f t="shared" si="24"/>
        <v>0</v>
      </c>
      <c r="N77" s="2287">
        <f t="shared" si="24"/>
        <v>0</v>
      </c>
      <c r="Q77" s="3056"/>
      <c r="R77" s="3056"/>
      <c r="S77" s="3056"/>
      <c r="T77" s="3056"/>
      <c r="U77" s="3056"/>
      <c r="V77" s="3056"/>
      <c r="W77" s="3056"/>
      <c r="AA77" s="1624"/>
      <c r="AG77" s="2263"/>
    </row>
    <row r="78" spans="1:33" ht="24.75" thickBot="1">
      <c r="A78" s="2294" t="s">
        <v>2672</v>
      </c>
      <c r="B78" s="2300"/>
      <c r="C78" s="2164"/>
      <c r="D78" s="2281">
        <f t="shared" si="20"/>
        <v>0</v>
      </c>
      <c r="E78" s="2296"/>
      <c r="F78" s="2283"/>
      <c r="G78" s="2284"/>
      <c r="H78" s="2285">
        <f t="shared" si="21"/>
        <v>0</v>
      </c>
      <c r="I78" s="2297">
        <v>0.04</v>
      </c>
      <c r="J78" s="2287">
        <f t="shared" si="22"/>
        <v>0</v>
      </c>
      <c r="K78" s="2287">
        <f t="shared" si="23"/>
        <v>0</v>
      </c>
      <c r="L78" s="2287">
        <v>0</v>
      </c>
      <c r="M78" s="2287">
        <f t="shared" si="24"/>
        <v>0</v>
      </c>
      <c r="N78" s="2287">
        <f t="shared" si="24"/>
        <v>0</v>
      </c>
      <c r="Q78" s="3056"/>
      <c r="R78" s="3056"/>
      <c r="S78" s="3056"/>
      <c r="T78" s="3056"/>
      <c r="U78" s="3056"/>
      <c r="V78" s="3056"/>
      <c r="W78" s="3056"/>
      <c r="AA78" s="1624"/>
      <c r="AG78" s="2263"/>
    </row>
    <row r="79" spans="1:33" ht="15">
      <c r="A79" s="2269" t="s">
        <v>2673</v>
      </c>
      <c r="B79" s="2298">
        <f>1+E81</f>
        <v>1</v>
      </c>
      <c r="C79" s="2272"/>
      <c r="D79" s="2272"/>
      <c r="E79" s="2273"/>
      <c r="F79" s="2274"/>
      <c r="G79" s="608"/>
      <c r="H79" s="608"/>
      <c r="I79" s="608"/>
      <c r="J79" s="608"/>
      <c r="K79" s="608"/>
      <c r="L79" s="608"/>
      <c r="M79" s="608"/>
      <c r="N79" s="608"/>
      <c r="Q79" s="3056"/>
      <c r="R79" s="3056"/>
      <c r="S79" s="3056"/>
      <c r="T79" s="3056"/>
      <c r="U79" s="3056"/>
      <c r="V79" s="3056"/>
      <c r="W79" s="3056"/>
      <c r="AA79" s="1624"/>
      <c r="AG79" s="2263"/>
    </row>
    <row r="80" spans="1:33" ht="24.75">
      <c r="A80" s="2276" t="s">
        <v>2639</v>
      </c>
      <c r="B80" s="2288"/>
      <c r="C80" s="2277" t="s">
        <v>2641</v>
      </c>
      <c r="D80" s="2277" t="s">
        <v>2642</v>
      </c>
      <c r="E80" s="2278" t="s">
        <v>2643</v>
      </c>
      <c r="F80" s="2228" t="s">
        <v>2644</v>
      </c>
      <c r="G80" s="2277" t="s">
        <v>2665</v>
      </c>
      <c r="H80" s="2279" t="s">
        <v>2666</v>
      </c>
      <c r="I80" s="2277" t="s">
        <v>2667</v>
      </c>
      <c r="J80" s="1904" t="s">
        <v>2307</v>
      </c>
      <c r="K80" s="1904" t="s">
        <v>2308</v>
      </c>
      <c r="L80" s="1904" t="s">
        <v>2309</v>
      </c>
      <c r="M80" s="1904" t="s">
        <v>2310</v>
      </c>
      <c r="N80" s="1904" t="s">
        <v>2311</v>
      </c>
      <c r="Q80" s="3056"/>
      <c r="R80" s="3056"/>
      <c r="S80" s="3056"/>
      <c r="T80" s="3056"/>
      <c r="U80" s="3056"/>
      <c r="V80" s="3056"/>
      <c r="W80" s="3056"/>
      <c r="AA80" s="1624"/>
      <c r="AG80" s="2263"/>
    </row>
    <row r="81" spans="1:33" ht="38.25">
      <c r="A81" s="2276" t="s">
        <v>2674</v>
      </c>
      <c r="B81" s="2288" t="str">
        <f>估价对象房地状况!G15</f>
        <v>估价对象位于XX开发区，园区建设成熟度XX，产业集聚程度XX</v>
      </c>
      <c r="C81" s="2164"/>
      <c r="D81" s="2281">
        <f t="shared" ref="D81:D88" si="25">SUMIF($J$80:$N$80,C81,J81:N81)</f>
        <v>0</v>
      </c>
      <c r="E81" s="2282">
        <f>ROUND(SUM(D81:D88),4)</f>
        <v>0</v>
      </c>
      <c r="F81" s="2283" t="str">
        <f>IF(E2="工业",SUMIF(L1:L12,G2,N1:N12),"——")</f>
        <v>——</v>
      </c>
      <c r="G81" s="2284"/>
      <c r="H81" s="2285" t="str">
        <f t="shared" ref="H81:H88" si="26">IFERROR(ROUNDDOWN($F$81*I81/2,4),"——")</f>
        <v>——</v>
      </c>
      <c r="I81" s="2286">
        <v>0.26</v>
      </c>
      <c r="J81" s="2287">
        <f t="shared" ref="J81:J88" si="27">K81+$G81</f>
        <v>0</v>
      </c>
      <c r="K81" s="2287">
        <f t="shared" ref="K81:K88" si="28">$L81+$G81</f>
        <v>0</v>
      </c>
      <c r="L81" s="2287">
        <v>0</v>
      </c>
      <c r="M81" s="2287">
        <f t="shared" ref="M81:N88" si="29">L81-$G81</f>
        <v>0</v>
      </c>
      <c r="N81" s="2287">
        <f t="shared" si="29"/>
        <v>0</v>
      </c>
      <c r="Q81" s="3056"/>
      <c r="R81" s="3056"/>
      <c r="S81" s="3056"/>
      <c r="T81" s="3056"/>
      <c r="U81" s="3056"/>
      <c r="V81" s="3056"/>
      <c r="W81" s="3056"/>
      <c r="AA81" s="1624"/>
      <c r="AG81" s="2263"/>
    </row>
    <row r="82" spans="1:33" ht="51">
      <c r="A82" s="2276" t="s">
        <v>2654</v>
      </c>
      <c r="B82" s="2288" t="str">
        <f>估价对象房地状况!G16</f>
        <v>估价对象周边道路状况、公共交通通达情况、停车便捷程度，综合评价交通便捷度较好</v>
      </c>
      <c r="C82" s="2164"/>
      <c r="D82" s="2281">
        <f t="shared" si="25"/>
        <v>0</v>
      </c>
      <c r="E82" s="2289"/>
      <c r="F82" s="2283"/>
      <c r="G82" s="2284"/>
      <c r="H82" s="2285" t="str">
        <f t="shared" si="26"/>
        <v>——</v>
      </c>
      <c r="I82" s="2286">
        <v>0.33</v>
      </c>
      <c r="J82" s="2287">
        <f t="shared" si="27"/>
        <v>0</v>
      </c>
      <c r="K82" s="2287">
        <f t="shared" si="28"/>
        <v>0</v>
      </c>
      <c r="L82" s="2287">
        <v>0</v>
      </c>
      <c r="M82" s="2287">
        <f t="shared" si="29"/>
        <v>0</v>
      </c>
      <c r="N82" s="2287">
        <f t="shared" si="29"/>
        <v>0</v>
      </c>
      <c r="Q82" s="3056"/>
      <c r="R82" s="3056"/>
      <c r="S82" s="3056"/>
      <c r="T82" s="3056"/>
      <c r="U82" s="3056"/>
      <c r="V82" s="3056"/>
      <c r="W82" s="3056"/>
      <c r="AA82" s="1624"/>
      <c r="AG82" s="2263"/>
    </row>
    <row r="83" spans="1:33" ht="24">
      <c r="A83" s="2276" t="s">
        <v>2655</v>
      </c>
      <c r="B83" s="2288">
        <f>估价对象房地状况!G17</f>
        <v>0</v>
      </c>
      <c r="C83" s="2164"/>
      <c r="D83" s="2281">
        <f t="shared" si="25"/>
        <v>0</v>
      </c>
      <c r="E83" s="2289"/>
      <c r="F83" s="2283"/>
      <c r="G83" s="2284"/>
      <c r="H83" s="2285" t="str">
        <f t="shared" si="26"/>
        <v>——</v>
      </c>
      <c r="I83" s="2286">
        <v>0.05</v>
      </c>
      <c r="J83" s="2287">
        <f t="shared" si="27"/>
        <v>0</v>
      </c>
      <c r="K83" s="2287">
        <f t="shared" si="28"/>
        <v>0</v>
      </c>
      <c r="L83" s="2287">
        <v>0</v>
      </c>
      <c r="M83" s="2287">
        <f t="shared" si="29"/>
        <v>0</v>
      </c>
      <c r="N83" s="2287">
        <f t="shared" si="29"/>
        <v>0</v>
      </c>
      <c r="Q83" s="3056"/>
      <c r="R83" s="3056"/>
      <c r="S83" s="3056"/>
      <c r="T83" s="3056"/>
      <c r="U83" s="3056"/>
      <c r="V83" s="3056"/>
      <c r="W83" s="3056"/>
      <c r="AA83" s="1624"/>
      <c r="AG83" s="2263"/>
    </row>
    <row r="84" spans="1:33" ht="14.25">
      <c r="A84" s="2276" t="s">
        <v>2671</v>
      </c>
      <c r="B84" s="2288">
        <f>估价对象房地状况!G22</f>
        <v>0</v>
      </c>
      <c r="C84" s="2164"/>
      <c r="D84" s="2281">
        <f t="shared" si="25"/>
        <v>0</v>
      </c>
      <c r="E84" s="2289"/>
      <c r="F84" s="2283"/>
      <c r="G84" s="2284"/>
      <c r="H84" s="2285" t="str">
        <f t="shared" si="26"/>
        <v>——</v>
      </c>
      <c r="I84" s="2286">
        <v>0.04</v>
      </c>
      <c r="J84" s="2287">
        <f t="shared" si="27"/>
        <v>0</v>
      </c>
      <c r="K84" s="2287">
        <f t="shared" si="28"/>
        <v>0</v>
      </c>
      <c r="L84" s="2287">
        <v>0</v>
      </c>
      <c r="M84" s="2287">
        <f t="shared" si="29"/>
        <v>0</v>
      </c>
      <c r="N84" s="2287">
        <f t="shared" si="29"/>
        <v>0</v>
      </c>
      <c r="Q84" s="3056"/>
      <c r="R84" s="3056"/>
      <c r="S84" s="3056"/>
      <c r="T84" s="3056"/>
      <c r="U84" s="3056"/>
      <c r="V84" s="3056"/>
      <c r="W84" s="3056"/>
      <c r="AA84" s="1624"/>
      <c r="AG84" s="2263"/>
    </row>
    <row r="85" spans="1:33" ht="25.5">
      <c r="A85" s="2276" t="s">
        <v>2661</v>
      </c>
      <c r="B85" s="2293" t="str">
        <f>估价对象房地状况!G19</f>
        <v>估价对象所在区域公共配套设施齐备情况</v>
      </c>
      <c r="C85" s="2164"/>
      <c r="D85" s="2281">
        <f t="shared" si="25"/>
        <v>0</v>
      </c>
      <c r="E85" s="2289"/>
      <c r="F85" s="2283"/>
      <c r="G85" s="2284"/>
      <c r="H85" s="2285" t="str">
        <f t="shared" si="26"/>
        <v>——</v>
      </c>
      <c r="I85" s="2286">
        <v>0.06</v>
      </c>
      <c r="J85" s="2287">
        <f t="shared" si="27"/>
        <v>0</v>
      </c>
      <c r="K85" s="2287">
        <f t="shared" si="28"/>
        <v>0</v>
      </c>
      <c r="L85" s="2287">
        <v>0</v>
      </c>
      <c r="M85" s="2287">
        <f t="shared" si="29"/>
        <v>0</v>
      </c>
      <c r="N85" s="2287">
        <f t="shared" si="29"/>
        <v>0</v>
      </c>
      <c r="Q85" s="3056"/>
      <c r="R85" s="3056"/>
      <c r="S85" s="3056"/>
      <c r="T85" s="3056"/>
      <c r="U85" s="3056"/>
      <c r="V85" s="3056"/>
      <c r="W85" s="3056"/>
      <c r="AA85" s="1624"/>
      <c r="AG85" s="2263"/>
    </row>
    <row r="86" spans="1:33" ht="25.5">
      <c r="A86" s="2276" t="s">
        <v>2662</v>
      </c>
      <c r="B86" s="2293" t="str">
        <f>估价对象房地状况!G20</f>
        <v>估价对象所在区域基础设施水平</v>
      </c>
      <c r="C86" s="2164"/>
      <c r="D86" s="2281">
        <f t="shared" si="25"/>
        <v>0</v>
      </c>
      <c r="E86" s="2289"/>
      <c r="F86" s="2283"/>
      <c r="G86" s="2284"/>
      <c r="H86" s="2285" t="str">
        <f t="shared" si="26"/>
        <v>——</v>
      </c>
      <c r="I86" s="2286">
        <v>0.15</v>
      </c>
      <c r="J86" s="2287">
        <f t="shared" si="27"/>
        <v>0</v>
      </c>
      <c r="K86" s="2287">
        <f t="shared" si="28"/>
        <v>0</v>
      </c>
      <c r="L86" s="2287">
        <v>0</v>
      </c>
      <c r="M86" s="2287">
        <f t="shared" si="29"/>
        <v>0</v>
      </c>
      <c r="N86" s="2287">
        <f t="shared" si="29"/>
        <v>0</v>
      </c>
      <c r="Q86" s="3056"/>
      <c r="R86" s="3056"/>
      <c r="S86" s="3056"/>
      <c r="T86" s="3056"/>
      <c r="U86" s="3056"/>
      <c r="V86" s="3056"/>
      <c r="W86" s="3056"/>
      <c r="AA86" s="1624"/>
      <c r="AG86" s="2263"/>
    </row>
    <row r="87" spans="1:33" ht="24">
      <c r="A87" s="2276" t="s">
        <v>2659</v>
      </c>
      <c r="B87" s="2291" t="s">
        <v>2660</v>
      </c>
      <c r="C87" s="2164"/>
      <c r="D87" s="2281">
        <f t="shared" si="25"/>
        <v>0</v>
      </c>
      <c r="E87" s="2289"/>
      <c r="F87" s="2283"/>
      <c r="G87" s="2284"/>
      <c r="H87" s="2285" t="str">
        <f t="shared" si="26"/>
        <v>——</v>
      </c>
      <c r="I87" s="2286">
        <v>0.05</v>
      </c>
      <c r="J87" s="2287">
        <f t="shared" si="27"/>
        <v>0</v>
      </c>
      <c r="K87" s="2287">
        <f t="shared" si="28"/>
        <v>0</v>
      </c>
      <c r="L87" s="2287">
        <v>0</v>
      </c>
      <c r="M87" s="2287">
        <f t="shared" si="29"/>
        <v>0</v>
      </c>
      <c r="N87" s="2287">
        <f t="shared" si="29"/>
        <v>0</v>
      </c>
      <c r="Q87" s="3056"/>
      <c r="R87" s="3056"/>
      <c r="S87" s="3056"/>
      <c r="T87" s="3056"/>
      <c r="U87" s="3056"/>
      <c r="V87" s="3056"/>
      <c r="W87" s="3056"/>
      <c r="AA87" s="1624"/>
      <c r="AG87" s="2263"/>
    </row>
    <row r="88" spans="1:33" ht="39" thickBot="1">
      <c r="A88" s="2294" t="s">
        <v>2675</v>
      </c>
      <c r="B88" s="2301" t="str">
        <f>估价对象房地状况!G18</f>
        <v>该园区内是否有污染型企业，绿化情况，卫生条件，整体环境状况判断</v>
      </c>
      <c r="C88" s="2302"/>
      <c r="D88" s="2303">
        <f t="shared" si="25"/>
        <v>0</v>
      </c>
      <c r="E88" s="2296"/>
      <c r="F88" s="2283"/>
      <c r="G88" s="2284"/>
      <c r="H88" s="2285" t="str">
        <f t="shared" si="26"/>
        <v>——</v>
      </c>
      <c r="I88" s="2297">
        <v>0.06</v>
      </c>
      <c r="J88" s="2287">
        <f t="shared" si="27"/>
        <v>0</v>
      </c>
      <c r="K88" s="2287">
        <f t="shared" si="28"/>
        <v>0</v>
      </c>
      <c r="L88" s="2287">
        <v>0</v>
      </c>
      <c r="M88" s="2287">
        <f t="shared" si="29"/>
        <v>0</v>
      </c>
      <c r="N88" s="2287">
        <f t="shared" si="29"/>
        <v>0</v>
      </c>
      <c r="Q88" s="3056"/>
      <c r="R88" s="3056"/>
      <c r="S88" s="3056"/>
      <c r="T88" s="3056"/>
      <c r="U88" s="3056"/>
      <c r="V88" s="3056"/>
      <c r="W88" s="3056"/>
      <c r="AA88" s="1624"/>
      <c r="AG88" s="2263"/>
    </row>
    <row r="89" spans="1:33">
      <c r="Q89" s="3056"/>
      <c r="R89" s="3056"/>
      <c r="S89" s="3056"/>
      <c r="T89" s="3056"/>
      <c r="U89" s="3056"/>
      <c r="V89" s="3056"/>
      <c r="W89" s="3056"/>
    </row>
    <row r="90" spans="1:33">
      <c r="A90" s="3743" t="s">
        <v>2676</v>
      </c>
      <c r="B90" s="3743"/>
      <c r="C90" s="3743"/>
      <c r="D90" s="3743"/>
      <c r="E90" s="3743"/>
      <c r="F90" s="3743"/>
      <c r="G90" s="3743"/>
      <c r="H90" s="3743"/>
      <c r="I90" s="3743"/>
      <c r="J90" s="3743"/>
      <c r="K90" s="2304"/>
      <c r="L90" s="2304"/>
      <c r="M90" s="2304"/>
      <c r="N90" s="2304"/>
      <c r="Q90" s="3056"/>
      <c r="R90" s="3056"/>
      <c r="S90" s="3056"/>
      <c r="T90" s="3056"/>
      <c r="U90" s="3056"/>
      <c r="V90" s="3056"/>
      <c r="W90" s="3056"/>
    </row>
    <row r="91" spans="1:33">
      <c r="A91" s="3745" t="s">
        <v>2677</v>
      </c>
      <c r="B91" s="3745" t="s">
        <v>2678</v>
      </c>
      <c r="C91" s="2243" t="s">
        <v>2679</v>
      </c>
      <c r="D91" s="2244"/>
      <c r="E91" s="2244"/>
      <c r="F91" s="2244"/>
      <c r="G91" s="2244"/>
      <c r="H91" s="2244"/>
      <c r="I91" s="2244"/>
      <c r="J91" s="2306"/>
      <c r="K91" s="2066"/>
      <c r="L91" s="2066"/>
      <c r="M91" s="2066"/>
      <c r="N91" s="2066"/>
      <c r="Q91" s="3056"/>
      <c r="R91" s="3056"/>
      <c r="S91" s="3056"/>
      <c r="T91" s="3056"/>
      <c r="U91" s="3056"/>
      <c r="V91" s="3056"/>
      <c r="W91" s="3056"/>
    </row>
    <row r="92" spans="1:33">
      <c r="A92" s="3745"/>
      <c r="B92" s="3745"/>
      <c r="C92" s="2029" t="s">
        <v>2532</v>
      </c>
      <c r="D92" s="2029" t="s">
        <v>2533</v>
      </c>
      <c r="E92" s="2029" t="s">
        <v>2534</v>
      </c>
      <c r="F92" s="2029" t="s">
        <v>2535</v>
      </c>
      <c r="G92" s="2029" t="s">
        <v>2536</v>
      </c>
      <c r="H92" s="2029" t="s">
        <v>2537</v>
      </c>
      <c r="I92" s="2029" t="s">
        <v>2538</v>
      </c>
      <c r="J92" s="2029" t="s">
        <v>2539</v>
      </c>
      <c r="K92" s="2029" t="s">
        <v>2540</v>
      </c>
      <c r="L92" s="2029" t="s">
        <v>2541</v>
      </c>
      <c r="M92" s="2029" t="s">
        <v>2542</v>
      </c>
      <c r="N92" s="2029" t="s">
        <v>2543</v>
      </c>
      <c r="Q92" s="3056"/>
      <c r="R92" s="3056"/>
      <c r="S92" s="3056"/>
      <c r="T92" s="3056"/>
      <c r="U92" s="3056"/>
      <c r="V92" s="3056"/>
      <c r="W92" s="3056"/>
    </row>
    <row r="93" spans="1:33">
      <c r="A93" s="3746" t="s">
        <v>2680</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3747"/>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3747"/>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3747"/>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3747"/>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3747"/>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3747"/>
      <c r="B99" s="2307" t="s">
        <v>2548</v>
      </c>
      <c r="C99" s="2309">
        <f>$I$3</f>
        <v>0</v>
      </c>
      <c r="D99" s="2309">
        <f t="shared" ref="D99:M99" si="30">$I$3</f>
        <v>0</v>
      </c>
      <c r="E99" s="2309">
        <f t="shared" si="30"/>
        <v>0</v>
      </c>
      <c r="F99" s="2309">
        <f t="shared" si="30"/>
        <v>0</v>
      </c>
      <c r="G99" s="2309">
        <f t="shared" si="30"/>
        <v>0</v>
      </c>
      <c r="H99" s="2309">
        <f t="shared" si="30"/>
        <v>0</v>
      </c>
      <c r="I99" s="2309">
        <f t="shared" si="30"/>
        <v>0</v>
      </c>
      <c r="J99" s="2309">
        <f t="shared" si="30"/>
        <v>0</v>
      </c>
      <c r="K99" s="2309">
        <f t="shared" si="30"/>
        <v>0</v>
      </c>
      <c r="L99" s="2309">
        <f t="shared" si="30"/>
        <v>0</v>
      </c>
      <c r="M99" s="2309">
        <f t="shared" si="30"/>
        <v>0</v>
      </c>
      <c r="N99" s="2309">
        <f>$I$3</f>
        <v>0</v>
      </c>
      <c r="Q99" s="3056"/>
      <c r="R99" s="3056"/>
      <c r="S99" s="3056"/>
      <c r="T99" s="3056"/>
      <c r="U99" s="3056"/>
      <c r="V99" s="3056"/>
      <c r="W99" s="3056"/>
    </row>
    <row r="100" spans="1:23">
      <c r="A100" s="3748"/>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3746" t="s">
        <v>2681</v>
      </c>
      <c r="B101" s="2311" t="s">
        <v>2682</v>
      </c>
      <c r="C101" s="2312">
        <f>$G$3</f>
        <v>2</v>
      </c>
      <c r="D101" s="2312">
        <f t="shared" ref="D101:N101" si="31">$G$3</f>
        <v>2</v>
      </c>
      <c r="E101" s="2312">
        <f t="shared" si="31"/>
        <v>2</v>
      </c>
      <c r="F101" s="2312">
        <f t="shared" si="31"/>
        <v>2</v>
      </c>
      <c r="G101" s="2312">
        <f t="shared" si="31"/>
        <v>2</v>
      </c>
      <c r="H101" s="2312">
        <f t="shared" si="31"/>
        <v>2</v>
      </c>
      <c r="I101" s="2312">
        <f t="shared" si="31"/>
        <v>2</v>
      </c>
      <c r="J101" s="2312">
        <f t="shared" si="31"/>
        <v>2</v>
      </c>
      <c r="K101" s="2312">
        <f t="shared" si="31"/>
        <v>2</v>
      </c>
      <c r="L101" s="2312">
        <f t="shared" si="31"/>
        <v>2</v>
      </c>
      <c r="M101" s="2312">
        <f t="shared" si="31"/>
        <v>2</v>
      </c>
      <c r="N101" s="2312">
        <f t="shared" si="31"/>
        <v>2</v>
      </c>
      <c r="Q101" s="3056"/>
      <c r="R101" s="3056"/>
      <c r="S101" s="3056"/>
      <c r="T101" s="3056"/>
      <c r="U101" s="3056"/>
      <c r="V101" s="3056"/>
      <c r="W101" s="3056"/>
    </row>
    <row r="102" spans="1:23">
      <c r="A102" s="3747"/>
      <c r="B102" s="2307">
        <v>1</v>
      </c>
      <c r="C102" s="2308">
        <f>1.9362/C101</f>
        <v>0.96809999999999996</v>
      </c>
      <c r="D102" s="2308">
        <f>1.9362/D101</f>
        <v>0.96809999999999996</v>
      </c>
      <c r="E102" s="2308">
        <f>1.8629/E101</f>
        <v>0.93145</v>
      </c>
      <c r="F102" s="2308">
        <f>1.8629/F101</f>
        <v>0.93145</v>
      </c>
      <c r="G102" s="2308">
        <f>1.8629/G101</f>
        <v>0.93145</v>
      </c>
      <c r="H102" s="2308">
        <f>1.8629/H101</f>
        <v>0.93145</v>
      </c>
      <c r="I102" s="2308">
        <f>1.8629/I101</f>
        <v>0.93145</v>
      </c>
      <c r="J102" s="2308">
        <f>1.942/J101</f>
        <v>0.97099999999999997</v>
      </c>
      <c r="K102" s="2308">
        <f>1.942/K101</f>
        <v>0.97099999999999997</v>
      </c>
      <c r="L102" s="2308">
        <f>1.942/L101</f>
        <v>0.97099999999999997</v>
      </c>
      <c r="M102" s="2308">
        <f>1.942/M101</f>
        <v>0.97099999999999997</v>
      </c>
      <c r="N102" s="2308">
        <f>1.942/N101</f>
        <v>0.97099999999999997</v>
      </c>
      <c r="Q102" s="3056"/>
      <c r="R102" s="3056"/>
      <c r="S102" s="3056"/>
      <c r="T102" s="3056"/>
      <c r="U102" s="3056"/>
      <c r="V102" s="3056"/>
      <c r="W102" s="3056"/>
    </row>
    <row r="103" spans="1:23">
      <c r="A103" s="3747"/>
      <c r="B103" s="2307">
        <v>2</v>
      </c>
      <c r="C103" s="2308">
        <f>1.4198/C101</f>
        <v>0.70989999999999998</v>
      </c>
      <c r="D103" s="2308">
        <f>1.4198/D101</f>
        <v>0.70989999999999998</v>
      </c>
      <c r="E103" s="2308">
        <f>1.3372/E101</f>
        <v>0.66859999999999997</v>
      </c>
      <c r="F103" s="2308">
        <f>1.3372/F101</f>
        <v>0.66859999999999997</v>
      </c>
      <c r="G103" s="2308">
        <f>1.3372/G101</f>
        <v>0.66859999999999997</v>
      </c>
      <c r="H103" s="2308">
        <f>1.3372/H101</f>
        <v>0.66859999999999997</v>
      </c>
      <c r="I103" s="2308">
        <f>1.3372/I101</f>
        <v>0.66859999999999997</v>
      </c>
      <c r="J103" s="2308">
        <f>1.2799/J101</f>
        <v>0.63995000000000002</v>
      </c>
      <c r="K103" s="2308">
        <f>1.2799/K101</f>
        <v>0.63995000000000002</v>
      </c>
      <c r="L103" s="2308">
        <f>1.2799/L101</f>
        <v>0.63995000000000002</v>
      </c>
      <c r="M103" s="2308">
        <f>1.2799/M101</f>
        <v>0.63995000000000002</v>
      </c>
      <c r="N103" s="2308">
        <f>1.2799/N101</f>
        <v>0.63995000000000002</v>
      </c>
      <c r="Q103" s="3056"/>
      <c r="R103" s="3056"/>
      <c r="S103" s="3056"/>
      <c r="T103" s="3056"/>
      <c r="U103" s="3056"/>
      <c r="V103" s="3056"/>
      <c r="W103" s="3056"/>
    </row>
    <row r="104" spans="1:23">
      <c r="A104" s="3747"/>
      <c r="B104" s="2307">
        <v>3</v>
      </c>
      <c r="C104" s="2308">
        <f>1.1594/C101</f>
        <v>0.57969999999999999</v>
      </c>
      <c r="D104" s="2308">
        <f>1.1594/D101</f>
        <v>0.57969999999999999</v>
      </c>
      <c r="E104" s="2308">
        <f>1.0788/E101</f>
        <v>0.53939999999999999</v>
      </c>
      <c r="F104" s="2308">
        <f>1.0788/F101</f>
        <v>0.53939999999999999</v>
      </c>
      <c r="G104" s="2308">
        <f>1.0788/G101</f>
        <v>0.53939999999999999</v>
      </c>
      <c r="H104" s="2308">
        <f>1.0788/H101</f>
        <v>0.53939999999999999</v>
      </c>
      <c r="I104" s="2308">
        <f>1.0788/I101</f>
        <v>0.53939999999999999</v>
      </c>
      <c r="J104" s="2308">
        <f>1.0072/J101</f>
        <v>0.50360000000000005</v>
      </c>
      <c r="K104" s="2308">
        <f>1.0072/K101</f>
        <v>0.50360000000000005</v>
      </c>
      <c r="L104" s="2308">
        <f>1.0072/L101</f>
        <v>0.50360000000000005</v>
      </c>
      <c r="M104" s="2308">
        <f>1.0072/M101</f>
        <v>0.50360000000000005</v>
      </c>
      <c r="N104" s="2308">
        <f>1.0072/N101</f>
        <v>0.50360000000000005</v>
      </c>
      <c r="Q104" s="3056"/>
      <c r="R104" s="3056"/>
      <c r="S104" s="3056"/>
      <c r="T104" s="3056"/>
      <c r="U104" s="3056"/>
      <c r="V104" s="3056"/>
      <c r="W104" s="3056"/>
    </row>
    <row r="105" spans="1:23">
      <c r="A105" s="3747"/>
      <c r="B105" s="2307">
        <v>4</v>
      </c>
      <c r="C105" s="2308">
        <f>0.9622/C101</f>
        <v>0.48110000000000003</v>
      </c>
      <c r="D105" s="2308">
        <f>0.9622/D101</f>
        <v>0.48110000000000003</v>
      </c>
      <c r="E105" s="2308">
        <f>0.8656/E101</f>
        <v>0.43280000000000002</v>
      </c>
      <c r="F105" s="2308">
        <f>0.8656/F101</f>
        <v>0.43280000000000002</v>
      </c>
      <c r="G105" s="2308">
        <f>0.8656/G101</f>
        <v>0.43280000000000002</v>
      </c>
      <c r="H105" s="2308">
        <f>0.8656/H101</f>
        <v>0.43280000000000002</v>
      </c>
      <c r="I105" s="2308">
        <f>0.8656/I101</f>
        <v>0.43280000000000002</v>
      </c>
      <c r="J105" s="2308">
        <f>0.7525/J101</f>
        <v>0.37624999999999997</v>
      </c>
      <c r="K105" s="2308">
        <f>0.7525/K101</f>
        <v>0.37624999999999997</v>
      </c>
      <c r="L105" s="2308">
        <f>0.7525/L101</f>
        <v>0.37624999999999997</v>
      </c>
      <c r="M105" s="2308">
        <f>0.7525/M101</f>
        <v>0.37624999999999997</v>
      </c>
      <c r="N105" s="2308">
        <f>0.7525/N101</f>
        <v>0.37624999999999997</v>
      </c>
      <c r="Q105" s="3056"/>
      <c r="R105" s="3056"/>
      <c r="S105" s="3056"/>
      <c r="T105" s="3056"/>
      <c r="U105" s="3056"/>
      <c r="V105" s="3056"/>
      <c r="W105" s="3056"/>
    </row>
    <row r="106" spans="1:23">
      <c r="A106" s="3747"/>
      <c r="B106" s="2307">
        <v>5</v>
      </c>
      <c r="C106" s="2308">
        <f>0.8417/C101</f>
        <v>0.42085</v>
      </c>
      <c r="D106" s="2308">
        <f>0.8417/D101</f>
        <v>0.42085</v>
      </c>
      <c r="E106" s="2308">
        <f>0.7371/E101</f>
        <v>0.36854999999999999</v>
      </c>
      <c r="F106" s="2308">
        <f>0.7371/F101</f>
        <v>0.36854999999999999</v>
      </c>
      <c r="G106" s="2308">
        <f>0.7371/G101</f>
        <v>0.36854999999999999</v>
      </c>
      <c r="H106" s="2308">
        <f>0.7371/H101</f>
        <v>0.36854999999999999</v>
      </c>
      <c r="I106" s="2308">
        <f>0.7371/I101</f>
        <v>0.36854999999999999</v>
      </c>
      <c r="J106" s="2308">
        <f>0.5659/J101</f>
        <v>0.28294999999999998</v>
      </c>
      <c r="K106" s="2308">
        <f>0.5659/K101</f>
        <v>0.28294999999999998</v>
      </c>
      <c r="L106" s="2308">
        <f>0.5659/L101</f>
        <v>0.28294999999999998</v>
      </c>
      <c r="M106" s="2308">
        <f>0.5659/M101</f>
        <v>0.28294999999999998</v>
      </c>
      <c r="N106" s="2308">
        <f>0.5659/N101</f>
        <v>0.28294999999999998</v>
      </c>
      <c r="Q106" s="3056"/>
      <c r="R106" s="3056"/>
      <c r="S106" s="3056"/>
      <c r="T106" s="3056"/>
      <c r="U106" s="3056"/>
      <c r="V106" s="3056"/>
      <c r="W106" s="3056"/>
    </row>
    <row r="107" spans="1:23">
      <c r="A107" s="3747"/>
      <c r="B107" s="2307">
        <v>6</v>
      </c>
      <c r="C107" s="2308">
        <f>0.7608/C101</f>
        <v>0.38040000000000002</v>
      </c>
      <c r="D107" s="2308">
        <f>0.7608/D101</f>
        <v>0.38040000000000002</v>
      </c>
      <c r="E107" s="2308">
        <f>0.6482/E101</f>
        <v>0.3241</v>
      </c>
      <c r="F107" s="2308">
        <f>0.6482/F101</f>
        <v>0.3241</v>
      </c>
      <c r="G107" s="2308">
        <f>0.6482/G101</f>
        <v>0.3241</v>
      </c>
      <c r="H107" s="2308">
        <f>0.6482/H101</f>
        <v>0.3241</v>
      </c>
      <c r="I107" s="2308">
        <f>0.6482/I101</f>
        <v>0.3241</v>
      </c>
      <c r="J107" s="2308">
        <f>0.4525/J101</f>
        <v>0.22625000000000001</v>
      </c>
      <c r="K107" s="2308">
        <f>0.4525/K101</f>
        <v>0.22625000000000001</v>
      </c>
      <c r="L107" s="2308">
        <f>0.4525/L101</f>
        <v>0.22625000000000001</v>
      </c>
      <c r="M107" s="2308">
        <f>0.4525/M101</f>
        <v>0.22625000000000001</v>
      </c>
      <c r="N107" s="2308">
        <f>0.4525/N101</f>
        <v>0.22625000000000001</v>
      </c>
      <c r="Q107" s="3056"/>
      <c r="R107" s="3056"/>
      <c r="S107" s="3056"/>
      <c r="T107" s="3056"/>
      <c r="U107" s="3056"/>
      <c r="V107" s="3056"/>
      <c r="W107" s="3056"/>
    </row>
    <row r="108" spans="1:23">
      <c r="A108" s="3747"/>
      <c r="B108" s="3749" t="s">
        <v>2683</v>
      </c>
      <c r="C108" s="2309">
        <f>C99</f>
        <v>0</v>
      </c>
      <c r="D108" s="2309">
        <f t="shared" ref="D108:N108" si="32">D99</f>
        <v>0</v>
      </c>
      <c r="E108" s="2309">
        <f t="shared" si="32"/>
        <v>0</v>
      </c>
      <c r="F108" s="2309">
        <f t="shared" si="32"/>
        <v>0</v>
      </c>
      <c r="G108" s="2309">
        <f t="shared" si="32"/>
        <v>0</v>
      </c>
      <c r="H108" s="2309">
        <f t="shared" si="32"/>
        <v>0</v>
      </c>
      <c r="I108" s="2309">
        <f t="shared" si="32"/>
        <v>0</v>
      </c>
      <c r="J108" s="2309">
        <f t="shared" si="32"/>
        <v>0</v>
      </c>
      <c r="K108" s="2309">
        <f t="shared" si="32"/>
        <v>0</v>
      </c>
      <c r="L108" s="2309">
        <f t="shared" si="32"/>
        <v>0</v>
      </c>
      <c r="M108" s="2309">
        <f t="shared" si="32"/>
        <v>0</v>
      </c>
      <c r="N108" s="2309">
        <f t="shared" si="32"/>
        <v>0</v>
      </c>
      <c r="Q108" s="3056"/>
      <c r="R108" s="3056"/>
      <c r="S108" s="3056"/>
      <c r="T108" s="3056"/>
      <c r="U108" s="3056"/>
      <c r="V108" s="3056"/>
      <c r="W108" s="3056"/>
    </row>
    <row r="109" spans="1:23">
      <c r="A109" s="3748"/>
      <c r="B109" s="3750"/>
      <c r="C109" s="2310">
        <f>(-0.163*(C108^2)-0.59*C108+7617)*(10^(-4))/C101</f>
        <v>0.38085000000000002</v>
      </c>
      <c r="D109" s="2310">
        <f>(-0.163*(D108^2)-0.59*D108+7617)*(10^(-4))/D101</f>
        <v>0.38085000000000002</v>
      </c>
      <c r="E109" s="2310">
        <f>(-0.161*(E108^2)-7.509*E108+6533)*(10^(-4))/E101</f>
        <v>0.32665</v>
      </c>
      <c r="F109" s="2310">
        <f>(-0.161*(F108^2)-7.509*F108+6533)*(10^(-4))/F101</f>
        <v>0.32665</v>
      </c>
      <c r="G109" s="2310">
        <f>(-0.161*(G108^2)-7.509*G108+6533)*(10^(-4))/G101</f>
        <v>0.32665</v>
      </c>
      <c r="H109" s="2310">
        <f>(-0.161*(H108^2)-7.509*H108+6533)*(10^(-4))/H101</f>
        <v>0.32665</v>
      </c>
      <c r="I109" s="2310">
        <f>(-0.161*(I108^2)-7.509*I108+6533)*(10^(-4))/I101</f>
        <v>0.32665</v>
      </c>
      <c r="J109" s="2310">
        <f>(-0.214*(J108^2)-21.991*J108+4665)*(10^(-4))/J101</f>
        <v>0.23325000000000001</v>
      </c>
      <c r="K109" s="2310">
        <f>(-0.214*(K108^2)-21.991*K108+4665)*(10^(-4))/K101</f>
        <v>0.23325000000000001</v>
      </c>
      <c r="L109" s="2310">
        <f>(-0.214*(L108^2)-21.991*L108+4665)*(10^(-4))/L101</f>
        <v>0.23325000000000001</v>
      </c>
      <c r="M109" s="2310">
        <f>(-0.214*(M108^2)-21.991*M108+4665)*(10^(-4))/M101</f>
        <v>0.23325000000000001</v>
      </c>
      <c r="N109" s="2310">
        <f>(-0.214*(N108^2)-21.991*N108+4665)*(10^(-4))/N101</f>
        <v>0.23325000000000001</v>
      </c>
      <c r="Q109" s="3056"/>
      <c r="R109" s="3056"/>
      <c r="S109" s="3056"/>
      <c r="T109" s="3056"/>
      <c r="U109" s="3056"/>
      <c r="V109" s="3056"/>
      <c r="W109" s="3056"/>
    </row>
    <row r="110" spans="1:23">
      <c r="A110" s="3744" t="s">
        <v>2684</v>
      </c>
      <c r="B110" s="3744"/>
      <c r="C110" s="3744"/>
      <c r="D110" s="3744"/>
      <c r="E110" s="3744"/>
      <c r="F110" s="3744"/>
      <c r="G110" s="3744"/>
      <c r="H110" s="3744"/>
      <c r="I110" s="3744"/>
      <c r="J110" s="3744"/>
      <c r="K110" s="2078"/>
      <c r="L110" s="2078"/>
      <c r="M110" s="2078"/>
      <c r="N110" s="2078"/>
      <c r="Q110" s="3056"/>
      <c r="R110" s="3056"/>
      <c r="S110" s="3056"/>
      <c r="T110" s="3056"/>
      <c r="U110" s="3056"/>
      <c r="V110" s="3056"/>
      <c r="W110" s="3056"/>
    </row>
    <row r="112" spans="1:23" ht="13.5" thickBot="1"/>
    <row r="113" spans="1:13" ht="25.5" thickBot="1">
      <c r="A113" s="2313" t="s">
        <v>2685</v>
      </c>
      <c r="B113" s="2314">
        <f>G3</f>
        <v>2</v>
      </c>
      <c r="C113" s="2315" t="s">
        <v>2686</v>
      </c>
      <c r="D113" s="2316">
        <f>SUMPRODUCT((A115:A118=F113)*(B114:M114=H113)*B115:M118)</f>
        <v>0</v>
      </c>
      <c r="E113" s="1602" t="s">
        <v>2572</v>
      </c>
      <c r="F113" s="2317" t="str">
        <f>E2</f>
        <v>住宅</v>
      </c>
      <c r="G113" s="1602" t="s">
        <v>2506</v>
      </c>
      <c r="H113" s="2317">
        <f>G2</f>
        <v>0</v>
      </c>
      <c r="I113" s="1602"/>
      <c r="J113" s="2318"/>
      <c r="K113" s="2318"/>
      <c r="L113" s="2318"/>
      <c r="M113" s="2318"/>
    </row>
    <row r="114" spans="1:13">
      <c r="A114" s="2319"/>
      <c r="B114" s="2320" t="s">
        <v>2687</v>
      </c>
      <c r="C114" s="2320" t="s">
        <v>2688</v>
      </c>
      <c r="D114" s="2320" t="s">
        <v>2689</v>
      </c>
      <c r="E114" s="2321" t="s">
        <v>2690</v>
      </c>
      <c r="F114" s="2321" t="s">
        <v>2691</v>
      </c>
      <c r="G114" s="2321" t="s">
        <v>2692</v>
      </c>
      <c r="H114" s="2322" t="s">
        <v>2693</v>
      </c>
      <c r="I114" s="2322" t="s">
        <v>2694</v>
      </c>
      <c r="J114" s="2323" t="s">
        <v>2695</v>
      </c>
      <c r="K114" s="2323" t="s">
        <v>2696</v>
      </c>
      <c r="L114" s="2323" t="s">
        <v>2697</v>
      </c>
      <c r="M114" s="2324" t="s">
        <v>2698</v>
      </c>
    </row>
    <row r="115" spans="1:13">
      <c r="A115" s="2325" t="s">
        <v>2573</v>
      </c>
      <c r="B115" s="2326">
        <f>ROUND(0.9335-0.0094*B113,4)</f>
        <v>0.91469999999999996</v>
      </c>
      <c r="C115" s="2326">
        <f>B115</f>
        <v>0.91469999999999996</v>
      </c>
      <c r="D115" s="2326">
        <f>ROUND(0.8331-0.0109*B113,4)</f>
        <v>0.81130000000000002</v>
      </c>
      <c r="E115" s="2326">
        <f>D115</f>
        <v>0.81130000000000002</v>
      </c>
      <c r="F115" s="2326">
        <f>E115</f>
        <v>0.81130000000000002</v>
      </c>
      <c r="G115" s="2326">
        <f>F115</f>
        <v>0.81130000000000002</v>
      </c>
      <c r="H115" s="2326">
        <f>G115</f>
        <v>0.81130000000000002</v>
      </c>
      <c r="I115" s="2326">
        <f>ROUND(0.689-0.0155*B113,4)</f>
        <v>0.65800000000000003</v>
      </c>
      <c r="J115" s="2326">
        <f t="shared" ref="J115:M118" si="33">I115</f>
        <v>0.65800000000000003</v>
      </c>
      <c r="K115" s="2326">
        <f t="shared" si="33"/>
        <v>0.65800000000000003</v>
      </c>
      <c r="L115" s="2326">
        <f t="shared" si="33"/>
        <v>0.65800000000000003</v>
      </c>
      <c r="M115" s="2327">
        <f t="shared" si="33"/>
        <v>0.65800000000000003</v>
      </c>
    </row>
    <row r="116" spans="1:13">
      <c r="A116" s="2325" t="s">
        <v>2574</v>
      </c>
      <c r="B116" s="2326">
        <f>ROUND(0.949-0.012*B113,4)</f>
        <v>0.92500000000000004</v>
      </c>
      <c r="C116" s="2326">
        <f>B116</f>
        <v>0.92500000000000004</v>
      </c>
      <c r="D116" s="2326">
        <f>ROUND(0.8567-0.013*B113,4)</f>
        <v>0.83069999999999999</v>
      </c>
      <c r="E116" s="2326">
        <f t="shared" ref="E116:H117" si="34">D116</f>
        <v>0.83069999999999999</v>
      </c>
      <c r="F116" s="2326">
        <f t="shared" si="34"/>
        <v>0.83069999999999999</v>
      </c>
      <c r="G116" s="2326">
        <f t="shared" si="34"/>
        <v>0.83069999999999999</v>
      </c>
      <c r="H116" s="2326">
        <f t="shared" si="34"/>
        <v>0.83069999999999999</v>
      </c>
      <c r="I116" s="2326">
        <f>ROUND(0.7694-0.014*B113,4)</f>
        <v>0.74139999999999995</v>
      </c>
      <c r="J116" s="2326">
        <f t="shared" si="33"/>
        <v>0.74139999999999995</v>
      </c>
      <c r="K116" s="2326">
        <f t="shared" si="33"/>
        <v>0.74139999999999995</v>
      </c>
      <c r="L116" s="2326">
        <f t="shared" si="33"/>
        <v>0.74139999999999995</v>
      </c>
      <c r="M116" s="2327">
        <f t="shared" si="33"/>
        <v>0.74139999999999995</v>
      </c>
    </row>
    <row r="117" spans="1:13">
      <c r="A117" s="2325" t="s">
        <v>2575</v>
      </c>
      <c r="B117" s="2326">
        <f>ROUND(0.8808-0.006*B113,4)</f>
        <v>0.86880000000000002</v>
      </c>
      <c r="C117" s="2326">
        <f>B117</f>
        <v>0.86880000000000002</v>
      </c>
      <c r="D117" s="2326">
        <f>ROUND(0.8748-0.008*B113,4)</f>
        <v>0.85880000000000001</v>
      </c>
      <c r="E117" s="2326">
        <f t="shared" si="34"/>
        <v>0.85880000000000001</v>
      </c>
      <c r="F117" s="2326">
        <f t="shared" si="34"/>
        <v>0.85880000000000001</v>
      </c>
      <c r="G117" s="2326">
        <f t="shared" si="34"/>
        <v>0.85880000000000001</v>
      </c>
      <c r="H117" s="2326">
        <f t="shared" si="34"/>
        <v>0.85880000000000001</v>
      </c>
      <c r="I117" s="2326">
        <f>ROUND(0.7412-0.0095*B113,4)</f>
        <v>0.72219999999999995</v>
      </c>
      <c r="J117" s="2326">
        <f t="shared" si="33"/>
        <v>0.72219999999999995</v>
      </c>
      <c r="K117" s="2326">
        <f t="shared" si="33"/>
        <v>0.72219999999999995</v>
      </c>
      <c r="L117" s="2326">
        <f t="shared" si="33"/>
        <v>0.72219999999999995</v>
      </c>
      <c r="M117" s="2327">
        <f t="shared" si="33"/>
        <v>0.72219999999999995</v>
      </c>
    </row>
    <row r="118" spans="1:13" ht="13.5" thickBot="1">
      <c r="A118" s="2328" t="s">
        <v>2576</v>
      </c>
      <c r="B118" s="2329">
        <f>ROUND(0.7275-0.01*B113,4)</f>
        <v>0.70750000000000002</v>
      </c>
      <c r="C118" s="2329">
        <f>B118</f>
        <v>0.70750000000000002</v>
      </c>
      <c r="D118" s="2329">
        <f>ROUND(0.7043-0.012*B113,4)</f>
        <v>0.68030000000000002</v>
      </c>
      <c r="E118" s="2329">
        <f>D118</f>
        <v>0.68030000000000002</v>
      </c>
      <c r="F118" s="2329">
        <f>E118</f>
        <v>0.68030000000000002</v>
      </c>
      <c r="G118" s="2329">
        <f>ROUND(0.6299-0.0122*B113,4)</f>
        <v>0.60550000000000004</v>
      </c>
      <c r="H118" s="2329">
        <f>G118</f>
        <v>0.60550000000000004</v>
      </c>
      <c r="I118" s="2329">
        <f>ROUND(0.5667-0.0136*B113,4)</f>
        <v>0.53949999999999998</v>
      </c>
      <c r="J118" s="2329">
        <f t="shared" si="33"/>
        <v>0.53949999999999998</v>
      </c>
      <c r="K118" s="2329">
        <f t="shared" si="33"/>
        <v>0.53949999999999998</v>
      </c>
      <c r="L118" s="2329">
        <f t="shared" si="33"/>
        <v>0.53949999999999998</v>
      </c>
      <c r="M118" s="2330">
        <f t="shared" si="33"/>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F344"/>
  <sheetViews>
    <sheetView workbookViewId="0">
      <selection sqref="A1:IV65536"/>
    </sheetView>
  </sheetViews>
  <sheetFormatPr defaultRowHeight="13.5"/>
  <cols>
    <col min="1" max="1" width="12.625" style="741" customWidth="1"/>
    <col min="2" max="2" width="10.25" style="674" customWidth="1"/>
  </cols>
  <sheetData>
    <row r="1" spans="1:6">
      <c r="A1" s="3766" t="s">
        <v>779</v>
      </c>
      <c r="B1" s="376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估价对象周边有多条公交线路，综合评价交通便捷度较好。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城市支路——东关二条</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84">
      <c r="A10" s="694" t="s">
        <v>719</v>
      </c>
      <c r="B10" s="921"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 xml:space="preserve">自然环境：昌平公园等；
综上，环境状况一般。
</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估价对象周边有多条公交线路，综合评价交通便捷度较好。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城市支路——东关二条</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84">
      <c r="A21" s="681" t="s">
        <v>719</v>
      </c>
      <c r="B21" s="921"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 xml:space="preserve">自然环境：昌平公园等；
综上，环境状况一般。
</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周边有东关二条、东关南里、燕平家园等住宅小区，综合评价居住社区成熟度好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估价对象周边有多条公交线路，综合评价交通便捷度较好。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城市支路——东关二条</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84">
      <c r="A30" s="681" t="s">
        <v>719</v>
      </c>
      <c r="B30" s="921"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 xml:space="preserve">自然环境：昌平公园等；
综上，环境状况一般。
</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66" t="s">
        <v>105</v>
      </c>
      <c r="B1" s="3766"/>
      <c r="C1" s="3766"/>
      <c r="D1" s="3766"/>
      <c r="E1" s="3766"/>
      <c r="F1" s="376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67" t="s">
        <v>118</v>
      </c>
      <c r="B2" s="3767"/>
      <c r="C2" s="3767"/>
      <c r="D2" s="3767"/>
      <c r="E2" s="3767"/>
      <c r="F2" s="376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6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6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70" t="s">
        <v>132</v>
      </c>
      <c r="B18" s="768" t="s">
        <v>517</v>
      </c>
      <c r="C18" s="769" t="s">
        <v>518</v>
      </c>
      <c r="D18" s="770"/>
      <c r="E18" s="768">
        <v>1</v>
      </c>
      <c r="F18" s="771" t="s">
        <v>519</v>
      </c>
      <c r="G18" s="772"/>
      <c r="H18" s="764"/>
      <c r="I18" s="764"/>
    </row>
    <row r="19" spans="1:9" s="773" customFormat="1" ht="19.5" customHeight="1">
      <c r="A19" s="3770"/>
      <c r="B19" s="3770" t="s">
        <v>520</v>
      </c>
      <c r="C19" s="769" t="s">
        <v>521</v>
      </c>
      <c r="D19" s="770"/>
      <c r="E19" s="768">
        <v>0.9</v>
      </c>
      <c r="F19" s="771" t="s">
        <v>522</v>
      </c>
      <c r="G19" s="772"/>
      <c r="H19" s="764"/>
      <c r="I19" s="764"/>
    </row>
    <row r="20" spans="1:9" s="773" customFormat="1" ht="19.5" customHeight="1">
      <c r="A20" s="3770"/>
      <c r="B20" s="3770"/>
      <c r="C20" s="769" t="s">
        <v>523</v>
      </c>
      <c r="D20" s="770"/>
      <c r="E20" s="768">
        <v>1.1000000000000001</v>
      </c>
      <c r="F20" s="771" t="s">
        <v>524</v>
      </c>
      <c r="G20" s="772"/>
      <c r="H20" s="764"/>
      <c r="I20" s="764"/>
    </row>
    <row r="21" spans="1:9" s="773" customFormat="1" ht="19.5" customHeight="1">
      <c r="A21" s="3770"/>
      <c r="B21" s="3770"/>
      <c r="C21" s="769" t="s">
        <v>525</v>
      </c>
      <c r="D21" s="770"/>
      <c r="E21" s="768">
        <v>0.8</v>
      </c>
      <c r="F21" s="771" t="s">
        <v>526</v>
      </c>
      <c r="G21" s="772"/>
      <c r="H21" s="764"/>
      <c r="I21" s="764"/>
    </row>
    <row r="22" spans="1:9" s="773" customFormat="1" ht="19.5" customHeight="1">
      <c r="A22" s="3770"/>
      <c r="B22" s="3770"/>
      <c r="C22" s="769" t="s">
        <v>527</v>
      </c>
      <c r="D22" s="770"/>
      <c r="E22" s="768">
        <v>0.5</v>
      </c>
      <c r="F22" s="771"/>
      <c r="G22" s="772"/>
      <c r="H22" s="764"/>
      <c r="I22" s="764"/>
    </row>
    <row r="23" spans="1:9" s="773" customFormat="1" ht="19.5" customHeight="1">
      <c r="A23" s="3770" t="s">
        <v>133</v>
      </c>
      <c r="B23" s="768" t="s">
        <v>517</v>
      </c>
      <c r="C23" s="769" t="s">
        <v>528</v>
      </c>
      <c r="D23" s="770"/>
      <c r="E23" s="768">
        <v>1</v>
      </c>
      <c r="F23" s="771" t="s">
        <v>529</v>
      </c>
      <c r="G23" s="772"/>
      <c r="H23" s="764"/>
      <c r="I23" s="764"/>
    </row>
    <row r="24" spans="1:9" s="773" customFormat="1" ht="19.5" customHeight="1">
      <c r="A24" s="3770"/>
      <c r="B24" s="3770" t="s">
        <v>520</v>
      </c>
      <c r="C24" s="769" t="s">
        <v>530</v>
      </c>
      <c r="D24" s="770"/>
      <c r="E24" s="768">
        <v>0.5</v>
      </c>
      <c r="F24" s="771"/>
      <c r="G24" s="772"/>
      <c r="H24" s="764"/>
      <c r="I24" s="764"/>
    </row>
    <row r="25" spans="1:9" s="773" customFormat="1" ht="19.5" customHeight="1">
      <c r="A25" s="3770"/>
      <c r="B25" s="3770"/>
      <c r="C25" s="769" t="s">
        <v>531</v>
      </c>
      <c r="D25" s="770"/>
      <c r="E25" s="768">
        <v>1.1000000000000001</v>
      </c>
      <c r="F25" s="771"/>
      <c r="G25" s="772"/>
      <c r="H25" s="764"/>
      <c r="I25" s="764"/>
    </row>
    <row r="26" spans="1:9" s="773" customFormat="1" ht="19.5" customHeight="1">
      <c r="A26" s="3770"/>
      <c r="B26" s="3770"/>
      <c r="C26" s="769" t="s">
        <v>532</v>
      </c>
      <c r="D26" s="770"/>
      <c r="E26" s="768">
        <v>1.1000000000000001</v>
      </c>
      <c r="F26" s="771"/>
      <c r="G26" s="772"/>
      <c r="H26" s="764"/>
      <c r="I26" s="764"/>
    </row>
    <row r="27" spans="1:9" s="773" customFormat="1" ht="19.5" customHeight="1">
      <c r="A27" s="3770"/>
      <c r="B27" s="3770"/>
      <c r="C27" s="769" t="s">
        <v>533</v>
      </c>
      <c r="D27" s="770"/>
      <c r="E27" s="768">
        <v>0.9</v>
      </c>
      <c r="F27" s="771" t="s">
        <v>534</v>
      </c>
      <c r="G27" s="772"/>
      <c r="H27" s="764"/>
      <c r="I27" s="764"/>
    </row>
    <row r="28" spans="1:9" s="773" customFormat="1" ht="19.5" customHeight="1">
      <c r="A28" s="3770"/>
      <c r="B28" s="3770"/>
      <c r="C28" s="769" t="s">
        <v>535</v>
      </c>
      <c r="D28" s="770"/>
      <c r="E28" s="768">
        <v>0.9</v>
      </c>
      <c r="F28" s="771" t="s">
        <v>536</v>
      </c>
      <c r="G28" s="772"/>
      <c r="H28" s="764"/>
      <c r="I28" s="764"/>
    </row>
    <row r="29" spans="1:9" s="773" customFormat="1" ht="19.5" customHeight="1">
      <c r="A29" s="3770"/>
      <c r="B29" s="3770"/>
      <c r="C29" s="769" t="s">
        <v>537</v>
      </c>
      <c r="D29" s="770"/>
      <c r="E29" s="768">
        <v>0.9</v>
      </c>
      <c r="F29" s="771" t="s">
        <v>538</v>
      </c>
      <c r="G29" s="772"/>
      <c r="H29" s="764"/>
      <c r="I29" s="764"/>
    </row>
    <row r="30" spans="1:9" s="773" customFormat="1" ht="19.5" customHeight="1">
      <c r="A30" s="3770"/>
      <c r="B30" s="3770"/>
      <c r="C30" s="769" t="s">
        <v>539</v>
      </c>
      <c r="D30" s="770"/>
      <c r="E30" s="768">
        <v>0.9</v>
      </c>
      <c r="F30" s="771" t="s">
        <v>540</v>
      </c>
      <c r="G30" s="772"/>
      <c r="H30" s="764"/>
      <c r="I30" s="764"/>
    </row>
    <row r="31" spans="1:9" s="773" customFormat="1" ht="19.5" customHeight="1">
      <c r="A31" s="3770"/>
      <c r="B31" s="3770"/>
      <c r="C31" s="769" t="s">
        <v>541</v>
      </c>
      <c r="D31" s="770"/>
      <c r="E31" s="768">
        <v>0.8</v>
      </c>
      <c r="F31" s="771" t="s">
        <v>542</v>
      </c>
      <c r="G31" s="772"/>
      <c r="H31" s="764"/>
      <c r="I31" s="764"/>
    </row>
    <row r="32" spans="1:9" s="773" customFormat="1" ht="19.5" customHeight="1">
      <c r="A32" s="3770"/>
      <c r="B32" s="3770"/>
      <c r="C32" s="769" t="s">
        <v>543</v>
      </c>
      <c r="D32" s="770"/>
      <c r="E32" s="768">
        <v>0.8</v>
      </c>
      <c r="F32" s="771" t="s">
        <v>544</v>
      </c>
      <c r="G32" s="772"/>
      <c r="H32" s="764"/>
      <c r="I32" s="764"/>
    </row>
    <row r="33" spans="1:9" s="773" customFormat="1" ht="19.5" customHeight="1">
      <c r="A33" s="3770" t="s">
        <v>134</v>
      </c>
      <c r="B33" s="768" t="s">
        <v>517</v>
      </c>
      <c r="C33" s="769" t="s">
        <v>545</v>
      </c>
      <c r="D33" s="770"/>
      <c r="E33" s="768">
        <v>1</v>
      </c>
      <c r="F33" s="771" t="s">
        <v>546</v>
      </c>
      <c r="G33" s="772"/>
      <c r="H33" s="764"/>
      <c r="I33" s="764"/>
    </row>
    <row r="34" spans="1:9" s="773" customFormat="1" ht="19.5" customHeight="1">
      <c r="A34" s="3770"/>
      <c r="B34" s="768" t="s">
        <v>520</v>
      </c>
      <c r="C34" s="769" t="s">
        <v>547</v>
      </c>
      <c r="D34" s="770"/>
      <c r="E34" s="768">
        <v>1.5</v>
      </c>
      <c r="F34" s="771" t="s">
        <v>548</v>
      </c>
      <c r="G34" s="772"/>
      <c r="H34" s="764"/>
      <c r="I34" s="764"/>
    </row>
    <row r="35" spans="1:9" s="773" customFormat="1" ht="19.5" customHeight="1">
      <c r="A35" s="3770" t="s">
        <v>135</v>
      </c>
      <c r="B35" s="768" t="s">
        <v>517</v>
      </c>
      <c r="C35" s="769" t="s">
        <v>549</v>
      </c>
      <c r="D35" s="770"/>
      <c r="E35" s="768">
        <v>1</v>
      </c>
      <c r="F35" s="771" t="s">
        <v>550</v>
      </c>
      <c r="G35" s="772"/>
      <c r="H35" s="764"/>
      <c r="I35" s="764"/>
    </row>
    <row r="36" spans="1:9" s="773" customFormat="1" ht="19.5" customHeight="1">
      <c r="A36" s="3770"/>
      <c r="B36" s="3770" t="s">
        <v>520</v>
      </c>
      <c r="C36" s="769" t="s">
        <v>551</v>
      </c>
      <c r="D36" s="770"/>
      <c r="E36" s="768">
        <v>1</v>
      </c>
      <c r="F36" s="771" t="s">
        <v>552</v>
      </c>
      <c r="G36" s="772"/>
      <c r="H36" s="764"/>
      <c r="I36" s="764"/>
    </row>
    <row r="37" spans="1:9" s="773" customFormat="1" ht="19.5" customHeight="1">
      <c r="A37" s="3770"/>
      <c r="B37" s="3770"/>
      <c r="C37" s="769" t="s">
        <v>553</v>
      </c>
      <c r="D37" s="770"/>
      <c r="E37" s="768">
        <v>1.5</v>
      </c>
      <c r="F37" s="771" t="s">
        <v>554</v>
      </c>
      <c r="G37" s="772"/>
      <c r="H37" s="764"/>
      <c r="I37" s="764"/>
    </row>
    <row r="38" spans="1:9" s="773" customFormat="1" ht="19.5" customHeight="1">
      <c r="A38" s="3770"/>
      <c r="B38" s="3770"/>
      <c r="C38" s="769" t="s">
        <v>555</v>
      </c>
      <c r="D38" s="770"/>
      <c r="E38" s="768">
        <v>1</v>
      </c>
      <c r="F38" s="771" t="s">
        <v>556</v>
      </c>
      <c r="G38" s="772"/>
      <c r="H38" s="764"/>
      <c r="I38" s="764"/>
    </row>
    <row r="39" spans="1:9" s="773" customFormat="1" ht="19.5" customHeight="1">
      <c r="A39" s="3770"/>
      <c r="B39" s="377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70" t="s">
        <v>571</v>
      </c>
      <c r="C61" s="682" t="s">
        <v>572</v>
      </c>
      <c r="D61" s="682" t="s">
        <v>573</v>
      </c>
      <c r="E61" s="781">
        <v>0.5</v>
      </c>
      <c r="F61" s="768">
        <v>80</v>
      </c>
    </row>
    <row r="62" spans="1:8" s="764" customFormat="1" ht="24">
      <c r="A62" s="768">
        <v>2</v>
      </c>
      <c r="B62" s="3770"/>
      <c r="C62" s="682" t="s">
        <v>574</v>
      </c>
      <c r="D62" s="682" t="s">
        <v>575</v>
      </c>
      <c r="E62" s="781">
        <v>0.5</v>
      </c>
      <c r="F62" s="768">
        <v>80</v>
      </c>
    </row>
    <row r="63" spans="1:8" s="764" customFormat="1" ht="36">
      <c r="A63" s="768">
        <v>3</v>
      </c>
      <c r="B63" s="3770"/>
      <c r="C63" s="682" t="s">
        <v>576</v>
      </c>
      <c r="D63" s="682" t="s">
        <v>577</v>
      </c>
      <c r="E63" s="781">
        <v>0.5</v>
      </c>
      <c r="F63" s="768">
        <v>80</v>
      </c>
    </row>
    <row r="64" spans="1:8" s="764" customFormat="1" ht="36">
      <c r="A64" s="768">
        <v>4</v>
      </c>
      <c r="B64" s="3770"/>
      <c r="C64" s="682" t="s">
        <v>578</v>
      </c>
      <c r="D64" s="682" t="s">
        <v>579</v>
      </c>
      <c r="E64" s="781">
        <v>0.4</v>
      </c>
      <c r="F64" s="768">
        <v>60</v>
      </c>
    </row>
    <row r="65" spans="1:6" s="764" customFormat="1" ht="36">
      <c r="A65" s="768">
        <v>5</v>
      </c>
      <c r="B65" s="3770"/>
      <c r="C65" s="682" t="s">
        <v>580</v>
      </c>
      <c r="D65" s="682" t="s">
        <v>581</v>
      </c>
      <c r="E65" s="781">
        <v>0.2</v>
      </c>
      <c r="F65" s="768">
        <v>30</v>
      </c>
    </row>
    <row r="66" spans="1:6" s="764" customFormat="1" ht="36">
      <c r="A66" s="768">
        <v>6</v>
      </c>
      <c r="B66" s="3770"/>
      <c r="C66" s="682" t="s">
        <v>582</v>
      </c>
      <c r="D66" s="682" t="s">
        <v>583</v>
      </c>
      <c r="E66" s="781">
        <v>0.3</v>
      </c>
      <c r="F66" s="768">
        <v>50</v>
      </c>
    </row>
    <row r="67" spans="1:6" s="764" customFormat="1" ht="36">
      <c r="A67" s="768">
        <v>7</v>
      </c>
      <c r="B67" s="3770"/>
      <c r="C67" s="682" t="s">
        <v>584</v>
      </c>
      <c r="D67" s="682" t="s">
        <v>585</v>
      </c>
      <c r="E67" s="781">
        <v>0.2</v>
      </c>
      <c r="F67" s="768">
        <v>30</v>
      </c>
    </row>
    <row r="68" spans="1:6" s="764" customFormat="1" ht="36">
      <c r="A68" s="768">
        <v>8</v>
      </c>
      <c r="B68" s="3770"/>
      <c r="C68" s="682" t="s">
        <v>586</v>
      </c>
      <c r="D68" s="682" t="s">
        <v>587</v>
      </c>
      <c r="E68" s="781">
        <v>0.2</v>
      </c>
      <c r="F68" s="768">
        <v>30</v>
      </c>
    </row>
    <row r="69" spans="1:6" s="764" customFormat="1" ht="36">
      <c r="A69" s="768">
        <v>9</v>
      </c>
      <c r="B69" s="3770"/>
      <c r="C69" s="682" t="s">
        <v>588</v>
      </c>
      <c r="D69" s="682" t="s">
        <v>589</v>
      </c>
      <c r="E69" s="781">
        <v>0.2</v>
      </c>
      <c r="F69" s="768">
        <v>30</v>
      </c>
    </row>
    <row r="70" spans="1:6" s="764" customFormat="1" ht="48">
      <c r="A70" s="768">
        <v>10</v>
      </c>
      <c r="B70" s="3770"/>
      <c r="C70" s="682" t="s">
        <v>590</v>
      </c>
      <c r="D70" s="682" t="s">
        <v>591</v>
      </c>
      <c r="E70" s="781">
        <v>0.2</v>
      </c>
      <c r="F70" s="768">
        <v>30</v>
      </c>
    </row>
    <row r="71" spans="1:6" s="764" customFormat="1" ht="48">
      <c r="A71" s="768">
        <v>11</v>
      </c>
      <c r="B71" s="3770"/>
      <c r="C71" s="682" t="s">
        <v>592</v>
      </c>
      <c r="D71" s="682" t="s">
        <v>593</v>
      </c>
      <c r="E71" s="781">
        <v>0.2</v>
      </c>
      <c r="F71" s="768">
        <v>30</v>
      </c>
    </row>
    <row r="72" spans="1:6" s="764" customFormat="1" ht="36">
      <c r="A72" s="768">
        <v>12</v>
      </c>
      <c r="B72" s="3770"/>
      <c r="C72" s="682" t="s">
        <v>594</v>
      </c>
      <c r="D72" s="682" t="s">
        <v>595</v>
      </c>
      <c r="E72" s="781">
        <v>0.5</v>
      </c>
      <c r="F72" s="768">
        <v>80</v>
      </c>
    </row>
    <row r="73" spans="1:6" s="764" customFormat="1" ht="24">
      <c r="A73" s="768">
        <v>13</v>
      </c>
      <c r="B73" s="3770"/>
      <c r="C73" s="682" t="s">
        <v>596</v>
      </c>
      <c r="D73" s="682" t="s">
        <v>597</v>
      </c>
      <c r="E73" s="781">
        <v>0.4</v>
      </c>
      <c r="F73" s="768">
        <v>60</v>
      </c>
    </row>
    <row r="74" spans="1:6" s="764" customFormat="1" ht="24">
      <c r="A74" s="768">
        <v>14</v>
      </c>
      <c r="B74" s="3770"/>
      <c r="C74" s="682" t="s">
        <v>598</v>
      </c>
      <c r="D74" s="682" t="s">
        <v>599</v>
      </c>
      <c r="E74" s="781">
        <v>0.2</v>
      </c>
      <c r="F74" s="768">
        <v>30</v>
      </c>
    </row>
    <row r="75" spans="1:6" s="764" customFormat="1" ht="24">
      <c r="A75" s="768">
        <v>15</v>
      </c>
      <c r="B75" s="3770"/>
      <c r="C75" s="682" t="s">
        <v>600</v>
      </c>
      <c r="D75" s="682" t="s">
        <v>601</v>
      </c>
      <c r="E75" s="781">
        <v>0.2</v>
      </c>
      <c r="F75" s="768">
        <v>30</v>
      </c>
    </row>
    <row r="76" spans="1:6" s="764" customFormat="1" ht="24">
      <c r="A76" s="768">
        <v>16</v>
      </c>
      <c r="B76" s="3770" t="s">
        <v>602</v>
      </c>
      <c r="C76" s="682" t="s">
        <v>603</v>
      </c>
      <c r="D76" s="682" t="s">
        <v>604</v>
      </c>
      <c r="E76" s="781">
        <v>0.5</v>
      </c>
      <c r="F76" s="768">
        <v>80</v>
      </c>
    </row>
    <row r="77" spans="1:6" s="764" customFormat="1" ht="24">
      <c r="A77" s="768">
        <v>17</v>
      </c>
      <c r="B77" s="3770"/>
      <c r="C77" s="682" t="s">
        <v>605</v>
      </c>
      <c r="D77" s="682" t="s">
        <v>606</v>
      </c>
      <c r="E77" s="781">
        <v>0.5</v>
      </c>
      <c r="F77" s="768">
        <v>80</v>
      </c>
    </row>
    <row r="78" spans="1:6" s="764" customFormat="1" ht="24">
      <c r="A78" s="768">
        <v>18</v>
      </c>
      <c r="B78" s="3770"/>
      <c r="C78" s="682" t="s">
        <v>607</v>
      </c>
      <c r="D78" s="682" t="s">
        <v>608</v>
      </c>
      <c r="E78" s="781">
        <v>0.2</v>
      </c>
      <c r="F78" s="768">
        <v>30</v>
      </c>
    </row>
    <row r="79" spans="1:6" s="764" customFormat="1" ht="24">
      <c r="A79" s="768">
        <v>19</v>
      </c>
      <c r="B79" s="3770"/>
      <c r="C79" s="682" t="s">
        <v>609</v>
      </c>
      <c r="D79" s="682" t="s">
        <v>610</v>
      </c>
      <c r="E79" s="781">
        <v>0.5</v>
      </c>
      <c r="F79" s="768">
        <v>80</v>
      </c>
    </row>
    <row r="80" spans="1:6" s="764" customFormat="1" ht="36">
      <c r="A80" s="768">
        <v>20</v>
      </c>
      <c r="B80" s="3770"/>
      <c r="C80" s="682" t="s">
        <v>611</v>
      </c>
      <c r="D80" s="682" t="s">
        <v>612</v>
      </c>
      <c r="E80" s="781">
        <v>0.2</v>
      </c>
      <c r="F80" s="768">
        <v>30</v>
      </c>
    </row>
    <row r="81" spans="1:6" s="764" customFormat="1" ht="36">
      <c r="A81" s="768">
        <v>21</v>
      </c>
      <c r="B81" s="3770"/>
      <c r="C81" s="682" t="s">
        <v>613</v>
      </c>
      <c r="D81" s="682" t="s">
        <v>614</v>
      </c>
      <c r="E81" s="781">
        <v>0.2</v>
      </c>
      <c r="F81" s="768">
        <v>30</v>
      </c>
    </row>
    <row r="82" spans="1:6" s="764" customFormat="1" ht="48">
      <c r="A82" s="768">
        <v>22</v>
      </c>
      <c r="B82" s="3770"/>
      <c r="C82" s="682" t="s">
        <v>615</v>
      </c>
      <c r="D82" s="682" t="s">
        <v>616</v>
      </c>
      <c r="E82" s="781">
        <v>0.2</v>
      </c>
      <c r="F82" s="768">
        <v>30</v>
      </c>
    </row>
    <row r="83" spans="1:6" s="764" customFormat="1" ht="48">
      <c r="A83" s="768">
        <v>23</v>
      </c>
      <c r="B83" s="3770"/>
      <c r="C83" s="682" t="s">
        <v>617</v>
      </c>
      <c r="D83" s="682" t="s">
        <v>618</v>
      </c>
      <c r="E83" s="781">
        <v>0.2</v>
      </c>
      <c r="F83" s="768">
        <v>30</v>
      </c>
    </row>
    <row r="84" spans="1:6" s="764" customFormat="1" ht="36">
      <c r="A84" s="768">
        <v>24</v>
      </c>
      <c r="B84" s="3770"/>
      <c r="C84" s="682" t="s">
        <v>619</v>
      </c>
      <c r="D84" s="682" t="s">
        <v>620</v>
      </c>
      <c r="E84" s="781">
        <v>0.2</v>
      </c>
      <c r="F84" s="768">
        <v>30</v>
      </c>
    </row>
    <row r="85" spans="1:6" s="764" customFormat="1" ht="36">
      <c r="A85" s="768">
        <v>25</v>
      </c>
      <c r="B85" s="3770"/>
      <c r="C85" s="682" t="s">
        <v>621</v>
      </c>
      <c r="D85" s="682" t="s">
        <v>622</v>
      </c>
      <c r="E85" s="781">
        <v>0.5</v>
      </c>
      <c r="F85" s="768">
        <v>80</v>
      </c>
    </row>
    <row r="86" spans="1:6" s="764" customFormat="1" ht="36">
      <c r="A86" s="768">
        <v>26</v>
      </c>
      <c r="B86" s="3770"/>
      <c r="C86" s="682" t="s">
        <v>623</v>
      </c>
      <c r="D86" s="682" t="s">
        <v>624</v>
      </c>
      <c r="E86" s="781">
        <v>0.2</v>
      </c>
      <c r="F86" s="768">
        <v>30</v>
      </c>
    </row>
    <row r="87" spans="1:6" s="764" customFormat="1" ht="36">
      <c r="A87" s="768">
        <v>27</v>
      </c>
      <c r="B87" s="3770"/>
      <c r="C87" s="682" t="s">
        <v>625</v>
      </c>
      <c r="D87" s="682" t="s">
        <v>626</v>
      </c>
      <c r="E87" s="781">
        <v>0.2</v>
      </c>
      <c r="F87" s="768">
        <v>30</v>
      </c>
    </row>
    <row r="88" spans="1:6" s="764" customFormat="1" ht="36">
      <c r="A88" s="768">
        <v>28</v>
      </c>
      <c r="B88" s="3770"/>
      <c r="C88" s="682" t="s">
        <v>627</v>
      </c>
      <c r="D88" s="682" t="s">
        <v>628</v>
      </c>
      <c r="E88" s="781">
        <v>0.2</v>
      </c>
      <c r="F88" s="768">
        <v>30</v>
      </c>
    </row>
    <row r="89" spans="1:6" s="764" customFormat="1" ht="24">
      <c r="A89" s="768">
        <v>29</v>
      </c>
      <c r="B89" s="3770"/>
      <c r="C89" s="682" t="s">
        <v>629</v>
      </c>
      <c r="D89" s="682" t="s">
        <v>630</v>
      </c>
      <c r="E89" s="781">
        <v>0.2</v>
      </c>
      <c r="F89" s="768">
        <v>30</v>
      </c>
    </row>
    <row r="90" spans="1:6" s="764" customFormat="1" ht="24">
      <c r="A90" s="768">
        <v>30</v>
      </c>
      <c r="B90" s="3770"/>
      <c r="C90" s="682" t="s">
        <v>631</v>
      </c>
      <c r="D90" s="682" t="s">
        <v>632</v>
      </c>
      <c r="E90" s="781">
        <v>0.2</v>
      </c>
      <c r="F90" s="768">
        <v>30</v>
      </c>
    </row>
    <row r="91" spans="1:6" s="764" customFormat="1" ht="36">
      <c r="A91" s="768">
        <v>31</v>
      </c>
      <c r="B91" s="3770"/>
      <c r="C91" s="682" t="s">
        <v>633</v>
      </c>
      <c r="D91" s="682" t="s">
        <v>634</v>
      </c>
      <c r="E91" s="781">
        <v>0.2</v>
      </c>
      <c r="F91" s="768">
        <v>30</v>
      </c>
    </row>
    <row r="92" spans="1:6" s="764" customFormat="1" ht="24">
      <c r="A92" s="768">
        <v>32</v>
      </c>
      <c r="B92" s="3770" t="s">
        <v>635</v>
      </c>
      <c r="C92" s="768" t="s">
        <v>636</v>
      </c>
      <c r="D92" s="682" t="s">
        <v>637</v>
      </c>
      <c r="E92" s="781">
        <v>0.2</v>
      </c>
      <c r="F92" s="768">
        <v>30</v>
      </c>
    </row>
    <row r="93" spans="1:6" s="764" customFormat="1" ht="36">
      <c r="A93" s="768">
        <v>33</v>
      </c>
      <c r="B93" s="3770"/>
      <c r="C93" s="768" t="s">
        <v>638</v>
      </c>
      <c r="D93" s="682" t="s">
        <v>639</v>
      </c>
      <c r="E93" s="781">
        <v>0.2</v>
      </c>
      <c r="F93" s="768">
        <v>30</v>
      </c>
    </row>
    <row r="94" spans="1:6" s="764" customFormat="1" ht="48">
      <c r="A94" s="768">
        <v>34</v>
      </c>
      <c r="B94" s="3770"/>
      <c r="C94" s="768" t="s">
        <v>640</v>
      </c>
      <c r="D94" s="682" t="s">
        <v>641</v>
      </c>
      <c r="E94" s="781">
        <v>0.2</v>
      </c>
      <c r="F94" s="768">
        <v>30</v>
      </c>
    </row>
    <row r="95" spans="1:6" s="764" customFormat="1" ht="36">
      <c r="A95" s="768">
        <v>35</v>
      </c>
      <c r="B95" s="3770"/>
      <c r="C95" s="768" t="s">
        <v>642</v>
      </c>
      <c r="D95" s="682" t="s">
        <v>643</v>
      </c>
      <c r="E95" s="781">
        <v>0.2</v>
      </c>
      <c r="F95" s="768">
        <v>30</v>
      </c>
    </row>
    <row r="96" spans="1:6" s="764" customFormat="1" ht="48">
      <c r="A96" s="768">
        <v>36</v>
      </c>
      <c r="B96" s="3770"/>
      <c r="C96" s="682" t="s">
        <v>644</v>
      </c>
      <c r="D96" s="682" t="s">
        <v>645</v>
      </c>
      <c r="E96" s="781">
        <v>0.2</v>
      </c>
      <c r="F96" s="768">
        <v>30</v>
      </c>
    </row>
    <row r="97" spans="1:6" s="764" customFormat="1" ht="36">
      <c r="A97" s="768">
        <v>37</v>
      </c>
      <c r="B97" s="3770"/>
      <c r="C97" s="768" t="s">
        <v>646</v>
      </c>
      <c r="D97" s="682" t="s">
        <v>647</v>
      </c>
      <c r="E97" s="781">
        <v>0.2</v>
      </c>
      <c r="F97" s="768">
        <v>30</v>
      </c>
    </row>
    <row r="98" spans="1:6" s="764" customFormat="1" ht="36">
      <c r="A98" s="768">
        <v>38</v>
      </c>
      <c r="B98" s="3770"/>
      <c r="C98" s="768" t="s">
        <v>648</v>
      </c>
      <c r="D98" s="682" t="s">
        <v>649</v>
      </c>
      <c r="E98" s="781">
        <v>0.2</v>
      </c>
      <c r="F98" s="768">
        <v>30</v>
      </c>
    </row>
    <row r="99" spans="1:6" s="764" customFormat="1" ht="36">
      <c r="A99" s="768">
        <v>39</v>
      </c>
      <c r="B99" s="3770" t="s">
        <v>650</v>
      </c>
      <c r="C99" s="768" t="s">
        <v>651</v>
      </c>
      <c r="D99" s="682" t="s">
        <v>652</v>
      </c>
      <c r="E99" s="781">
        <v>0.3</v>
      </c>
      <c r="F99" s="768">
        <v>50</v>
      </c>
    </row>
    <row r="100" spans="1:6" s="764" customFormat="1" ht="24">
      <c r="A100" s="768">
        <v>40</v>
      </c>
      <c r="B100" s="3770"/>
      <c r="C100" s="768" t="s">
        <v>653</v>
      </c>
      <c r="D100" s="682" t="s">
        <v>654</v>
      </c>
      <c r="E100" s="781">
        <v>0.2</v>
      </c>
      <c r="F100" s="768">
        <v>30</v>
      </c>
    </row>
    <row r="101" spans="1:6" s="764" customFormat="1" ht="36">
      <c r="A101" s="768">
        <v>41</v>
      </c>
      <c r="B101" s="377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70" t="s">
        <v>665</v>
      </c>
      <c r="C105" s="768" t="s">
        <v>666</v>
      </c>
      <c r="D105" s="682" t="s">
        <v>667</v>
      </c>
      <c r="E105" s="781">
        <v>0.2</v>
      </c>
      <c r="F105" s="768">
        <v>30</v>
      </c>
    </row>
    <row r="106" spans="1:6" s="764" customFormat="1" ht="36">
      <c r="A106" s="768">
        <v>46</v>
      </c>
      <c r="B106" s="3770"/>
      <c r="C106" s="768" t="s">
        <v>668</v>
      </c>
      <c r="D106" s="682" t="s">
        <v>669</v>
      </c>
      <c r="E106" s="781">
        <v>0.2</v>
      </c>
      <c r="F106" s="768">
        <v>30</v>
      </c>
    </row>
    <row r="107" spans="1:6" s="764" customFormat="1" ht="36">
      <c r="A107" s="768">
        <v>47</v>
      </c>
      <c r="B107" s="3770" t="s">
        <v>670</v>
      </c>
      <c r="C107" s="768" t="s">
        <v>671</v>
      </c>
      <c r="D107" s="682" t="s">
        <v>672</v>
      </c>
      <c r="E107" s="781">
        <v>0.3</v>
      </c>
      <c r="F107" s="768">
        <v>50</v>
      </c>
    </row>
    <row r="108" spans="1:6" s="764" customFormat="1" ht="36">
      <c r="A108" s="768">
        <v>48</v>
      </c>
      <c r="B108" s="377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70" t="s">
        <v>681</v>
      </c>
      <c r="C111" s="768" t="s">
        <v>682</v>
      </c>
      <c r="D111" s="682" t="s">
        <v>683</v>
      </c>
      <c r="E111" s="781">
        <v>0.2</v>
      </c>
      <c r="F111" s="768">
        <v>30</v>
      </c>
    </row>
    <row r="112" spans="1:6" s="764" customFormat="1" ht="24">
      <c r="A112" s="768">
        <v>52</v>
      </c>
      <c r="B112" s="3770"/>
      <c r="C112" s="768" t="s">
        <v>684</v>
      </c>
      <c r="D112" s="682" t="s">
        <v>685</v>
      </c>
      <c r="E112" s="781">
        <v>0.2</v>
      </c>
      <c r="F112" s="768">
        <v>30</v>
      </c>
    </row>
    <row r="113" spans="1:6" s="764" customFormat="1" ht="24">
      <c r="A113" s="768">
        <v>53</v>
      </c>
      <c r="B113" s="377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70" t="s">
        <v>694</v>
      </c>
      <c r="C116" s="768" t="s">
        <v>695</v>
      </c>
      <c r="D116" s="682" t="s">
        <v>696</v>
      </c>
      <c r="E116" s="781">
        <v>0.2</v>
      </c>
      <c r="F116" s="768">
        <v>30</v>
      </c>
    </row>
    <row r="117" spans="1:6" ht="36">
      <c r="A117" s="768">
        <v>57</v>
      </c>
      <c r="B117" s="377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2D050"/>
  </sheetPr>
  <dimension ref="A1:AH116"/>
  <sheetViews>
    <sheetView zoomScale="80" zoomScaleNormal="80" workbookViewId="0">
      <selection activeCell="A7" sqref="A7:XFD7"/>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776" t="s">
        <v>1020</v>
      </c>
      <c r="C1" s="3776"/>
      <c r="D1" s="3776"/>
      <c r="E1" s="3776"/>
      <c r="F1" s="3776"/>
      <c r="G1" s="3775" t="s">
        <v>1021</v>
      </c>
      <c r="H1" s="3775"/>
      <c r="I1" s="3775"/>
      <c r="J1" s="3775"/>
      <c r="K1" s="3775"/>
      <c r="L1" s="3775"/>
      <c r="N1" s="3775" t="s">
        <v>1022</v>
      </c>
      <c r="O1" s="3775"/>
      <c r="P1" s="3775"/>
      <c r="Q1" s="3775"/>
      <c r="S1" s="3775" t="s">
        <v>1023</v>
      </c>
      <c r="T1" s="3775"/>
      <c r="U1" s="3775"/>
      <c r="V1" s="3775"/>
      <c r="X1" s="3774" t="s">
        <v>1024</v>
      </c>
      <c r="Y1" s="3775"/>
      <c r="Z1" s="3775"/>
      <c r="AA1" s="3775"/>
      <c r="AB1" s="3775"/>
      <c r="AD1" s="3774" t="s">
        <v>1025</v>
      </c>
      <c r="AE1" s="3775"/>
      <c r="AF1" s="3775"/>
      <c r="AG1" s="3775"/>
      <c r="AH1" s="3775"/>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2704</v>
      </c>
      <c r="B3" s="2337"/>
      <c r="C3" s="2337"/>
      <c r="D3" s="2338"/>
      <c r="E3" s="2338"/>
      <c r="F3" s="2337"/>
      <c r="G3" s="2339"/>
      <c r="H3" s="2340"/>
      <c r="I3" s="2341">
        <f>ROUND(AVERAGE(I4:I33),2)</f>
        <v>1.68</v>
      </c>
      <c r="J3" s="2341">
        <f>ROUND(AVERAGE(J4:J33),2)</f>
        <v>1.1000000000000001</v>
      </c>
      <c r="K3" s="2341">
        <f>ROUND(AVERAGE(K4:K33),2)</f>
        <v>1.85</v>
      </c>
      <c r="L3" s="2342">
        <f>ROUND(AVERAGE(L4:L33),2)</f>
        <v>1.19</v>
      </c>
      <c r="N3" s="2339"/>
      <c r="S3" s="2339"/>
      <c r="W3" s="2344"/>
      <c r="X3" s="2345">
        <f>ROUND(SUMPRODUCT(PRODUCT(1+N3:N$32)),4)</f>
        <v>1.571</v>
      </c>
      <c r="Y3" s="2345">
        <f>ROUND(SUMPRODUCT(PRODUCT(1+O3:O$32)),4)</f>
        <v>1.3420000000000001</v>
      </c>
      <c r="Z3" s="2345">
        <f t="shared" ref="Z3:Z30" si="0">Y3</f>
        <v>1.3420000000000001</v>
      </c>
      <c r="AA3" s="2345">
        <f>ROUND(SUMPRODUCT(PRODUCT(1+P3:P$32)),4)</f>
        <v>1.6415999999999999</v>
      </c>
      <c r="AB3" s="2345">
        <f>ROUND(SUMPRODUCT(PRODUCT(1+Q3:Q$32)),4)</f>
        <v>1.389</v>
      </c>
      <c r="AD3" s="2346">
        <f>ROUND(AVERAGE(I3:I$33)/100,4)</f>
        <v>1.6799999999999999E-2</v>
      </c>
      <c r="AE3" s="2346">
        <f>ROUND(AVERAGE(J3:J$33)/100,4)</f>
        <v>1.0999999999999999E-2</v>
      </c>
      <c r="AF3" s="2346">
        <f t="shared" ref="AF3:AF21" si="1">AE3</f>
        <v>1.0999999999999999E-2</v>
      </c>
      <c r="AG3" s="2346">
        <f>ROUND(AVERAGE(K3:K$33)/100,4)</f>
        <v>1.8499999999999999E-2</v>
      </c>
      <c r="AH3" s="2346">
        <f>ROUND(AVERAGE(L3:L$33)/100,4)</f>
        <v>1.1900000000000001E-2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2881</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6">
        <v>2021</v>
      </c>
      <c r="H5" s="2359">
        <v>1</v>
      </c>
      <c r="I5" s="2360">
        <v>0</v>
      </c>
      <c r="J5" s="2360">
        <v>0</v>
      </c>
      <c r="K5" s="2360">
        <v>0</v>
      </c>
      <c r="L5" s="2361">
        <v>0</v>
      </c>
      <c r="N5" s="2363">
        <f t="shared" ref="N5" si="7">I5/100</f>
        <v>0</v>
      </c>
      <c r="O5" s="2363">
        <f t="shared" ref="O5" si="8">J5/100</f>
        <v>0</v>
      </c>
      <c r="P5" s="2363">
        <f t="shared" ref="P5" si="9">K5/100</f>
        <v>0</v>
      </c>
      <c r="Q5" s="2363">
        <f t="shared" ref="Q5" si="10">L5/100</f>
        <v>0</v>
      </c>
      <c r="S5" s="2372">
        <f>B5/B6-1</f>
        <v>0</v>
      </c>
      <c r="T5" s="2373">
        <f>C5/C6-1</f>
        <v>0</v>
      </c>
      <c r="U5" s="2373">
        <f>E5/E6-1</f>
        <v>0</v>
      </c>
      <c r="V5" s="2373">
        <f>F5/F6-1</f>
        <v>0</v>
      </c>
      <c r="W5" s="2364" t="s">
        <v>2703</v>
      </c>
      <c r="X5" s="2365">
        <f>ROUND(SUMPRODUCT(PRODUCT(1+N5:N$32)),4)</f>
        <v>1.571</v>
      </c>
      <c r="Y5" s="2365">
        <f>ROUND(SUMPRODUCT(PRODUCT(1+O5:O$32)),4)</f>
        <v>1.3420000000000001</v>
      </c>
      <c r="Z5" s="2365">
        <f t="shared" ref="Z5" si="11">Y5</f>
        <v>1.3420000000000001</v>
      </c>
      <c r="AA5" s="2365">
        <f>ROUND(SUMPRODUCT(PRODUCT(1+P5:P$32)),4)</f>
        <v>1.6415999999999999</v>
      </c>
      <c r="AB5" s="2365">
        <f>ROUND(SUMPRODUCT(PRODUCT(1+Q5:Q$32)),4)</f>
        <v>1.389</v>
      </c>
      <c r="AD5" s="2366">
        <f>ROUND(AVERAGE(I5:I$33)/100,4)</f>
        <v>1.6799999999999999E-2</v>
      </c>
      <c r="AE5" s="2366">
        <f>ROUND(AVERAGE(J5:J$33)/100,4)</f>
        <v>1.0999999999999999E-2</v>
      </c>
      <c r="AF5" s="2366">
        <f t="shared" ref="AF5" si="12">AE5</f>
        <v>1.0999999999999999E-2</v>
      </c>
      <c r="AG5" s="2366">
        <f>ROUND(AVERAGE(K5:K$33)/100,4)</f>
        <v>1.8499999999999999E-2</v>
      </c>
      <c r="AH5" s="2366">
        <f>ROUND(AVERAGE(L5:L$33)/100,4)</f>
        <v>1.1900000000000001E-2</v>
      </c>
    </row>
    <row r="6" spans="1:34" s="2374" customFormat="1" ht="14.45" customHeight="1">
      <c r="A6" s="2367" t="s">
        <v>2882</v>
      </c>
      <c r="B6" s="2368">
        <f t="shared" ref="B6" si="13">B7*(1+N6)</f>
        <v>483.1434279321756</v>
      </c>
      <c r="C6" s="2368">
        <f t="shared" ref="C6" si="14">C7*(1+O6)</f>
        <v>345.93622669144776</v>
      </c>
      <c r="D6" s="2368">
        <f t="shared" ref="D6" si="15">C6</f>
        <v>345.93622669144776</v>
      </c>
      <c r="E6" s="2368">
        <f t="shared" ref="E6" si="16">E7*(1+P6)</f>
        <v>694.24498562544113</v>
      </c>
      <c r="F6" s="2368">
        <f t="shared" ref="F6" si="17">F7*(1+Q6)</f>
        <v>319.35475932716082</v>
      </c>
      <c r="G6" s="3146">
        <v>2020</v>
      </c>
      <c r="H6" s="2369">
        <v>4</v>
      </c>
      <c r="I6" s="2369">
        <v>0</v>
      </c>
      <c r="J6" s="2369">
        <v>0</v>
      </c>
      <c r="K6" s="2369">
        <v>0</v>
      </c>
      <c r="L6" s="2370">
        <v>0</v>
      </c>
      <c r="M6" s="2371"/>
      <c r="N6" s="2372">
        <f t="shared" ref="N6" si="18">I6/100</f>
        <v>0</v>
      </c>
      <c r="O6" s="2373">
        <f t="shared" ref="O6" si="19">J6/100</f>
        <v>0</v>
      </c>
      <c r="P6" s="2373">
        <f t="shared" ref="P6" si="20">K6/100</f>
        <v>0</v>
      </c>
      <c r="Q6" s="2373">
        <f t="shared" ref="Q6" si="21">L6/100</f>
        <v>0</v>
      </c>
      <c r="R6" s="2371"/>
      <c r="S6" s="2372"/>
      <c r="T6" s="2373"/>
      <c r="U6" s="2373"/>
      <c r="V6" s="2373"/>
      <c r="W6" s="2371"/>
      <c r="X6" s="2371">
        <f>ROUND(SUMPRODUCT(PRODUCT(1+N6:N$32)),4)</f>
        <v>1.571</v>
      </c>
      <c r="Y6" s="2371">
        <f>ROUND(SUMPRODUCT(PRODUCT(1+O6:O$32)),4)</f>
        <v>1.3420000000000001</v>
      </c>
      <c r="Z6" s="2371">
        <f t="shared" ref="Z6" si="22">Y6</f>
        <v>1.3420000000000001</v>
      </c>
      <c r="AA6" s="2371">
        <f>ROUND(SUMPRODUCT(PRODUCT(1+P6:P$32)),4)</f>
        <v>1.6415999999999999</v>
      </c>
      <c r="AB6" s="2371">
        <f>ROUND(SUMPRODUCT(PRODUCT(1+Q6:Q$32)),4)</f>
        <v>1.389</v>
      </c>
      <c r="AC6" s="2371"/>
      <c r="AD6" s="2373">
        <f>ROUND(AVERAGE(I6:I$33)/100,4)</f>
        <v>1.7399999999999999E-2</v>
      </c>
      <c r="AE6" s="2373">
        <f>ROUND(AVERAGE(J6:J$33)/100,4)</f>
        <v>1.14E-2</v>
      </c>
      <c r="AF6" s="2373">
        <f t="shared" ref="AF6" si="23">AE6</f>
        <v>1.14E-2</v>
      </c>
      <c r="AG6" s="2373">
        <f>ROUND(AVERAGE(K6:K$33)/100,4)</f>
        <v>1.9199999999999998E-2</v>
      </c>
      <c r="AH6" s="2373">
        <f>ROUND(AVERAGE(L6:L$33)/100,4)</f>
        <v>1.23E-2</v>
      </c>
    </row>
    <row r="7" spans="1:34" s="2374" customFormat="1" ht="14.45" customHeight="1">
      <c r="A7" s="2367" t="s">
        <v>2880</v>
      </c>
      <c r="B7" s="2368">
        <f t="shared" ref="B7" si="24">B8*(1+N7)</f>
        <v>483.1434279321756</v>
      </c>
      <c r="C7" s="2368">
        <f t="shared" ref="C7" si="25">C8*(1+O7)</f>
        <v>345.93622669144776</v>
      </c>
      <c r="D7" s="2368">
        <f t="shared" ref="D7" si="26">C7</f>
        <v>345.93622669144776</v>
      </c>
      <c r="E7" s="2368">
        <f t="shared" ref="E7" si="27">E8*(1+P7)</f>
        <v>694.24498562544113</v>
      </c>
      <c r="F7" s="2368">
        <f t="shared" ref="F7" si="28">F8*(1+Q7)</f>
        <v>319.35475932716082</v>
      </c>
      <c r="G7" s="3145">
        <v>2020</v>
      </c>
      <c r="H7" s="2369">
        <v>3</v>
      </c>
      <c r="I7" s="2369">
        <v>0.36</v>
      </c>
      <c r="J7" s="2369">
        <v>-0.39</v>
      </c>
      <c r="K7" s="2369">
        <v>0.49</v>
      </c>
      <c r="L7" s="2370">
        <v>7.0000000000000007E-2</v>
      </c>
      <c r="M7" s="2371"/>
      <c r="N7" s="2372">
        <f t="shared" ref="N7" si="29">I7/100</f>
        <v>3.5999999999999999E-3</v>
      </c>
      <c r="O7" s="2373">
        <f t="shared" ref="O7" si="30">J7/100</f>
        <v>-3.9000000000000003E-3</v>
      </c>
      <c r="P7" s="2373">
        <f t="shared" ref="P7" si="31">K7/100</f>
        <v>4.8999999999999998E-3</v>
      </c>
      <c r="Q7" s="2373">
        <f t="shared" ref="Q7" si="32">L7/100</f>
        <v>7.000000000000001E-4</v>
      </c>
      <c r="R7" s="2371"/>
      <c r="S7" s="2372"/>
      <c r="T7" s="2373"/>
      <c r="U7" s="2373"/>
      <c r="V7" s="2373"/>
      <c r="W7" s="2371"/>
      <c r="X7" s="2371">
        <f>ROUND(SUMPRODUCT(PRODUCT(1+N7:N$32)),4)</f>
        <v>1.571</v>
      </c>
      <c r="Y7" s="2371">
        <f>ROUND(SUMPRODUCT(PRODUCT(1+O7:O$32)),4)</f>
        <v>1.3420000000000001</v>
      </c>
      <c r="Z7" s="2371">
        <f t="shared" ref="Z7" si="33">Y7</f>
        <v>1.3420000000000001</v>
      </c>
      <c r="AA7" s="2371">
        <f>ROUND(SUMPRODUCT(PRODUCT(1+P7:P$32)),4)</f>
        <v>1.6415999999999999</v>
      </c>
      <c r="AB7" s="2371">
        <f>ROUND(SUMPRODUCT(PRODUCT(1+Q7:Q$32)),4)</f>
        <v>1.389</v>
      </c>
      <c r="AC7" s="2371"/>
      <c r="AD7" s="2373">
        <f>ROUND(AVERAGE(I7:I$33)/100,4)</f>
        <v>1.8100000000000002E-2</v>
      </c>
      <c r="AE7" s="2373">
        <f>ROUND(AVERAGE(J7:J$33)/100,4)</f>
        <v>1.1900000000000001E-2</v>
      </c>
      <c r="AF7" s="2373">
        <f t="shared" ref="AF7" si="34">AE7</f>
        <v>1.1900000000000001E-2</v>
      </c>
      <c r="AG7" s="2373">
        <f>ROUND(AVERAGE(K7:K$33)/100,4)</f>
        <v>1.9900000000000001E-2</v>
      </c>
      <c r="AH7" s="2373">
        <f>ROUND(AVERAGE(L7:L$33)/100,4)</f>
        <v>1.2800000000000001E-2</v>
      </c>
    </row>
    <row r="8" spans="1:34" s="2374" customFormat="1" ht="14.45" customHeight="1">
      <c r="A8" s="2367" t="s">
        <v>2736</v>
      </c>
      <c r="B8" s="2368">
        <f t="shared" ref="B8" si="35">B9*(1+N8)</f>
        <v>481.4103506697644</v>
      </c>
      <c r="C8" s="2368">
        <f t="shared" ref="C8" si="36">C9*(1+O8)</f>
        <v>347.29066026648707</v>
      </c>
      <c r="D8" s="2368">
        <f t="shared" ref="D8" si="37">C8</f>
        <v>347.29066026648707</v>
      </c>
      <c r="E8" s="2368">
        <f t="shared" ref="E8" si="38">E9*(1+P8)</f>
        <v>690.85977273901995</v>
      </c>
      <c r="F8" s="2368">
        <f t="shared" ref="F8" si="39">F9*(1+Q8)</f>
        <v>319.13136737000184</v>
      </c>
      <c r="G8" s="2358">
        <v>2020</v>
      </c>
      <c r="H8" s="2369">
        <v>2</v>
      </c>
      <c r="I8" s="2369">
        <v>0.31</v>
      </c>
      <c r="J8" s="2369">
        <v>-0.78</v>
      </c>
      <c r="K8" s="2369">
        <v>0.5</v>
      </c>
      <c r="L8" s="2370">
        <v>0.47</v>
      </c>
      <c r="M8" s="2371"/>
      <c r="N8" s="2372">
        <f t="shared" ref="N8" si="40">I8/100</f>
        <v>3.0999999999999999E-3</v>
      </c>
      <c r="O8" s="2373">
        <f t="shared" ref="O8" si="41">J8/100</f>
        <v>-7.8000000000000005E-3</v>
      </c>
      <c r="P8" s="2373">
        <f t="shared" ref="P8" si="42">K8/100</f>
        <v>5.0000000000000001E-3</v>
      </c>
      <c r="Q8" s="2373">
        <f t="shared" ref="Q8" si="43">L8/100</f>
        <v>4.6999999999999993E-3</v>
      </c>
      <c r="R8" s="2371"/>
      <c r="S8" s="2372"/>
      <c r="T8" s="2373"/>
      <c r="U8" s="2373"/>
      <c r="V8" s="2373"/>
      <c r="W8" s="2371"/>
      <c r="X8" s="2371">
        <f>ROUND(SUMPRODUCT(PRODUCT(1+N8:N$32)),4)</f>
        <v>1.5652999999999999</v>
      </c>
      <c r="Y8" s="2371">
        <f>ROUND(SUMPRODUCT(PRODUCT(1+O8:O$32)),4)</f>
        <v>1.3472</v>
      </c>
      <c r="Z8" s="2371">
        <f t="shared" ref="Z8" si="44">Y8</f>
        <v>1.3472</v>
      </c>
      <c r="AA8" s="2371">
        <f>ROUND(SUMPRODUCT(PRODUCT(1+P8:P$32)),4)</f>
        <v>1.6335999999999999</v>
      </c>
      <c r="AB8" s="2371">
        <f>ROUND(SUMPRODUCT(PRODUCT(1+Q8:Q$32)),4)</f>
        <v>1.3880999999999999</v>
      </c>
      <c r="AC8" s="2371"/>
      <c r="AD8" s="2373">
        <f>ROUND(AVERAGE(I8:I$33)/100,4)</f>
        <v>1.8599999999999998E-2</v>
      </c>
      <c r="AE8" s="2373">
        <f>ROUND(AVERAGE(J8:J$33)/100,4)</f>
        <v>1.2500000000000001E-2</v>
      </c>
      <c r="AF8" s="2373">
        <f t="shared" ref="AF8" si="45">AE8</f>
        <v>1.2500000000000001E-2</v>
      </c>
      <c r="AG8" s="2373">
        <f>ROUND(AVERAGE(K8:K$33)/100,4)</f>
        <v>2.0400000000000001E-2</v>
      </c>
      <c r="AH8" s="2373">
        <f>ROUND(AVERAGE(L8:L$33)/100,4)</f>
        <v>1.32E-2</v>
      </c>
    </row>
    <row r="9" spans="1:34" s="2374" customFormat="1" ht="14.45" customHeight="1">
      <c r="A9" s="2367" t="s">
        <v>2733</v>
      </c>
      <c r="B9" s="2368">
        <f t="shared" ref="B9" si="46">B10*(1+N9)</f>
        <v>479.92259063878413</v>
      </c>
      <c r="C9" s="2368">
        <f t="shared" ref="C9" si="47">C10*(1+O9)</f>
        <v>350.02082268341775</v>
      </c>
      <c r="D9" s="2368">
        <f t="shared" ref="D9" si="48">C9</f>
        <v>350.02082268341775</v>
      </c>
      <c r="E9" s="2368">
        <f t="shared" ref="E9" si="49">E10*(1+P9)</f>
        <v>687.42265944181099</v>
      </c>
      <c r="F9" s="2368">
        <f t="shared" ref="F9" si="50">F10*(1+Q9)</f>
        <v>317.63846657708956</v>
      </c>
      <c r="G9" s="2358">
        <v>2020</v>
      </c>
      <c r="H9" s="2369">
        <v>1</v>
      </c>
      <c r="I9" s="2369">
        <v>0.12</v>
      </c>
      <c r="J9" s="2369">
        <v>-0.4</v>
      </c>
      <c r="K9" s="2369">
        <v>0.21</v>
      </c>
      <c r="L9" s="2370">
        <v>0.27</v>
      </c>
      <c r="M9" s="2371"/>
      <c r="N9" s="2372">
        <f t="shared" ref="N9" si="51">I9/100</f>
        <v>1.1999999999999999E-3</v>
      </c>
      <c r="O9" s="2373">
        <f t="shared" ref="O9" si="52">J9/100</f>
        <v>-4.0000000000000001E-3</v>
      </c>
      <c r="P9" s="2373">
        <f t="shared" ref="P9" si="53">K9/100</f>
        <v>2.0999999999999999E-3</v>
      </c>
      <c r="Q9" s="2373">
        <f t="shared" ref="Q9" si="54">L9/100</f>
        <v>2.7000000000000001E-3</v>
      </c>
      <c r="R9" s="2371"/>
      <c r="S9" s="2372">
        <f>B9/B10-1</f>
        <v>1.2000000000000899E-3</v>
      </c>
      <c r="T9" s="2373">
        <f>C9/C10-1</f>
        <v>-4.0000000000000036E-3</v>
      </c>
      <c r="U9" s="2373">
        <f>E9/E10-1</f>
        <v>2.0999999999999908E-3</v>
      </c>
      <c r="V9" s="2373">
        <f>F9/F10-1</f>
        <v>2.6999999999999247E-3</v>
      </c>
      <c r="W9" s="2371"/>
      <c r="X9" s="2371">
        <f>ROUND(SUMPRODUCT(PRODUCT(1+N9:N$32)),4)</f>
        <v>1.5605</v>
      </c>
      <c r="Y9" s="2371">
        <f>ROUND(SUMPRODUCT(PRODUCT(1+O9:O$32)),4)</f>
        <v>1.3577999999999999</v>
      </c>
      <c r="Z9" s="2371">
        <f t="shared" ref="Z9" si="55">Y9</f>
        <v>1.3577999999999999</v>
      </c>
      <c r="AA9" s="2371">
        <f>ROUND(SUMPRODUCT(PRODUCT(1+P9:P$32)),4)</f>
        <v>1.6254999999999999</v>
      </c>
      <c r="AB9" s="2371">
        <f>ROUND(SUMPRODUCT(PRODUCT(1+Q9:Q$32)),4)</f>
        <v>1.3815999999999999</v>
      </c>
      <c r="AC9" s="2371"/>
      <c r="AD9" s="2373">
        <f>ROUND(AVERAGE(I9:I$33)/100,4)</f>
        <v>1.9199999999999998E-2</v>
      </c>
      <c r="AE9" s="2373">
        <f>ROUND(AVERAGE(J9:J$33)/100,4)</f>
        <v>1.3299999999999999E-2</v>
      </c>
      <c r="AF9" s="2373">
        <f t="shared" ref="AF9" si="56">AE9</f>
        <v>1.3299999999999999E-2</v>
      </c>
      <c r="AG9" s="2373">
        <f>ROUND(AVERAGE(K9:K$33)/100,4)</f>
        <v>2.1100000000000001E-2</v>
      </c>
      <c r="AH9" s="2373">
        <f>ROUND(AVERAGE(L9:L$33)/100,4)</f>
        <v>1.3599999999999999E-2</v>
      </c>
    </row>
    <row r="10" spans="1:34" s="2374" customFormat="1" ht="14.45" customHeight="1">
      <c r="A10" s="2367" t="s">
        <v>2731</v>
      </c>
      <c r="B10" s="2368">
        <f t="shared" ref="B10:B15" si="57">B11*(1+N10)</f>
        <v>479.34737379023579</v>
      </c>
      <c r="C10" s="2368">
        <f t="shared" ref="C10" si="58">C11*(1+O10)</f>
        <v>351.4265287986122</v>
      </c>
      <c r="D10" s="2368">
        <f t="shared" ref="D10" si="59">C10</f>
        <v>351.4265287986122</v>
      </c>
      <c r="E10" s="2368">
        <f t="shared" ref="E10" si="60">E11*(1+P10)</f>
        <v>685.98209703803116</v>
      </c>
      <c r="F10" s="2368">
        <f t="shared" ref="F10" si="61">F11*(1+Q10)</f>
        <v>316.78315206651001</v>
      </c>
      <c r="G10" s="2358">
        <v>2019</v>
      </c>
      <c r="H10" s="2369">
        <v>4</v>
      </c>
      <c r="I10" s="2369">
        <v>0.45</v>
      </c>
      <c r="J10" s="2369">
        <v>-0.12</v>
      </c>
      <c r="K10" s="2369">
        <v>0.54</v>
      </c>
      <c r="L10" s="2370">
        <v>0.48</v>
      </c>
      <c r="M10" s="2371"/>
      <c r="N10" s="2372">
        <f t="shared" ref="N10:N15" si="62">I10/100</f>
        <v>4.5000000000000005E-3</v>
      </c>
      <c r="O10" s="2373">
        <f t="shared" ref="O10" si="63">J10/100</f>
        <v>-1.1999999999999999E-3</v>
      </c>
      <c r="P10" s="2373">
        <f t="shared" ref="P10" si="64">K10/100</f>
        <v>5.4000000000000003E-3</v>
      </c>
      <c r="Q10" s="2373">
        <f t="shared" ref="Q10" si="65">L10/100</f>
        <v>4.7999999999999996E-3</v>
      </c>
      <c r="R10" s="2371"/>
      <c r="S10" s="2372"/>
      <c r="T10" s="2373"/>
      <c r="U10" s="2373"/>
      <c r="V10" s="2373"/>
      <c r="W10" s="2371"/>
      <c r="X10" s="2371">
        <f>ROUND(SUMPRODUCT(PRODUCT(1+N10:N$32)),4)</f>
        <v>1.5586</v>
      </c>
      <c r="Y10" s="2371">
        <f>ROUND(SUMPRODUCT(PRODUCT(1+O10:O$32)),4)</f>
        <v>1.3633</v>
      </c>
      <c r="Z10" s="2371">
        <f t="shared" ref="Z10" si="66">Y10</f>
        <v>1.3633</v>
      </c>
      <c r="AA10" s="2371">
        <f>ROUND(SUMPRODUCT(PRODUCT(1+P10:P$32)),4)</f>
        <v>1.6221000000000001</v>
      </c>
      <c r="AB10" s="2371">
        <f>ROUND(SUMPRODUCT(PRODUCT(1+Q10:Q$32)),4)</f>
        <v>1.3777999999999999</v>
      </c>
      <c r="AC10" s="2371"/>
      <c r="AD10" s="2373">
        <f>ROUND(AVERAGE(I10:I$33)/100,4)</f>
        <v>0.02</v>
      </c>
      <c r="AE10" s="2373">
        <f>ROUND(AVERAGE(J10:J$33)/100,4)</f>
        <v>1.4E-2</v>
      </c>
      <c r="AF10" s="2373">
        <f t="shared" ref="AF10" si="67">AE10</f>
        <v>1.4E-2</v>
      </c>
      <c r="AG10" s="2373">
        <f>ROUND(AVERAGE(K10:K$33)/100,4)</f>
        <v>2.1899999999999999E-2</v>
      </c>
      <c r="AH10" s="2373">
        <f>ROUND(AVERAGE(L10:L$33)/100,4)</f>
        <v>1.4E-2</v>
      </c>
    </row>
    <row r="11" spans="1:34" s="2374" customFormat="1" ht="14.45" customHeight="1" thickBot="1">
      <c r="A11" s="2367" t="s">
        <v>2728</v>
      </c>
      <c r="B11" s="2368">
        <f t="shared" si="57"/>
        <v>477.19997390765138</v>
      </c>
      <c r="C11" s="2368">
        <f t="shared" ref="C11" si="68">C12*(1+O11)</f>
        <v>351.84874729536665</v>
      </c>
      <c r="D11" s="2368">
        <f t="shared" ref="D11" si="69">C11</f>
        <v>351.84874729536665</v>
      </c>
      <c r="E11" s="2368">
        <f t="shared" ref="E11" si="70">E12*(1+P11)</f>
        <v>682.29768951465201</v>
      </c>
      <c r="F11" s="2368">
        <f t="shared" ref="F11" si="71">F12*(1+Q11)</f>
        <v>315.26985675409043</v>
      </c>
      <c r="G11" s="2358">
        <v>2019</v>
      </c>
      <c r="H11" s="2369">
        <v>3</v>
      </c>
      <c r="I11" s="2369">
        <v>0.61</v>
      </c>
      <c r="J11" s="2369">
        <v>0.67</v>
      </c>
      <c r="K11" s="2369">
        <v>0.6</v>
      </c>
      <c r="L11" s="2370">
        <v>1.03</v>
      </c>
      <c r="M11" s="2371"/>
      <c r="N11" s="2372">
        <f t="shared" si="62"/>
        <v>6.0999999999999995E-3</v>
      </c>
      <c r="O11" s="2373">
        <f t="shared" ref="O11" si="72">J11/100</f>
        <v>6.7000000000000002E-3</v>
      </c>
      <c r="P11" s="2373">
        <f t="shared" ref="P11" si="73">K11/100</f>
        <v>6.0000000000000001E-3</v>
      </c>
      <c r="Q11" s="2373">
        <f t="shared" ref="Q11" si="74">L11/100</f>
        <v>1.03E-2</v>
      </c>
      <c r="R11" s="2371"/>
      <c r="S11" s="2372"/>
      <c r="T11" s="2373"/>
      <c r="U11" s="2373"/>
      <c r="V11" s="2373"/>
      <c r="W11" s="2371"/>
      <c r="X11" s="2371">
        <f>ROUND(SUMPRODUCT(PRODUCT(1+N11:N$32)),4)</f>
        <v>1.5516000000000001</v>
      </c>
      <c r="Y11" s="2371">
        <f>ROUND(SUMPRODUCT(PRODUCT(1+O11:O$32)),4)</f>
        <v>1.3649</v>
      </c>
      <c r="Z11" s="2371">
        <f t="shared" ref="Z11" si="75">Y11</f>
        <v>1.3649</v>
      </c>
      <c r="AA11" s="2371">
        <f>ROUND(SUMPRODUCT(PRODUCT(1+P11:P$32)),4)</f>
        <v>1.6133999999999999</v>
      </c>
      <c r="AB11" s="2371">
        <f>ROUND(SUMPRODUCT(PRODUCT(1+Q11:Q$32)),4)</f>
        <v>1.3713</v>
      </c>
      <c r="AC11" s="2371"/>
      <c r="AD11" s="2373">
        <f>ROUND(AVERAGE(I11:I$33)/100,4)</f>
        <v>2.07E-2</v>
      </c>
      <c r="AE11" s="2373">
        <f>ROUND(AVERAGE(J11:J$33)/100,4)</f>
        <v>1.47E-2</v>
      </c>
      <c r="AF11" s="2373">
        <f t="shared" ref="AF11" si="76">AE11</f>
        <v>1.47E-2</v>
      </c>
      <c r="AG11" s="2373">
        <f>ROUND(AVERAGE(K11:K$33)/100,4)</f>
        <v>2.2599999999999999E-2</v>
      </c>
      <c r="AH11" s="2373">
        <f>ROUND(AVERAGE(L11:L$33)/100,4)</f>
        <v>1.44E-2</v>
      </c>
    </row>
    <row r="12" spans="1:34" s="2374" customFormat="1" ht="14.45" customHeight="1">
      <c r="A12" s="2367" t="s">
        <v>2722</v>
      </c>
      <c r="B12" s="2368">
        <f t="shared" si="57"/>
        <v>474.30670301923408</v>
      </c>
      <c r="C12" s="2368">
        <f t="shared" ref="C12" si="77">C13*(1+O12)</f>
        <v>349.50705005996491</v>
      </c>
      <c r="D12" s="2368">
        <f t="shared" ref="D12" si="78">C12</f>
        <v>349.50705005996491</v>
      </c>
      <c r="E12" s="2368">
        <f t="shared" ref="E12" si="79">E13*(1+P12)</f>
        <v>678.22831959706957</v>
      </c>
      <c r="F12" s="2368">
        <f t="shared" ref="F12" si="80">F13*(1+Q12)</f>
        <v>312.0556832169558</v>
      </c>
      <c r="G12" s="2358">
        <v>2019</v>
      </c>
      <c r="H12" s="2375">
        <v>2</v>
      </c>
      <c r="I12" s="2375">
        <v>1.53</v>
      </c>
      <c r="J12" s="2375">
        <v>1.01</v>
      </c>
      <c r="K12" s="2375">
        <v>1.62</v>
      </c>
      <c r="L12" s="2376">
        <v>1.25</v>
      </c>
      <c r="M12" s="2371"/>
      <c r="N12" s="2372">
        <f t="shared" si="62"/>
        <v>1.5300000000000001E-2</v>
      </c>
      <c r="O12" s="2373">
        <f t="shared" ref="O12" si="81">J12/100</f>
        <v>1.01E-2</v>
      </c>
      <c r="P12" s="2373">
        <f t="shared" ref="P12" si="82">K12/100</f>
        <v>1.6200000000000003E-2</v>
      </c>
      <c r="Q12" s="2373">
        <f t="shared" ref="Q12" si="83">L12/100</f>
        <v>1.2500000000000001E-2</v>
      </c>
      <c r="R12" s="2371"/>
      <c r="S12" s="2372"/>
      <c r="T12" s="2373"/>
      <c r="U12" s="2373"/>
      <c r="V12" s="2373"/>
      <c r="W12" s="2371"/>
      <c r="X12" s="2371">
        <f>ROUND(SUMPRODUCT(PRODUCT(1+N12:N$32)),4)</f>
        <v>1.5422</v>
      </c>
      <c r="Y12" s="2371">
        <f>ROUND(SUMPRODUCT(PRODUCT(1+O12:O$32)),4)</f>
        <v>1.3557999999999999</v>
      </c>
      <c r="Z12" s="2371">
        <f t="shared" ref="Z12" si="84">Y12</f>
        <v>1.3557999999999999</v>
      </c>
      <c r="AA12" s="2371">
        <f>ROUND(SUMPRODUCT(PRODUCT(1+P12:P$32)),4)</f>
        <v>1.6036999999999999</v>
      </c>
      <c r="AB12" s="2371">
        <f>ROUND(SUMPRODUCT(PRODUCT(1+Q12:Q$32)),4)</f>
        <v>1.3573</v>
      </c>
      <c r="AC12" s="2371"/>
      <c r="AD12" s="2373">
        <f>ROUND(AVERAGE(I12:I$33)/100,4)</f>
        <v>2.1299999999999999E-2</v>
      </c>
      <c r="AE12" s="2373">
        <f>ROUND(AVERAGE(J12:J$33)/100,4)</f>
        <v>1.4999999999999999E-2</v>
      </c>
      <c r="AF12" s="2373">
        <f t="shared" ref="AF12" si="85">AE12</f>
        <v>1.4999999999999999E-2</v>
      </c>
      <c r="AG12" s="2373">
        <f>ROUND(AVERAGE(K12:K$33)/100,4)</f>
        <v>2.3300000000000001E-2</v>
      </c>
      <c r="AH12" s="2373">
        <f>ROUND(AVERAGE(L12:L$33)/100,4)</f>
        <v>1.46E-2</v>
      </c>
    </row>
    <row r="13" spans="1:34" s="2374" customFormat="1" ht="14.45" customHeight="1" thickBot="1">
      <c r="A13" s="2367" t="s">
        <v>2723</v>
      </c>
      <c r="B13" s="2368">
        <f t="shared" si="57"/>
        <v>467.15916775261894</v>
      </c>
      <c r="C13" s="2368">
        <f t="shared" ref="C13" si="86">C14*(1+O13)</f>
        <v>346.01232557169084</v>
      </c>
      <c r="D13" s="2368">
        <f t="shared" ref="D13" si="87">C13</f>
        <v>346.01232557169084</v>
      </c>
      <c r="E13" s="2368">
        <f t="shared" ref="E13" si="88">E14*(1+P13)</f>
        <v>667.41617752122568</v>
      </c>
      <c r="F13" s="2368">
        <f t="shared" ref="F13" si="89">F14*(1+Q13)</f>
        <v>308.20314391798104</v>
      </c>
      <c r="G13" s="2358">
        <v>2019</v>
      </c>
      <c r="H13" s="2369">
        <v>1</v>
      </c>
      <c r="I13" s="2369">
        <v>0.6</v>
      </c>
      <c r="J13" s="2369">
        <v>0.37</v>
      </c>
      <c r="K13" s="2369">
        <v>0.63</v>
      </c>
      <c r="L13" s="2370">
        <v>1.1299999999999999</v>
      </c>
      <c r="M13" s="2371"/>
      <c r="N13" s="2372">
        <f t="shared" si="62"/>
        <v>6.0000000000000001E-3</v>
      </c>
      <c r="O13" s="2373">
        <f t="shared" ref="O13" si="90">J13/100</f>
        <v>3.7000000000000002E-3</v>
      </c>
      <c r="P13" s="2373">
        <f t="shared" ref="P13" si="91">K13/100</f>
        <v>6.3E-3</v>
      </c>
      <c r="Q13" s="2373">
        <f t="shared" ref="Q13" si="92">L13/100</f>
        <v>1.1299999999999999E-2</v>
      </c>
      <c r="R13" s="2371"/>
      <c r="S13" s="2372">
        <f>B13/B14-1</f>
        <v>6.0000000000000053E-3</v>
      </c>
      <c r="T13" s="2373">
        <f>C13/C14-1</f>
        <v>3.7000000000000366E-3</v>
      </c>
      <c r="U13" s="2373">
        <f>E13/E14-1</f>
        <v>6.2999999999999723E-3</v>
      </c>
      <c r="V13" s="2373">
        <f>F13/F14-1</f>
        <v>1.1300000000000088E-2</v>
      </c>
      <c r="W13" s="2371"/>
      <c r="X13" s="2371">
        <f>ROUND(SUMPRODUCT(PRODUCT(1+N13:N$32)),4)</f>
        <v>1.5189999999999999</v>
      </c>
      <c r="Y13" s="2371">
        <f>ROUND(SUMPRODUCT(PRODUCT(1+O13:O$32)),4)</f>
        <v>1.3423</v>
      </c>
      <c r="Z13" s="2371">
        <f t="shared" ref="Z13" si="93">Y13</f>
        <v>1.3423</v>
      </c>
      <c r="AA13" s="2371">
        <f>ROUND(SUMPRODUCT(PRODUCT(1+P13:P$32)),4)</f>
        <v>1.5782</v>
      </c>
      <c r="AB13" s="2371">
        <f>ROUND(SUMPRODUCT(PRODUCT(1+Q13:Q$32)),4)</f>
        <v>1.3405</v>
      </c>
      <c r="AC13" s="2371"/>
      <c r="AD13" s="2373">
        <f>ROUND(AVERAGE(I13:I$33)/100,4)</f>
        <v>2.1600000000000001E-2</v>
      </c>
      <c r="AE13" s="2373">
        <f>ROUND(AVERAGE(J13:J$33)/100,4)</f>
        <v>1.5299999999999999E-2</v>
      </c>
      <c r="AF13" s="2373">
        <f t="shared" ref="AF13" si="94">AE13</f>
        <v>1.5299999999999999E-2</v>
      </c>
      <c r="AG13" s="2373">
        <f>ROUND(AVERAGE(K13:K$33)/100,4)</f>
        <v>2.3699999999999999E-2</v>
      </c>
      <c r="AH13" s="2373">
        <f>ROUND(AVERAGE(L13:L$33)/100,4)</f>
        <v>1.47E-2</v>
      </c>
    </row>
    <row r="14" spans="1:34">
      <c r="A14" s="2367" t="s">
        <v>2717</v>
      </c>
      <c r="B14" s="2377">
        <f t="shared" si="57"/>
        <v>464.37293017158942</v>
      </c>
      <c r="C14" s="2377">
        <f t="shared" ref="C14" si="95">C15*(1+O14)</f>
        <v>344.73679941385956</v>
      </c>
      <c r="D14" s="2377">
        <f t="shared" ref="D14" si="96">C14</f>
        <v>344.73679941385956</v>
      </c>
      <c r="E14" s="2377">
        <f t="shared" ref="E14" si="97">E15*(1+P14)</f>
        <v>663.2377795103107</v>
      </c>
      <c r="F14" s="2378">
        <f t="shared" ref="F14" si="98">F15*(1+Q14)</f>
        <v>304.75936311478398</v>
      </c>
      <c r="G14" s="3772">
        <v>2018</v>
      </c>
      <c r="H14" s="2375">
        <v>4</v>
      </c>
      <c r="I14" s="2375">
        <v>0.96</v>
      </c>
      <c r="J14" s="2375">
        <v>1.03</v>
      </c>
      <c r="K14" s="2375">
        <v>0.92</v>
      </c>
      <c r="L14" s="2376">
        <v>1.29</v>
      </c>
      <c r="N14" s="2379">
        <f t="shared" si="62"/>
        <v>9.5999999999999992E-3</v>
      </c>
      <c r="O14" s="2380">
        <f t="shared" ref="O14" si="99">J14/100</f>
        <v>1.03E-2</v>
      </c>
      <c r="P14" s="2380">
        <f t="shared" ref="P14" si="100">K14/100</f>
        <v>9.1999999999999998E-3</v>
      </c>
      <c r="Q14" s="2380">
        <f t="shared" ref="Q14" si="101">L14/100</f>
        <v>1.29E-2</v>
      </c>
      <c r="R14" s="2381"/>
      <c r="S14" s="2382"/>
      <c r="T14" s="2383"/>
      <c r="U14" s="2383"/>
      <c r="V14" s="2383"/>
      <c r="X14" s="2353">
        <f>ROUND(SUMPRODUCT(PRODUCT(1+N14:N$32)),4)</f>
        <v>1.5099</v>
      </c>
      <c r="Y14" s="2353">
        <f>ROUND(SUMPRODUCT(PRODUCT(1+O14:O$32)),4)</f>
        <v>1.3372999999999999</v>
      </c>
      <c r="Z14" s="2353">
        <f t="shared" ref="Z14" si="102">Y14</f>
        <v>1.3372999999999999</v>
      </c>
      <c r="AA14" s="2353">
        <f>ROUND(SUMPRODUCT(PRODUCT(1+P14:P$32)),4)</f>
        <v>1.5683</v>
      </c>
      <c r="AB14" s="2353">
        <f>ROUND(SUMPRODUCT(PRODUCT(1+Q14:Q$32)),4)</f>
        <v>1.3255999999999999</v>
      </c>
      <c r="AD14" s="2354">
        <f>ROUND(AVERAGE(I14:I$33)/100,4)</f>
        <v>2.24E-2</v>
      </c>
      <c r="AE14" s="2354">
        <f>ROUND(AVERAGE(J14:J$33)/100,4)</f>
        <v>1.5800000000000002E-2</v>
      </c>
      <c r="AF14" s="2354">
        <f t="shared" ref="AF14" si="103">AE14</f>
        <v>1.5800000000000002E-2</v>
      </c>
      <c r="AG14" s="2354">
        <f>ROUND(AVERAGE(K14:K$33)/100,4)</f>
        <v>2.4500000000000001E-2</v>
      </c>
      <c r="AH14" s="2354">
        <f>ROUND(AVERAGE(L14:L$33)/100,4)</f>
        <v>1.49E-2</v>
      </c>
    </row>
    <row r="15" spans="1:34" s="2386" customFormat="1" ht="14.45" customHeight="1">
      <c r="A15" s="2367" t="s">
        <v>2712</v>
      </c>
      <c r="B15" s="2384">
        <f t="shared" si="57"/>
        <v>459.95733971036987</v>
      </c>
      <c r="C15" s="2384">
        <f t="shared" ref="C15" si="104">C16*(1+O15)</f>
        <v>341.22221064422405</v>
      </c>
      <c r="D15" s="2384">
        <f t="shared" ref="D15" si="105">C15</f>
        <v>341.22221064422405</v>
      </c>
      <c r="E15" s="2384">
        <f t="shared" ref="E15" si="106">E16*(1+P15)</f>
        <v>657.19161663724799</v>
      </c>
      <c r="F15" s="2384">
        <f t="shared" ref="F15" si="107">F16*(1+Q15)</f>
        <v>300.87803644464805</v>
      </c>
      <c r="G15" s="3772"/>
      <c r="H15" s="2369">
        <v>3</v>
      </c>
      <c r="I15" s="2369">
        <v>1.51</v>
      </c>
      <c r="J15" s="2369">
        <v>1.41</v>
      </c>
      <c r="K15" s="2369">
        <v>1.52</v>
      </c>
      <c r="L15" s="2370">
        <v>1.74</v>
      </c>
      <c r="M15" s="2353"/>
      <c r="N15" s="2385">
        <f t="shared" si="62"/>
        <v>1.5100000000000001E-2</v>
      </c>
      <c r="O15" s="2354">
        <f t="shared" ref="O15" si="108">J15/100</f>
        <v>1.41E-2</v>
      </c>
      <c r="P15" s="2354">
        <f t="shared" ref="P15" si="109">K15/100</f>
        <v>1.52E-2</v>
      </c>
      <c r="Q15" s="2354">
        <f t="shared" ref="Q15" si="110">L15/100</f>
        <v>1.7399999999999999E-2</v>
      </c>
      <c r="R15" s="2353"/>
      <c r="S15" s="2385"/>
      <c r="T15" s="2354"/>
      <c r="U15" s="2354"/>
      <c r="V15" s="2354"/>
      <c r="W15" s="2353"/>
      <c r="X15" s="2353">
        <f>ROUND(SUMPRODUCT(PRODUCT(1+N15:N$32)),4)</f>
        <v>1.4956</v>
      </c>
      <c r="Y15" s="2353">
        <f>ROUND(SUMPRODUCT(PRODUCT(1+O15:O$32)),4)</f>
        <v>1.3237000000000001</v>
      </c>
      <c r="Z15" s="2353">
        <f t="shared" ref="Z15" si="111">Y15</f>
        <v>1.3237000000000001</v>
      </c>
      <c r="AA15" s="2353">
        <f>ROUND(SUMPRODUCT(PRODUCT(1+P15:P$32)),4)</f>
        <v>1.554</v>
      </c>
      <c r="AB15" s="2353">
        <f>ROUND(SUMPRODUCT(PRODUCT(1+Q15:Q$32)),4)</f>
        <v>1.3087</v>
      </c>
      <c r="AC15" s="2353"/>
      <c r="AD15" s="2354">
        <f>ROUND(AVERAGE(I15:I$33)/100,4)</f>
        <v>2.3099999999999999E-2</v>
      </c>
      <c r="AE15" s="2354">
        <f>ROUND(AVERAGE(J15:J$33)/100,4)</f>
        <v>1.61E-2</v>
      </c>
      <c r="AF15" s="2354">
        <f t="shared" ref="AF15" si="112">AE15</f>
        <v>1.61E-2</v>
      </c>
      <c r="AG15" s="2354">
        <f>ROUND(AVERAGE(K15:K$33)/100,4)</f>
        <v>2.53E-2</v>
      </c>
      <c r="AH15" s="2354">
        <f>ROUND(AVERAGE(L15:L$33)/100,4)</f>
        <v>1.4999999999999999E-2</v>
      </c>
    </row>
    <row r="16" spans="1:34" s="2386" customFormat="1" ht="14.45" customHeight="1">
      <c r="A16" s="2367" t="s">
        <v>2711</v>
      </c>
      <c r="B16" s="2384">
        <f t="shared" ref="B16:B21" si="113">B17*(1+N16)</f>
        <v>453.11529869999993</v>
      </c>
      <c r="C16" s="2384">
        <f t="shared" ref="C16" si="114">C17*(1+O16)</f>
        <v>336.47787264000004</v>
      </c>
      <c r="D16" s="2384">
        <f t="shared" ref="D16" si="115">C16</f>
        <v>336.47787264000004</v>
      </c>
      <c r="E16" s="2384">
        <f t="shared" ref="E16" si="116">E17*(1+P16)</f>
        <v>647.35186823999993</v>
      </c>
      <c r="F16" s="2384">
        <f t="shared" ref="F16" si="117">F17*(1+Q16)</f>
        <v>295.73229452000004</v>
      </c>
      <c r="G16" s="3772"/>
      <c r="H16" s="2387">
        <v>2</v>
      </c>
      <c r="I16" s="2387">
        <v>1.49</v>
      </c>
      <c r="J16" s="2387">
        <v>0.96</v>
      </c>
      <c r="K16" s="2387">
        <v>1.58</v>
      </c>
      <c r="L16" s="2388">
        <v>2.44</v>
      </c>
      <c r="M16" s="2353"/>
      <c r="N16" s="2385">
        <f t="shared" ref="N16" si="118">I16/100</f>
        <v>1.49E-2</v>
      </c>
      <c r="O16" s="2354">
        <f t="shared" ref="O16" si="119">J16/100</f>
        <v>9.5999999999999992E-3</v>
      </c>
      <c r="P16" s="2354">
        <f t="shared" ref="P16" si="120">K16/100</f>
        <v>1.5800000000000002E-2</v>
      </c>
      <c r="Q16" s="2354">
        <f t="shared" ref="Q16" si="121">L16/100</f>
        <v>2.4399999999999998E-2</v>
      </c>
      <c r="R16" s="2353"/>
      <c r="S16" s="2385"/>
      <c r="T16" s="2354"/>
      <c r="U16" s="2354"/>
      <c r="V16" s="2354"/>
      <c r="W16" s="2353"/>
      <c r="X16" s="2353">
        <f>ROUND(SUMPRODUCT(PRODUCT(1+N16:N$32)),4)</f>
        <v>1.4733000000000001</v>
      </c>
      <c r="Y16" s="2353">
        <f>ROUND(SUMPRODUCT(PRODUCT(1+O16:O$32)),4)</f>
        <v>1.3052999999999999</v>
      </c>
      <c r="Z16" s="2353">
        <f t="shared" ref="Z16" si="122">Y16</f>
        <v>1.3052999999999999</v>
      </c>
      <c r="AA16" s="2353">
        <f>ROUND(SUMPRODUCT(PRODUCT(1+P16:P$32)),4)</f>
        <v>1.5306999999999999</v>
      </c>
      <c r="AB16" s="2353">
        <f>ROUND(SUMPRODUCT(PRODUCT(1+Q16:Q$32)),4)</f>
        <v>1.2863</v>
      </c>
      <c r="AC16" s="2353"/>
      <c r="AD16" s="2354">
        <f>ROUND(AVERAGE(I16:I$33)/100,4)</f>
        <v>2.35E-2</v>
      </c>
      <c r="AE16" s="2354">
        <f>ROUND(AVERAGE(J16:J$33)/100,4)</f>
        <v>1.6199999999999999E-2</v>
      </c>
      <c r="AF16" s="2354">
        <f t="shared" ref="AF16" si="123">AE16</f>
        <v>1.6199999999999999E-2</v>
      </c>
      <c r="AG16" s="2354">
        <f>ROUND(AVERAGE(K16:K$33)/100,4)</f>
        <v>2.5899999999999999E-2</v>
      </c>
      <c r="AH16" s="2354">
        <f>ROUND(AVERAGE(L16:L$33)/100,4)</f>
        <v>1.49E-2</v>
      </c>
    </row>
    <row r="17" spans="1:34" s="2386" customFormat="1" ht="15" customHeight="1" thickBot="1">
      <c r="A17" s="2367" t="s">
        <v>2708</v>
      </c>
      <c r="B17" s="2384">
        <f t="shared" si="113"/>
        <v>446.46299999999997</v>
      </c>
      <c r="C17" s="2384">
        <f t="shared" ref="C17" si="124">C18*(1+O17)</f>
        <v>333.27840000000003</v>
      </c>
      <c r="D17" s="2384">
        <f t="shared" ref="D17:D22" si="125">C17</f>
        <v>333.27840000000003</v>
      </c>
      <c r="E17" s="2384">
        <f t="shared" ref="E17" si="126">E18*(1+P17)</f>
        <v>637.28279999999995</v>
      </c>
      <c r="F17" s="2384">
        <f t="shared" ref="F17" si="127">F18*(1+Q17)</f>
        <v>288.68830000000003</v>
      </c>
      <c r="G17" s="3781"/>
      <c r="H17" s="2369">
        <v>1</v>
      </c>
      <c r="I17" s="2369">
        <v>1.7</v>
      </c>
      <c r="J17" s="2369">
        <v>1.92</v>
      </c>
      <c r="K17" s="2369">
        <v>1.64</v>
      </c>
      <c r="L17" s="2370">
        <v>2.0099999999999998</v>
      </c>
      <c r="M17" s="2353"/>
      <c r="N17" s="2385">
        <f t="shared" ref="N17:N22" si="128">I17/100</f>
        <v>1.7000000000000001E-2</v>
      </c>
      <c r="O17" s="2354">
        <f t="shared" ref="O17" si="129">J17/100</f>
        <v>1.9199999999999998E-2</v>
      </c>
      <c r="P17" s="2354">
        <f t="shared" ref="P17" si="130">K17/100</f>
        <v>1.6399999999999998E-2</v>
      </c>
      <c r="Q17" s="2354">
        <f t="shared" ref="Q17" si="131">L17/100</f>
        <v>2.0099999999999996E-2</v>
      </c>
      <c r="R17" s="2353"/>
      <c r="S17" s="2389">
        <f>B17/B18-1</f>
        <v>1.6999999999999904E-2</v>
      </c>
      <c r="T17" s="2390">
        <f>C17/C18-1</f>
        <v>1.9200000000000106E-2</v>
      </c>
      <c r="U17" s="2390">
        <f>E17/E18-1</f>
        <v>1.639999999999997E-2</v>
      </c>
      <c r="V17" s="2390">
        <f>F17/F18-1</f>
        <v>2.0100000000000007E-2</v>
      </c>
      <c r="W17" s="2353"/>
      <c r="X17" s="2353">
        <f>ROUND(SUMPRODUCT(PRODUCT(1+N17:N$32)),4)</f>
        <v>1.4517</v>
      </c>
      <c r="Y17" s="2353">
        <f>ROUND(SUMPRODUCT(PRODUCT(1+O17:O$32)),4)</f>
        <v>1.2928999999999999</v>
      </c>
      <c r="Z17" s="2353">
        <f t="shared" ref="Z17" si="132">Y17</f>
        <v>1.2928999999999999</v>
      </c>
      <c r="AA17" s="2353">
        <f>ROUND(SUMPRODUCT(PRODUCT(1+P17:P$32)),4)</f>
        <v>1.5068999999999999</v>
      </c>
      <c r="AB17" s="2353">
        <f>ROUND(SUMPRODUCT(PRODUCT(1+Q17:Q$32)),4)</f>
        <v>1.2557</v>
      </c>
      <c r="AC17" s="2353"/>
      <c r="AD17" s="2354">
        <f>ROUND(AVERAGE(I17:I$33)/100,4)</f>
        <v>2.4E-2</v>
      </c>
      <c r="AE17" s="2354">
        <f>ROUND(AVERAGE(J17:J$33)/100,4)</f>
        <v>1.66E-2</v>
      </c>
      <c r="AF17" s="2354">
        <f t="shared" ref="AF17" si="133">AE17</f>
        <v>1.66E-2</v>
      </c>
      <c r="AG17" s="2354">
        <f>ROUND(AVERAGE(K17:K$33)/100,4)</f>
        <v>2.6499999999999999E-2</v>
      </c>
      <c r="AH17" s="2354">
        <f>ROUND(AVERAGE(L17:L$33)/100,4)</f>
        <v>1.43E-2</v>
      </c>
    </row>
    <row r="18" spans="1:34">
      <c r="A18" s="2367" t="s">
        <v>2705</v>
      </c>
      <c r="B18" s="2377">
        <v>439</v>
      </c>
      <c r="C18" s="2377">
        <v>327</v>
      </c>
      <c r="D18" s="2377">
        <f t="shared" si="125"/>
        <v>327</v>
      </c>
      <c r="E18" s="2377">
        <v>627</v>
      </c>
      <c r="F18" s="2378">
        <v>283</v>
      </c>
      <c r="G18" s="3777">
        <v>2017</v>
      </c>
      <c r="H18" s="2375">
        <v>4</v>
      </c>
      <c r="I18" s="2375">
        <v>1.71</v>
      </c>
      <c r="J18" s="2375">
        <v>1.78</v>
      </c>
      <c r="K18" s="2375">
        <v>1.71</v>
      </c>
      <c r="L18" s="2376">
        <v>1.43</v>
      </c>
      <c r="N18" s="2379">
        <f t="shared" si="128"/>
        <v>1.7100000000000001E-2</v>
      </c>
      <c r="O18" s="2380">
        <f t="shared" ref="O18" si="134">J18/100</f>
        <v>1.78E-2</v>
      </c>
      <c r="P18" s="2380">
        <f t="shared" ref="P18" si="135">K18/100</f>
        <v>1.7100000000000001E-2</v>
      </c>
      <c r="Q18" s="2380">
        <f t="shared" ref="Q18" si="136">L18/100</f>
        <v>1.43E-2</v>
      </c>
      <c r="R18" s="2381"/>
      <c r="S18" s="2382"/>
      <c r="T18" s="2383"/>
      <c r="U18" s="2383"/>
      <c r="V18" s="2383"/>
      <c r="X18" s="2353">
        <f>ROUND(SUMPRODUCT(PRODUCT(1+N18:N$32)),4)</f>
        <v>1.4274</v>
      </c>
      <c r="Y18" s="2353">
        <f>ROUND(SUMPRODUCT(PRODUCT(1+O18:O$32)),4)</f>
        <v>1.2685</v>
      </c>
      <c r="Z18" s="2353">
        <f t="shared" si="0"/>
        <v>1.2685</v>
      </c>
      <c r="AA18" s="2353">
        <f>ROUND(SUMPRODUCT(PRODUCT(1+P18:P$32)),4)</f>
        <v>1.4825999999999999</v>
      </c>
      <c r="AB18" s="2353">
        <f>ROUND(SUMPRODUCT(PRODUCT(1+Q18:Q$32)),4)</f>
        <v>1.2309000000000001</v>
      </c>
      <c r="AD18" s="2354">
        <f>ROUND(AVERAGE(I18:I$33)/100,4)</f>
        <v>2.4500000000000001E-2</v>
      </c>
      <c r="AE18" s="2354">
        <f>ROUND(AVERAGE(J18:J$33)/100,4)</f>
        <v>1.6500000000000001E-2</v>
      </c>
      <c r="AF18" s="2354">
        <f t="shared" si="1"/>
        <v>1.6500000000000001E-2</v>
      </c>
      <c r="AG18" s="2354">
        <f>ROUND(AVERAGE(K18:K$33)/100,4)</f>
        <v>2.7099999999999999E-2</v>
      </c>
      <c r="AH18" s="2354">
        <f>ROUND(AVERAGE(L18:L$33)/100,4)</f>
        <v>1.3899999999999999E-2</v>
      </c>
    </row>
    <row r="19" spans="1:34" s="2386" customFormat="1" ht="14.45" customHeight="1">
      <c r="A19" s="2367" t="s">
        <v>2702</v>
      </c>
      <c r="B19" s="2384">
        <f t="shared" si="113"/>
        <v>431.80730811680002</v>
      </c>
      <c r="C19" s="2384">
        <f t="shared" ref="C19" si="137">C20*(1+O19)</f>
        <v>320.57880516480003</v>
      </c>
      <c r="D19" s="2384">
        <f t="shared" si="125"/>
        <v>320.57880516480003</v>
      </c>
      <c r="E19" s="2384">
        <f t="shared" ref="E19:F21" si="138">E20*(1+P19)</f>
        <v>615.96110553196797</v>
      </c>
      <c r="F19" s="2384">
        <f t="shared" si="138"/>
        <v>279.46777300108801</v>
      </c>
      <c r="G19" s="3772"/>
      <c r="H19" s="2369">
        <v>3</v>
      </c>
      <c r="I19" s="2369">
        <v>2.98</v>
      </c>
      <c r="J19" s="2369">
        <v>2.11</v>
      </c>
      <c r="K19" s="2369">
        <v>3.24</v>
      </c>
      <c r="L19" s="2370">
        <v>1.72</v>
      </c>
      <c r="M19" s="2353"/>
      <c r="N19" s="2385">
        <f t="shared" si="128"/>
        <v>2.98E-2</v>
      </c>
      <c r="O19" s="2391">
        <f t="shared" ref="O19" si="139">J19/100</f>
        <v>2.1099999999999997E-2</v>
      </c>
      <c r="P19" s="2391">
        <f t="shared" ref="P19" si="140">K19/100</f>
        <v>3.2400000000000005E-2</v>
      </c>
      <c r="Q19" s="2391">
        <f t="shared" ref="Q19" si="141">L19/100</f>
        <v>1.72E-2</v>
      </c>
      <c r="R19" s="2353"/>
      <c r="S19" s="2385"/>
      <c r="T19" s="2354"/>
      <c r="U19" s="2354"/>
      <c r="V19" s="2354"/>
      <c r="W19" s="2353"/>
      <c r="X19" s="2353">
        <f>ROUND(SUMPRODUCT(PRODUCT(1+N19:N$32)),4)</f>
        <v>1.4034</v>
      </c>
      <c r="Y19" s="2353">
        <f>ROUND(SUMPRODUCT(PRODUCT(1+O19:O$32)),4)</f>
        <v>1.2463</v>
      </c>
      <c r="Z19" s="2353">
        <f t="shared" si="0"/>
        <v>1.2463</v>
      </c>
      <c r="AA19" s="2353">
        <f>ROUND(SUMPRODUCT(PRODUCT(1+P19:P$32)),4)</f>
        <v>1.4577</v>
      </c>
      <c r="AB19" s="2353">
        <f>ROUND(SUMPRODUCT(PRODUCT(1+Q19:Q$32)),4)</f>
        <v>1.2136</v>
      </c>
      <c r="AC19" s="2353"/>
      <c r="AD19" s="2354">
        <f>ROUND(AVERAGE(I19:I$33)/100,4)</f>
        <v>2.4899999999999999E-2</v>
      </c>
      <c r="AE19" s="2354">
        <f>ROUND(AVERAGE(J19:J$33)/100,4)</f>
        <v>1.6400000000000001E-2</v>
      </c>
      <c r="AF19" s="2354">
        <f t="shared" si="1"/>
        <v>1.6400000000000001E-2</v>
      </c>
      <c r="AG19" s="2354">
        <f>ROUND(AVERAGE(K19:K$33)/100,4)</f>
        <v>2.7799999999999998E-2</v>
      </c>
      <c r="AH19" s="2354">
        <f>ROUND(AVERAGE(L19:L$33)/100,4)</f>
        <v>1.3899999999999999E-2</v>
      </c>
    </row>
    <row r="20" spans="1:34" s="2362" customFormat="1" ht="14.45" customHeight="1">
      <c r="A20" s="2367" t="s">
        <v>1245</v>
      </c>
      <c r="B20" s="2384">
        <f t="shared" si="113"/>
        <v>419.31181600000002</v>
      </c>
      <c r="C20" s="2384">
        <f t="shared" ref="C20" si="142">C21*(1+O20)</f>
        <v>313.95436800000004</v>
      </c>
      <c r="D20" s="2384">
        <f t="shared" si="125"/>
        <v>313.95436800000004</v>
      </c>
      <c r="E20" s="2384">
        <f t="shared" si="138"/>
        <v>596.63028431999999</v>
      </c>
      <c r="F20" s="2384">
        <f t="shared" si="138"/>
        <v>274.74220703999998</v>
      </c>
      <c r="G20" s="3772"/>
      <c r="H20" s="2387">
        <v>2</v>
      </c>
      <c r="I20" s="2387">
        <v>3.4</v>
      </c>
      <c r="J20" s="2387">
        <v>2</v>
      </c>
      <c r="K20" s="2387">
        <v>3.82</v>
      </c>
      <c r="L20" s="2388">
        <v>1.68</v>
      </c>
      <c r="M20" s="2353"/>
      <c r="N20" s="2385">
        <f t="shared" si="128"/>
        <v>3.4000000000000002E-2</v>
      </c>
      <c r="O20" s="2391">
        <f t="shared" ref="O20" si="143">J20/100</f>
        <v>0.02</v>
      </c>
      <c r="P20" s="2391">
        <f t="shared" ref="P20" si="144">K20/100</f>
        <v>3.8199999999999998E-2</v>
      </c>
      <c r="Q20" s="2391">
        <f t="shared" ref="Q20" si="145">L20/100</f>
        <v>1.6799999999999999E-2</v>
      </c>
      <c r="R20" s="2353"/>
      <c r="S20" s="2385"/>
      <c r="T20" s="2354"/>
      <c r="U20" s="2354"/>
      <c r="V20" s="2354"/>
      <c r="W20" s="2353"/>
      <c r="X20" s="2392">
        <f>ROUND(SUMPRODUCT(PRODUCT(1+N20:N$32)),4)</f>
        <v>1.3628</v>
      </c>
      <c r="Y20" s="2392">
        <f>ROUND(SUMPRODUCT(PRODUCT(1+O20:O$32)),4)</f>
        <v>1.2205999999999999</v>
      </c>
      <c r="Z20" s="2392">
        <f t="shared" si="0"/>
        <v>1.2205999999999999</v>
      </c>
      <c r="AA20" s="2392">
        <f>ROUND(SUMPRODUCT(PRODUCT(1+P20:P$32)),4)</f>
        <v>1.4118999999999999</v>
      </c>
      <c r="AB20" s="2392">
        <f>ROUND(SUMPRODUCT(PRODUCT(1+Q20:Q$32)),4)</f>
        <v>1.1930000000000001</v>
      </c>
      <c r="AC20" s="2347"/>
      <c r="AD20" s="2393">
        <f>ROUND(AVERAGE(I20:I$33)/100,4)</f>
        <v>2.46E-2</v>
      </c>
      <c r="AE20" s="2393">
        <f>ROUND(AVERAGE(J20:J$33)/100,4)</f>
        <v>1.6E-2</v>
      </c>
      <c r="AF20" s="2393">
        <f t="shared" si="1"/>
        <v>1.6E-2</v>
      </c>
      <c r="AG20" s="2393">
        <f>ROUND(AVERAGE(K20:K$33)/100,4)</f>
        <v>2.75E-2</v>
      </c>
      <c r="AH20" s="2393">
        <f>ROUND(AVERAGE(L20:L$33)/100,4)</f>
        <v>1.37E-2</v>
      </c>
    </row>
    <row r="21" spans="1:34" s="2386" customFormat="1" ht="15" customHeight="1" thickBot="1">
      <c r="A21" s="2367" t="s">
        <v>1036</v>
      </c>
      <c r="B21" s="2384">
        <f t="shared" si="113"/>
        <v>405.524</v>
      </c>
      <c r="C21" s="2384">
        <f t="shared" ref="C21" si="146">C22*(1+O21)</f>
        <v>307.79840000000002</v>
      </c>
      <c r="D21" s="2384">
        <f t="shared" si="125"/>
        <v>307.79840000000002</v>
      </c>
      <c r="E21" s="2384">
        <f t="shared" si="138"/>
        <v>574.67759999999998</v>
      </c>
      <c r="F21" s="2384">
        <f t="shared" si="138"/>
        <v>270.20280000000002</v>
      </c>
      <c r="G21" s="3781"/>
      <c r="H21" s="2369">
        <v>1</v>
      </c>
      <c r="I21" s="2369">
        <v>3.45</v>
      </c>
      <c r="J21" s="2369">
        <v>1.92</v>
      </c>
      <c r="K21" s="2369">
        <v>3.92</v>
      </c>
      <c r="L21" s="2370">
        <v>1.58</v>
      </c>
      <c r="M21" s="2353"/>
      <c r="N21" s="2389">
        <f t="shared" si="128"/>
        <v>3.4500000000000003E-2</v>
      </c>
      <c r="O21" s="2390">
        <f t="shared" ref="O21:Q36" si="147">J21/100</f>
        <v>1.9199999999999998E-2</v>
      </c>
      <c r="P21" s="2390">
        <f t="shared" si="147"/>
        <v>3.9199999999999999E-2</v>
      </c>
      <c r="Q21" s="2390">
        <f t="shared" si="147"/>
        <v>1.5800000000000002E-2</v>
      </c>
      <c r="R21" s="2353"/>
      <c r="S21" s="2389">
        <f>B21/B22-1</f>
        <v>3.4499999999999975E-2</v>
      </c>
      <c r="T21" s="2390">
        <f>C21/C22-1</f>
        <v>1.9200000000000106E-2</v>
      </c>
      <c r="U21" s="2390">
        <f>E21/E22-1</f>
        <v>3.9199999999999902E-2</v>
      </c>
      <c r="V21" s="2390">
        <f>F21/F22-1</f>
        <v>1.5800000000000036E-2</v>
      </c>
      <c r="W21" s="2353"/>
      <c r="X21" s="2353">
        <f>ROUND(SUMPRODUCT(PRODUCT(1+N21:N$32)),4)</f>
        <v>1.3180000000000001</v>
      </c>
      <c r="Y21" s="2353">
        <f>ROUND(SUMPRODUCT(PRODUCT(1+O21:O$32)),4)</f>
        <v>1.1966000000000001</v>
      </c>
      <c r="Z21" s="2353">
        <f t="shared" si="0"/>
        <v>1.1966000000000001</v>
      </c>
      <c r="AA21" s="2353">
        <f>ROUND(SUMPRODUCT(PRODUCT(1+P21:P$32)),4)</f>
        <v>1.36</v>
      </c>
      <c r="AB21" s="2353">
        <f>ROUND(SUMPRODUCT(PRODUCT(1+Q21:Q$32)),4)</f>
        <v>1.1733</v>
      </c>
      <c r="AC21" s="2353"/>
      <c r="AD21" s="2354">
        <f>ROUND(AVERAGE(I21:I$33)/100,4)</f>
        <v>2.3900000000000001E-2</v>
      </c>
      <c r="AE21" s="2354">
        <f>ROUND(AVERAGE(J21:J$33)/100,4)</f>
        <v>1.5699999999999999E-2</v>
      </c>
      <c r="AF21" s="2354">
        <f t="shared" si="1"/>
        <v>1.5699999999999999E-2</v>
      </c>
      <c r="AG21" s="2354">
        <f>ROUND(AVERAGE(K21:K$33)/100,4)</f>
        <v>2.6599999999999999E-2</v>
      </c>
      <c r="AH21" s="2354">
        <f>ROUND(AVERAGE(L21:L$33)/100,4)</f>
        <v>1.34E-2</v>
      </c>
    </row>
    <row r="22" spans="1:34">
      <c r="A22" s="2367" t="s">
        <v>1037</v>
      </c>
      <c r="B22" s="2377">
        <v>392</v>
      </c>
      <c r="C22" s="2377">
        <v>302</v>
      </c>
      <c r="D22" s="2377">
        <f t="shared" si="125"/>
        <v>302</v>
      </c>
      <c r="E22" s="2377">
        <v>553</v>
      </c>
      <c r="F22" s="2378">
        <v>266</v>
      </c>
      <c r="G22" s="3777">
        <v>2016</v>
      </c>
      <c r="H22" s="2375">
        <v>4</v>
      </c>
      <c r="I22" s="2375">
        <v>4.5599999999999996</v>
      </c>
      <c r="J22" s="2375">
        <v>2.15</v>
      </c>
      <c r="K22" s="2375">
        <v>5.32</v>
      </c>
      <c r="L22" s="2376">
        <v>1.57</v>
      </c>
      <c r="N22" s="2385">
        <f t="shared" si="128"/>
        <v>4.5599999999999995E-2</v>
      </c>
      <c r="O22" s="2354">
        <f t="shared" si="147"/>
        <v>2.1499999999999998E-2</v>
      </c>
      <c r="P22" s="2354">
        <f t="shared" si="147"/>
        <v>5.3200000000000004E-2</v>
      </c>
      <c r="Q22" s="2354">
        <f t="shared" si="147"/>
        <v>1.5700000000000002E-2</v>
      </c>
      <c r="R22" s="2381"/>
      <c r="S22" s="2382"/>
      <c r="T22" s="2383"/>
      <c r="U22" s="2383"/>
      <c r="V22" s="2383"/>
      <c r="X22" s="2353">
        <f>ROUND(SUMPRODUCT(PRODUCT(1+N22:N$32)),4)</f>
        <v>1.274</v>
      </c>
      <c r="Y22" s="2353">
        <f>ROUND(SUMPRODUCT(PRODUCT(1+O22:O$32)),4)</f>
        <v>1.1740999999999999</v>
      </c>
      <c r="Z22" s="2353">
        <f t="shared" si="0"/>
        <v>1.1740999999999999</v>
      </c>
      <c r="AA22" s="2353">
        <f>ROUND(SUMPRODUCT(PRODUCT(1+P22:P$32)),4)</f>
        <v>1.3087</v>
      </c>
      <c r="AB22" s="2353">
        <f>ROUND(SUMPRODUCT(PRODUCT(1+Q22:Q$32)),4)</f>
        <v>1.1551</v>
      </c>
      <c r="AD22" s="2354">
        <f>ROUND(AVERAGE(I22:I$33)/100,4)</f>
        <v>2.3E-2</v>
      </c>
      <c r="AE22" s="2354">
        <f>ROUND(AVERAGE(J22:J$33)/100,4)</f>
        <v>1.55E-2</v>
      </c>
      <c r="AF22" s="2354">
        <f t="shared" ref="AF22:AF31" si="148">AE22</f>
        <v>1.55E-2</v>
      </c>
      <c r="AG22" s="2354">
        <f>ROUND(AVERAGE(K22:K$33)/100,4)</f>
        <v>2.5600000000000001E-2</v>
      </c>
      <c r="AH22" s="2354">
        <f>ROUND(AVERAGE(L22:L$33)/100,4)</f>
        <v>1.32E-2</v>
      </c>
    </row>
    <row r="23" spans="1:34">
      <c r="A23" s="2367" t="s">
        <v>103</v>
      </c>
      <c r="B23" s="2384">
        <f t="shared" ref="B23:C25" si="149">B22/(1+N22)</f>
        <v>374.90436113236416</v>
      </c>
      <c r="C23" s="2384">
        <f t="shared" si="149"/>
        <v>295.64366128242779</v>
      </c>
      <c r="D23" s="2384">
        <f t="shared" ref="D23:D82" si="150">C23</f>
        <v>295.64366128242779</v>
      </c>
      <c r="E23" s="2384">
        <f t="shared" ref="E23:F25" si="151">E22/(1+P22)</f>
        <v>525.06646410938095</v>
      </c>
      <c r="F23" s="2384">
        <f t="shared" si="151"/>
        <v>261.88835286009646</v>
      </c>
      <c r="G23" s="3772"/>
      <c r="H23" s="2369">
        <v>3</v>
      </c>
      <c r="I23" s="2369">
        <v>4.12</v>
      </c>
      <c r="J23" s="2369">
        <v>2</v>
      </c>
      <c r="K23" s="2369">
        <v>4.79</v>
      </c>
      <c r="L23" s="2370">
        <v>1.97</v>
      </c>
      <c r="N23" s="2385">
        <f t="shared" ref="N23:Q57" si="152">I23/100</f>
        <v>4.1200000000000001E-2</v>
      </c>
      <c r="O23" s="2354">
        <f t="shared" si="147"/>
        <v>0.02</v>
      </c>
      <c r="P23" s="2354">
        <f t="shared" si="147"/>
        <v>4.7899999999999998E-2</v>
      </c>
      <c r="Q23" s="2354">
        <f t="shared" si="147"/>
        <v>1.9699999999999999E-2</v>
      </c>
      <c r="R23" s="2381"/>
      <c r="S23" s="2385"/>
      <c r="T23" s="2354"/>
      <c r="U23" s="2354"/>
      <c r="V23" s="2354"/>
      <c r="X23" s="2353">
        <f>ROUND(SUMPRODUCT(PRODUCT(1+N23:N$32)),4)</f>
        <v>1.2184999999999999</v>
      </c>
      <c r="Y23" s="2353">
        <f>ROUND(SUMPRODUCT(PRODUCT(1+O23:O$32)),4)</f>
        <v>1.1494</v>
      </c>
      <c r="Z23" s="2353">
        <f t="shared" si="0"/>
        <v>1.1494</v>
      </c>
      <c r="AA23" s="2353">
        <f>ROUND(SUMPRODUCT(PRODUCT(1+P23:P$32)),4)</f>
        <v>1.2425999999999999</v>
      </c>
      <c r="AB23" s="2353">
        <f>ROUND(SUMPRODUCT(PRODUCT(1+Q23:Q$32)),4)</f>
        <v>1.1372</v>
      </c>
      <c r="AD23" s="2354">
        <f>ROUND(AVERAGE(I23:I$33)/100,4)</f>
        <v>2.0899999999999998E-2</v>
      </c>
      <c r="AE23" s="2354">
        <f>ROUND(AVERAGE(J23:J$33)/100,4)</f>
        <v>1.49E-2</v>
      </c>
      <c r="AF23" s="2354">
        <f t="shared" si="148"/>
        <v>1.49E-2</v>
      </c>
      <c r="AG23" s="2354">
        <f>ROUND(AVERAGE(K23:K$33)/100,4)</f>
        <v>2.3099999999999999E-2</v>
      </c>
      <c r="AH23" s="2354">
        <f>ROUND(AVERAGE(L23:L$33)/100,4)</f>
        <v>1.2999999999999999E-2</v>
      </c>
    </row>
    <row r="24" spans="1:34">
      <c r="A24" s="2367" t="s">
        <v>93</v>
      </c>
      <c r="B24" s="2384">
        <f t="shared" si="149"/>
        <v>360.06949782209392</v>
      </c>
      <c r="C24" s="2384">
        <f t="shared" si="149"/>
        <v>289.84672674747821</v>
      </c>
      <c r="D24" s="2384">
        <f t="shared" si="150"/>
        <v>289.84672674747821</v>
      </c>
      <c r="E24" s="2384">
        <f t="shared" si="151"/>
        <v>501.06543001181495</v>
      </c>
      <c r="F24" s="2384">
        <f t="shared" si="151"/>
        <v>256.82882500744967</v>
      </c>
      <c r="G24" s="3772"/>
      <c r="H24" s="2387">
        <v>2</v>
      </c>
      <c r="I24" s="2387">
        <v>3.85</v>
      </c>
      <c r="J24" s="2387">
        <v>1.95</v>
      </c>
      <c r="K24" s="2387">
        <v>4.4800000000000004</v>
      </c>
      <c r="L24" s="2388">
        <v>1.41</v>
      </c>
      <c r="N24" s="2385">
        <f t="shared" si="152"/>
        <v>3.85E-2</v>
      </c>
      <c r="O24" s="2354">
        <f t="shared" si="147"/>
        <v>1.95E-2</v>
      </c>
      <c r="P24" s="2354">
        <f t="shared" si="147"/>
        <v>4.4800000000000006E-2</v>
      </c>
      <c r="Q24" s="2354">
        <f t="shared" si="147"/>
        <v>1.41E-2</v>
      </c>
      <c r="R24" s="2381"/>
      <c r="S24" s="2385"/>
      <c r="T24" s="2354"/>
      <c r="U24" s="2354"/>
      <c r="V24" s="2354"/>
      <c r="X24" s="2353">
        <f>ROUND(SUMPRODUCT(PRODUCT(1+N24:N$32)),4)</f>
        <v>1.1702999999999999</v>
      </c>
      <c r="Y24" s="2353">
        <f>ROUND(SUMPRODUCT(PRODUCT(1+O24:O$32)),4)</f>
        <v>1.1269</v>
      </c>
      <c r="Z24" s="2353">
        <f t="shared" si="0"/>
        <v>1.1269</v>
      </c>
      <c r="AA24" s="2353">
        <f>ROUND(SUMPRODUCT(PRODUCT(1+P24:P$32)),4)</f>
        <v>1.1858</v>
      </c>
      <c r="AB24" s="2353">
        <f>ROUND(SUMPRODUCT(PRODUCT(1+Q24:Q$32)),4)</f>
        <v>1.1152</v>
      </c>
      <c r="AD24" s="2354">
        <f>ROUND(AVERAGE(I24:I$33)/100,4)</f>
        <v>1.89E-2</v>
      </c>
      <c r="AE24" s="2354">
        <f>ROUND(AVERAGE(J24:J$33)/100,4)</f>
        <v>1.44E-2</v>
      </c>
      <c r="AF24" s="2354">
        <f t="shared" si="148"/>
        <v>1.44E-2</v>
      </c>
      <c r="AG24" s="2354">
        <f>ROUND(AVERAGE(K24:K$33)/100,4)</f>
        <v>2.06E-2</v>
      </c>
      <c r="AH24" s="2354">
        <f>ROUND(AVERAGE(L24:L$33)/100,4)</f>
        <v>1.23E-2</v>
      </c>
    </row>
    <row r="25" spans="1:34" ht="13.5" thickBot="1">
      <c r="A25" s="2367" t="s">
        <v>102</v>
      </c>
      <c r="B25" s="2384">
        <f t="shared" si="149"/>
        <v>346.720748986128</v>
      </c>
      <c r="C25" s="2384">
        <f t="shared" si="149"/>
        <v>284.30282172386285</v>
      </c>
      <c r="D25" s="2384">
        <f t="shared" si="150"/>
        <v>284.30282172386285</v>
      </c>
      <c r="E25" s="2384">
        <f t="shared" si="151"/>
        <v>479.58023546306947</v>
      </c>
      <c r="F25" s="2384">
        <f t="shared" si="151"/>
        <v>253.25788877571213</v>
      </c>
      <c r="G25" s="3773"/>
      <c r="H25" s="2369">
        <v>1</v>
      </c>
      <c r="I25" s="2369">
        <v>4.09</v>
      </c>
      <c r="J25" s="2369">
        <v>2.93</v>
      </c>
      <c r="K25" s="2369">
        <v>4.54</v>
      </c>
      <c r="L25" s="2370">
        <v>1.48</v>
      </c>
      <c r="N25" s="2385">
        <f t="shared" si="152"/>
        <v>4.0899999999999999E-2</v>
      </c>
      <c r="O25" s="2354">
        <f t="shared" si="147"/>
        <v>2.9300000000000003E-2</v>
      </c>
      <c r="P25" s="2354">
        <f t="shared" si="147"/>
        <v>4.5400000000000003E-2</v>
      </c>
      <c r="Q25" s="2354">
        <f t="shared" si="147"/>
        <v>1.4800000000000001E-2</v>
      </c>
      <c r="R25" s="2381"/>
      <c r="S25" s="2389">
        <f>B25/B26-1</f>
        <v>4.1203450408792808E-2</v>
      </c>
      <c r="T25" s="2390">
        <f>C25/C26-1</f>
        <v>2.6363977342465095E-2</v>
      </c>
      <c r="U25" s="2390">
        <f>E25/E26-1</f>
        <v>4.4837114298626357E-2</v>
      </c>
      <c r="V25" s="2390">
        <f>F25/F26-1</f>
        <v>1.7099954922538574E-2</v>
      </c>
      <c r="X25" s="2353">
        <f>ROUND(SUMPRODUCT(PRODUCT(1+N25:N$32)),4)</f>
        <v>1.1269</v>
      </c>
      <c r="Y25" s="2353">
        <f>ROUND(SUMPRODUCT(PRODUCT(1+O25:O$32)),4)</f>
        <v>1.1052999999999999</v>
      </c>
      <c r="Z25" s="2353">
        <f t="shared" si="0"/>
        <v>1.1052999999999999</v>
      </c>
      <c r="AA25" s="2353">
        <f>ROUND(SUMPRODUCT(PRODUCT(1+P25:P$32)),4)</f>
        <v>1.1349</v>
      </c>
      <c r="AB25" s="2353">
        <f>ROUND(SUMPRODUCT(PRODUCT(1+Q25:Q$32)),4)</f>
        <v>1.0996999999999999</v>
      </c>
      <c r="AD25" s="2354">
        <f>ROUND(AVERAGE(I25:I$33)/100,4)</f>
        <v>1.67E-2</v>
      </c>
      <c r="AE25" s="2354">
        <f>ROUND(AVERAGE(J25:J$33)/100,4)</f>
        <v>1.38E-2</v>
      </c>
      <c r="AF25" s="2354">
        <f t="shared" si="148"/>
        <v>1.38E-2</v>
      </c>
      <c r="AG25" s="2354">
        <f>ROUND(AVERAGE(K25:K$33)/100,4)</f>
        <v>1.7899999999999999E-2</v>
      </c>
      <c r="AH25" s="2354">
        <f>ROUND(AVERAGE(L25:L$33)/100,4)</f>
        <v>1.21E-2</v>
      </c>
    </row>
    <row r="26" spans="1:34" ht="13.5" thickBot="1">
      <c r="A26" s="2367" t="s">
        <v>101</v>
      </c>
      <c r="B26" s="2377">
        <v>333</v>
      </c>
      <c r="C26" s="2377">
        <v>277</v>
      </c>
      <c r="D26" s="2377">
        <f t="shared" si="150"/>
        <v>277</v>
      </c>
      <c r="E26" s="2377">
        <v>459</v>
      </c>
      <c r="F26" s="2378">
        <v>249</v>
      </c>
      <c r="G26" s="3771">
        <v>2015</v>
      </c>
      <c r="H26" s="2394">
        <v>4</v>
      </c>
      <c r="I26" s="2394">
        <v>1.63</v>
      </c>
      <c r="J26" s="2394">
        <v>1.1100000000000001</v>
      </c>
      <c r="K26" s="2394">
        <v>1.77</v>
      </c>
      <c r="L26" s="2395">
        <v>1.89</v>
      </c>
      <c r="N26" s="2379">
        <f t="shared" si="152"/>
        <v>1.6299999999999999E-2</v>
      </c>
      <c r="O26" s="2380">
        <f t="shared" si="147"/>
        <v>1.11E-2</v>
      </c>
      <c r="P26" s="2380">
        <f t="shared" si="147"/>
        <v>1.77E-2</v>
      </c>
      <c r="Q26" s="2380">
        <f t="shared" si="147"/>
        <v>1.89E-2</v>
      </c>
      <c r="R26" s="2381"/>
      <c r="X26" s="2353">
        <f>ROUND(SUMPRODUCT(PRODUCT(1+N26:N$32)),4)</f>
        <v>1.0826</v>
      </c>
      <c r="Y26" s="2353">
        <f>ROUND(SUMPRODUCT(PRODUCT(1+O26:O$32)),4)</f>
        <v>1.0738000000000001</v>
      </c>
      <c r="Z26" s="2353">
        <f t="shared" si="0"/>
        <v>1.0738000000000001</v>
      </c>
      <c r="AA26" s="2353">
        <f>ROUND(SUMPRODUCT(PRODUCT(1+P26:P$32)),4)</f>
        <v>1.0855999999999999</v>
      </c>
      <c r="AB26" s="2353">
        <f>ROUND(SUMPRODUCT(PRODUCT(1+Q26:Q$32)),4)</f>
        <v>1.0837000000000001</v>
      </c>
      <c r="AD26" s="2354">
        <f>ROUND(AVERAGE(I26:I$33)/100,4)</f>
        <v>1.37E-2</v>
      </c>
      <c r="AE26" s="2354">
        <f>ROUND(AVERAGE(J26:J$33)/100,4)</f>
        <v>1.1900000000000001E-2</v>
      </c>
      <c r="AF26" s="2354">
        <f t="shared" si="148"/>
        <v>1.1900000000000001E-2</v>
      </c>
      <c r="AG26" s="2354">
        <f>ROUND(AVERAGE(K26:K$33)/100,4)</f>
        <v>1.4500000000000001E-2</v>
      </c>
      <c r="AH26" s="2354">
        <f>ROUND(AVERAGE(L26:L$33)/100,4)</f>
        <v>1.18E-2</v>
      </c>
    </row>
    <row r="27" spans="1:34">
      <c r="A27" s="2367" t="s">
        <v>100</v>
      </c>
      <c r="B27" s="2384">
        <f t="shared" ref="B27:C29" si="153">B26/(1+N26)</f>
        <v>327.65915576109415</v>
      </c>
      <c r="C27" s="2384">
        <f t="shared" si="153"/>
        <v>273.95905449510434</v>
      </c>
      <c r="D27" s="2384">
        <f t="shared" si="150"/>
        <v>273.95905449510434</v>
      </c>
      <c r="E27" s="2384">
        <f t="shared" ref="E27:F29" si="154">E26/(1+P26)</f>
        <v>451.01699911565294</v>
      </c>
      <c r="F27" s="2384">
        <f t="shared" si="154"/>
        <v>244.38119540681129</v>
      </c>
      <c r="G27" s="3772"/>
      <c r="H27" s="2397">
        <v>3</v>
      </c>
      <c r="I27" s="2397">
        <v>1.65</v>
      </c>
      <c r="J27" s="2397">
        <v>0.92</v>
      </c>
      <c r="K27" s="2397">
        <v>1.88</v>
      </c>
      <c r="L27" s="2398">
        <v>1.26</v>
      </c>
      <c r="N27" s="2385">
        <f t="shared" si="152"/>
        <v>1.6500000000000001E-2</v>
      </c>
      <c r="O27" s="2391">
        <f t="shared" si="147"/>
        <v>9.1999999999999998E-3</v>
      </c>
      <c r="P27" s="2391">
        <f t="shared" si="147"/>
        <v>1.8799999999999997E-2</v>
      </c>
      <c r="Q27" s="2391">
        <f t="shared" si="147"/>
        <v>1.26E-2</v>
      </c>
      <c r="R27" s="2381"/>
      <c r="S27" s="2385"/>
      <c r="T27" s="2354"/>
      <c r="U27" s="2354"/>
      <c r="V27" s="2354"/>
      <c r="X27" s="2353">
        <f>ROUND(SUMPRODUCT(PRODUCT(1+N27:N$32)),4)</f>
        <v>1.0651999999999999</v>
      </c>
      <c r="Y27" s="2353">
        <f>ROUND(SUMPRODUCT(PRODUCT(1+O27:O$32)),4)</f>
        <v>1.0621</v>
      </c>
      <c r="Z27" s="2353">
        <f t="shared" si="0"/>
        <v>1.0621</v>
      </c>
      <c r="AA27" s="2353">
        <f>ROUND(SUMPRODUCT(PRODUCT(1+P27:P$32)),4)</f>
        <v>1.0668</v>
      </c>
      <c r="AB27" s="2353">
        <f>ROUND(SUMPRODUCT(PRODUCT(1+Q27:Q$32)),4)</f>
        <v>1.0636000000000001</v>
      </c>
      <c r="AD27" s="2354">
        <f>ROUND(AVERAGE(I27:I$33)/100,4)</f>
        <v>1.3299999999999999E-2</v>
      </c>
      <c r="AE27" s="2354">
        <f>ROUND(AVERAGE(J27:J$33)/100,4)</f>
        <v>1.2E-2</v>
      </c>
      <c r="AF27" s="2354">
        <f t="shared" si="148"/>
        <v>1.2E-2</v>
      </c>
      <c r="AG27" s="2354">
        <f>ROUND(AVERAGE(K27:K$33)/100,4)</f>
        <v>1.4E-2</v>
      </c>
      <c r="AH27" s="2354">
        <f>ROUND(AVERAGE(L27:L$33)/100,4)</f>
        <v>1.0800000000000001E-2</v>
      </c>
    </row>
    <row r="28" spans="1:34">
      <c r="A28" s="2367" t="s">
        <v>99</v>
      </c>
      <c r="B28" s="2384">
        <f t="shared" si="153"/>
        <v>322.34053690220776</v>
      </c>
      <c r="C28" s="2384">
        <f t="shared" si="153"/>
        <v>271.46160770422546</v>
      </c>
      <c r="D28" s="2384">
        <f t="shared" si="150"/>
        <v>271.46160770422546</v>
      </c>
      <c r="E28" s="2384">
        <f t="shared" si="154"/>
        <v>442.69434542172456</v>
      </c>
      <c r="F28" s="2384">
        <f t="shared" si="154"/>
        <v>241.34030753190925</v>
      </c>
      <c r="G28" s="3772"/>
      <c r="H28" s="2387">
        <v>2</v>
      </c>
      <c r="I28" s="2387">
        <v>0.77</v>
      </c>
      <c r="J28" s="2387">
        <v>0.69</v>
      </c>
      <c r="K28" s="2387">
        <v>0.8</v>
      </c>
      <c r="L28" s="2388">
        <v>0.88</v>
      </c>
      <c r="N28" s="2385">
        <f t="shared" si="152"/>
        <v>7.7000000000000002E-3</v>
      </c>
      <c r="O28" s="2391">
        <f t="shared" si="147"/>
        <v>6.8999999999999999E-3</v>
      </c>
      <c r="P28" s="2391">
        <f t="shared" si="147"/>
        <v>8.0000000000000002E-3</v>
      </c>
      <c r="Q28" s="2391">
        <f t="shared" si="147"/>
        <v>8.8000000000000005E-3</v>
      </c>
      <c r="R28" s="2381"/>
      <c r="S28" s="2385"/>
      <c r="T28" s="2354"/>
      <c r="U28" s="2354"/>
      <c r="V28" s="2354"/>
      <c r="X28" s="2353">
        <f>ROUND(SUMPRODUCT(PRODUCT(1+N28:N$32)),4)</f>
        <v>1.048</v>
      </c>
      <c r="Y28" s="2353">
        <f>ROUND(SUMPRODUCT(PRODUCT(1+O28:O$32)),4)</f>
        <v>1.0524</v>
      </c>
      <c r="Z28" s="2353">
        <f t="shared" si="0"/>
        <v>1.0524</v>
      </c>
      <c r="AA28" s="2353">
        <f>ROUND(SUMPRODUCT(PRODUCT(1+P28:P$32)),4)</f>
        <v>1.0470999999999999</v>
      </c>
      <c r="AB28" s="2353">
        <f>ROUND(SUMPRODUCT(PRODUCT(1+Q28:Q$32)),4)</f>
        <v>1.0504</v>
      </c>
      <c r="AD28" s="2354">
        <f>ROUND(AVERAGE(I28:I$33)/100,4)</f>
        <v>1.2800000000000001E-2</v>
      </c>
      <c r="AE28" s="2354">
        <f>ROUND(AVERAGE(J28:J$33)/100,4)</f>
        <v>1.2500000000000001E-2</v>
      </c>
      <c r="AF28" s="2354">
        <f t="shared" si="148"/>
        <v>1.2500000000000001E-2</v>
      </c>
      <c r="AG28" s="2354">
        <f>ROUND(AVERAGE(K28:K$33)/100,4)</f>
        <v>1.32E-2</v>
      </c>
      <c r="AH28" s="2354">
        <f>ROUND(AVERAGE(L28:L$33)/100,4)</f>
        <v>1.0500000000000001E-2</v>
      </c>
    </row>
    <row r="29" spans="1:34">
      <c r="A29" s="2367" t="s">
        <v>98</v>
      </c>
      <c r="B29" s="2384">
        <f t="shared" si="153"/>
        <v>319.87748030386797</v>
      </c>
      <c r="C29" s="2384">
        <f t="shared" si="153"/>
        <v>269.60135833173649</v>
      </c>
      <c r="D29" s="2384">
        <f t="shared" si="150"/>
        <v>269.60135833173649</v>
      </c>
      <c r="E29" s="2384">
        <f t="shared" si="154"/>
        <v>439.18089823583784</v>
      </c>
      <c r="F29" s="2384">
        <f t="shared" si="154"/>
        <v>239.23503918706311</v>
      </c>
      <c r="G29" s="3773"/>
      <c r="H29" s="2369">
        <v>1</v>
      </c>
      <c r="I29" s="2369">
        <v>0.51</v>
      </c>
      <c r="J29" s="2369">
        <v>0.54</v>
      </c>
      <c r="K29" s="2369">
        <v>0.48</v>
      </c>
      <c r="L29" s="2370">
        <v>0.93</v>
      </c>
      <c r="N29" s="2389">
        <f t="shared" si="152"/>
        <v>5.1000000000000004E-3</v>
      </c>
      <c r="O29" s="2390">
        <f t="shared" si="147"/>
        <v>5.4000000000000003E-3</v>
      </c>
      <c r="P29" s="2390">
        <f t="shared" si="147"/>
        <v>4.7999999999999996E-3</v>
      </c>
      <c r="Q29" s="2390">
        <f t="shared" si="147"/>
        <v>9.300000000000001E-3</v>
      </c>
      <c r="R29" s="2381"/>
      <c r="S29" s="2389">
        <f>B29/B30-1</f>
        <v>5.9040261127922822E-3</v>
      </c>
      <c r="T29" s="2390">
        <f>C29/C30-1</f>
        <v>5.9752176557332781E-3</v>
      </c>
      <c r="U29" s="2390">
        <f>E29/E30-1</f>
        <v>4.9906138119859556E-3</v>
      </c>
      <c r="V29" s="2390">
        <f>F29/F30-1</f>
        <v>9.4305450930933787E-3</v>
      </c>
      <c r="X29" s="2353">
        <f>ROUND(SUMPRODUCT(PRODUCT(1+N29:N$32)),4)</f>
        <v>1.0399</v>
      </c>
      <c r="Y29" s="2353">
        <f>ROUND(SUMPRODUCT(PRODUCT(1+O29:O$32)),4)</f>
        <v>1.0451999999999999</v>
      </c>
      <c r="Z29" s="2353">
        <f t="shared" si="0"/>
        <v>1.0451999999999999</v>
      </c>
      <c r="AA29" s="2353">
        <f>ROUND(SUMPRODUCT(PRODUCT(1+P29:P$32)),4)</f>
        <v>1.0387999999999999</v>
      </c>
      <c r="AB29" s="2353">
        <f>ROUND(SUMPRODUCT(PRODUCT(1+Q29:Q$32)),4)</f>
        <v>1.0411999999999999</v>
      </c>
      <c r="AD29" s="2354">
        <f>ROUND(AVERAGE(I29:I$33)/100,4)</f>
        <v>1.38E-2</v>
      </c>
      <c r="AE29" s="2354">
        <f>ROUND(AVERAGE(J29:J$33)/100,4)</f>
        <v>1.3599999999999999E-2</v>
      </c>
      <c r="AF29" s="2354">
        <f t="shared" si="148"/>
        <v>1.3599999999999999E-2</v>
      </c>
      <c r="AG29" s="2354">
        <f>ROUND(AVERAGE(K29:K$33)/100,4)</f>
        <v>1.4200000000000001E-2</v>
      </c>
      <c r="AH29" s="2354">
        <f>ROUND(AVERAGE(L29:L$33)/100,4)</f>
        <v>1.0800000000000001E-2</v>
      </c>
    </row>
    <row r="30" spans="1:34" ht="13.5" thickBot="1">
      <c r="A30" s="2367" t="s">
        <v>97</v>
      </c>
      <c r="B30" s="2399">
        <v>318</v>
      </c>
      <c r="C30" s="2399">
        <v>268</v>
      </c>
      <c r="D30" s="2399">
        <f t="shared" si="150"/>
        <v>268</v>
      </c>
      <c r="E30" s="2399">
        <v>437</v>
      </c>
      <c r="F30" s="2400">
        <v>237</v>
      </c>
      <c r="G30" s="3771">
        <v>2014</v>
      </c>
      <c r="H30" s="2394">
        <v>4</v>
      </c>
      <c r="I30" s="2394">
        <v>0.21</v>
      </c>
      <c r="J30" s="2394">
        <v>0.41</v>
      </c>
      <c r="K30" s="2394">
        <v>0.12</v>
      </c>
      <c r="L30" s="2395">
        <v>0.89</v>
      </c>
      <c r="N30" s="2385">
        <f t="shared" si="152"/>
        <v>2.0999999999999999E-3</v>
      </c>
      <c r="O30" s="2354">
        <f t="shared" si="147"/>
        <v>4.0999999999999995E-3</v>
      </c>
      <c r="P30" s="2354">
        <f t="shared" si="147"/>
        <v>1.1999999999999999E-3</v>
      </c>
      <c r="Q30" s="2354">
        <f t="shared" si="147"/>
        <v>8.8999999999999999E-3</v>
      </c>
      <c r="R30" s="2381"/>
      <c r="S30" s="2382"/>
      <c r="T30" s="2383"/>
      <c r="U30" s="2383"/>
      <c r="V30" s="2383"/>
      <c r="X30" s="2353">
        <f>ROUND(SUMPRODUCT(PRODUCT(1+N30:N$32)),4)</f>
        <v>1.0347</v>
      </c>
      <c r="Y30" s="2353">
        <f>ROUND(SUMPRODUCT(PRODUCT(1+O30:O$32)),4)</f>
        <v>1.0395000000000001</v>
      </c>
      <c r="Z30" s="2353">
        <f t="shared" si="0"/>
        <v>1.0395000000000001</v>
      </c>
      <c r="AA30" s="2353">
        <f>ROUND(SUMPRODUCT(PRODUCT(1+P30:P$32)),4)</f>
        <v>1.0338000000000001</v>
      </c>
      <c r="AB30" s="2353">
        <f>ROUND(SUMPRODUCT(PRODUCT(1+Q30:Q$32)),4)</f>
        <v>1.0316000000000001</v>
      </c>
      <c r="AD30" s="2354">
        <f>ROUND(AVERAGE(I30:I$33)/100,4)</f>
        <v>1.6E-2</v>
      </c>
      <c r="AE30" s="2354">
        <f>ROUND(AVERAGE(J30:J$33)/100,4)</f>
        <v>1.5599999999999999E-2</v>
      </c>
      <c r="AF30" s="2354">
        <f t="shared" si="148"/>
        <v>1.5599999999999999E-2</v>
      </c>
      <c r="AG30" s="2354">
        <f>ROUND(AVERAGE(K30:K$33)/100,4)</f>
        <v>1.66E-2</v>
      </c>
      <c r="AH30" s="2354">
        <f>ROUND(AVERAGE(L30:L$33)/100,4)</f>
        <v>1.12E-2</v>
      </c>
    </row>
    <row r="31" spans="1:34">
      <c r="A31" s="2367" t="s">
        <v>96</v>
      </c>
      <c r="B31" s="2384">
        <f t="shared" ref="B31:C33" si="155">B30/(1+N30)</f>
        <v>317.33359944117353</v>
      </c>
      <c r="C31" s="2384">
        <f t="shared" si="155"/>
        <v>266.90568668459315</v>
      </c>
      <c r="D31" s="2384">
        <f t="shared" si="150"/>
        <v>266.90568668459315</v>
      </c>
      <c r="E31" s="2384">
        <f t="shared" ref="E31:F33" si="156">E30/(1+P30)</f>
        <v>436.47622852576905</v>
      </c>
      <c r="F31" s="2384">
        <f t="shared" si="156"/>
        <v>234.90930716622066</v>
      </c>
      <c r="G31" s="3772"/>
      <c r="H31" s="2401">
        <v>3</v>
      </c>
      <c r="I31" s="2401">
        <v>0.83</v>
      </c>
      <c r="J31" s="2401">
        <v>1.47</v>
      </c>
      <c r="K31" s="2401">
        <v>0.65</v>
      </c>
      <c r="L31" s="2402">
        <v>0.72</v>
      </c>
      <c r="N31" s="2385">
        <f t="shared" si="152"/>
        <v>8.3000000000000001E-3</v>
      </c>
      <c r="O31" s="2354">
        <f t="shared" si="147"/>
        <v>1.47E-2</v>
      </c>
      <c r="P31" s="2354">
        <f t="shared" si="147"/>
        <v>6.5000000000000006E-3</v>
      </c>
      <c r="Q31" s="2354">
        <f t="shared" si="147"/>
        <v>7.1999999999999998E-3</v>
      </c>
      <c r="R31" s="2381"/>
      <c r="S31" s="2385"/>
      <c r="T31" s="2354"/>
      <c r="U31" s="2354"/>
      <c r="V31" s="2354"/>
      <c r="X31" s="2353">
        <f>ROUND(SUMPRODUCT(PRODUCT(1+N31:N$32)),4)</f>
        <v>1.0325</v>
      </c>
      <c r="Y31" s="2353">
        <f>ROUND(SUMPRODUCT(PRODUCT(1+O31:O$32)),4)</f>
        <v>1.0353000000000001</v>
      </c>
      <c r="Z31" s="2353">
        <f t="shared" ref="Z31:Z32" si="157">Y31</f>
        <v>1.0353000000000001</v>
      </c>
      <c r="AA31" s="2353">
        <f>ROUND(SUMPRODUCT(PRODUCT(1+P31:P$32)),4)</f>
        <v>1.0326</v>
      </c>
      <c r="AB31" s="2353">
        <f>ROUND(SUMPRODUCT(PRODUCT(1+Q31:Q$32)),4)</f>
        <v>1.0225</v>
      </c>
      <c r="AD31" s="2354">
        <f>ROUND(AVERAGE(I31:I$33)/100,4)</f>
        <v>2.07E-2</v>
      </c>
      <c r="AE31" s="2354">
        <f>ROUND(AVERAGE(J31:J$33)/100,4)</f>
        <v>1.95E-2</v>
      </c>
      <c r="AF31" s="2354">
        <f t="shared" si="148"/>
        <v>1.95E-2</v>
      </c>
      <c r="AG31" s="2354">
        <f>ROUND(AVERAGE(K31:K$33)/100,4)</f>
        <v>2.1700000000000001E-2</v>
      </c>
      <c r="AH31" s="2354">
        <f>ROUND(AVERAGE(L31:L$33)/100,4)</f>
        <v>1.2E-2</v>
      </c>
    </row>
    <row r="32" spans="1:34" ht="13.5" thickBot="1">
      <c r="A32" s="2367" t="s">
        <v>95</v>
      </c>
      <c r="B32" s="2384">
        <f t="shared" si="155"/>
        <v>314.72141172386546</v>
      </c>
      <c r="C32" s="2384">
        <f t="shared" si="155"/>
        <v>263.03901319069001</v>
      </c>
      <c r="D32" s="2384">
        <f t="shared" si="150"/>
        <v>263.03901319069001</v>
      </c>
      <c r="E32" s="2384">
        <f t="shared" si="156"/>
        <v>433.65745506782821</v>
      </c>
      <c r="F32" s="2384">
        <f t="shared" si="156"/>
        <v>233.23005080045735</v>
      </c>
      <c r="G32" s="3772"/>
      <c r="H32" s="2394">
        <v>2</v>
      </c>
      <c r="I32" s="2394">
        <v>2.4</v>
      </c>
      <c r="J32" s="2394">
        <v>2.0299999999999998</v>
      </c>
      <c r="K32" s="2394">
        <v>2.59</v>
      </c>
      <c r="L32" s="2395">
        <v>1.52</v>
      </c>
      <c r="N32" s="2385">
        <f t="shared" si="152"/>
        <v>2.4E-2</v>
      </c>
      <c r="O32" s="2354">
        <f t="shared" si="147"/>
        <v>2.0299999999999999E-2</v>
      </c>
      <c r="P32" s="2354">
        <f t="shared" si="147"/>
        <v>2.5899999999999999E-2</v>
      </c>
      <c r="Q32" s="2354">
        <f t="shared" si="147"/>
        <v>1.52E-2</v>
      </c>
      <c r="R32" s="2381"/>
      <c r="S32" s="2385"/>
      <c r="T32" s="2354"/>
      <c r="U32" s="2354"/>
      <c r="V32" s="2354"/>
      <c r="X32" s="2353">
        <f>1+N32</f>
        <v>1.024</v>
      </c>
      <c r="Y32" s="2353">
        <f>1+O32</f>
        <v>1.0203</v>
      </c>
      <c r="Z32" s="2353">
        <f t="shared" si="157"/>
        <v>1.0203</v>
      </c>
      <c r="AA32" s="2353">
        <f>1+P32</f>
        <v>1.0259</v>
      </c>
      <c r="AB32" s="2353">
        <f>1+Q32</f>
        <v>1.0152000000000001</v>
      </c>
      <c r="AD32" s="2354">
        <f>ROUND(AVERAGE(I32:I$33)/100,4)</f>
        <v>2.69E-2</v>
      </c>
      <c r="AE32" s="2354">
        <f>ROUND(AVERAGE(J32:J$33)/100,4)</f>
        <v>2.1899999999999999E-2</v>
      </c>
      <c r="AF32" s="2354">
        <f t="shared" ref="AF32" si="158">AE32</f>
        <v>2.1899999999999999E-2</v>
      </c>
      <c r="AG32" s="2354">
        <f>ROUND(AVERAGE(K32:K$33)/100,4)</f>
        <v>2.9399999999999999E-2</v>
      </c>
      <c r="AH32" s="2354">
        <f>ROUND(AVERAGE(L32:L$33)/100,4)</f>
        <v>1.44E-2</v>
      </c>
    </row>
    <row r="33" spans="1:34" s="2407" customFormat="1" ht="13.5" thickBot="1">
      <c r="A33" s="2403" t="s">
        <v>94</v>
      </c>
      <c r="B33" s="2404">
        <f t="shared" si="155"/>
        <v>307.34512863658733</v>
      </c>
      <c r="C33" s="2404">
        <f t="shared" si="155"/>
        <v>257.80556031626975</v>
      </c>
      <c r="D33" s="2404">
        <f t="shared" si="150"/>
        <v>257.80556031626975</v>
      </c>
      <c r="E33" s="2404">
        <f t="shared" si="156"/>
        <v>422.70928459677179</v>
      </c>
      <c r="F33" s="2404">
        <f t="shared" si="156"/>
        <v>229.73803270336617</v>
      </c>
      <c r="G33" s="3773"/>
      <c r="H33" s="2405">
        <v>1</v>
      </c>
      <c r="I33" s="2405">
        <v>2.97</v>
      </c>
      <c r="J33" s="2405">
        <v>2.34</v>
      </c>
      <c r="K33" s="2405">
        <v>3.28</v>
      </c>
      <c r="L33" s="2406">
        <v>1.36</v>
      </c>
      <c r="N33" s="2408">
        <f t="shared" si="152"/>
        <v>2.9700000000000001E-2</v>
      </c>
      <c r="O33" s="2409">
        <f t="shared" si="147"/>
        <v>2.3399999999999997E-2</v>
      </c>
      <c r="P33" s="2409">
        <f t="shared" si="147"/>
        <v>3.2799999999999996E-2</v>
      </c>
      <c r="Q33" s="2409">
        <f t="shared" si="147"/>
        <v>1.3600000000000001E-2</v>
      </c>
      <c r="R33" s="2410"/>
      <c r="S33" s="2411">
        <f>B33/B34-1</f>
        <v>2.7910129219355539E-2</v>
      </c>
      <c r="T33" s="2412">
        <f>C33/C34-1</f>
        <v>2.3037937762975247E-2</v>
      </c>
      <c r="U33" s="2412">
        <f>E33/E34-1</f>
        <v>3.3519033243940788E-2</v>
      </c>
      <c r="V33" s="2412">
        <f>F33/F34-1</f>
        <v>1.2061818076502862E-2</v>
      </c>
      <c r="W33" s="2413" t="s">
        <v>1205</v>
      </c>
      <c r="X33" s="2414">
        <v>1</v>
      </c>
      <c r="Y33" s="2414">
        <v>1</v>
      </c>
      <c r="Z33" s="2414">
        <v>1</v>
      </c>
      <c r="AA33" s="2414">
        <v>1</v>
      </c>
      <c r="AB33" s="2414">
        <v>1</v>
      </c>
      <c r="AD33" s="2409">
        <f>I33/100</f>
        <v>2.9700000000000001E-2</v>
      </c>
      <c r="AE33" s="2409">
        <f>J33/100</f>
        <v>2.3399999999999997E-2</v>
      </c>
      <c r="AF33" s="2409">
        <f>AE33</f>
        <v>2.3399999999999997E-2</v>
      </c>
      <c r="AG33" s="2409">
        <f>K33/100</f>
        <v>3.2799999999999996E-2</v>
      </c>
      <c r="AH33" s="2409">
        <f>L33/100</f>
        <v>1.3600000000000001E-2</v>
      </c>
    </row>
    <row r="34" spans="1:34" ht="13.5" thickBot="1">
      <c r="A34" s="2367" t="s">
        <v>1038</v>
      </c>
      <c r="B34" s="2377">
        <v>299</v>
      </c>
      <c r="C34" s="2377">
        <v>252</v>
      </c>
      <c r="D34" s="2377">
        <f t="shared" si="150"/>
        <v>252</v>
      </c>
      <c r="E34" s="2377">
        <v>409</v>
      </c>
      <c r="F34" s="2378">
        <v>227</v>
      </c>
      <c r="G34" s="3778">
        <v>2013</v>
      </c>
      <c r="H34" s="2415">
        <v>4</v>
      </c>
      <c r="I34" s="2415">
        <v>1.83</v>
      </c>
      <c r="J34" s="2415">
        <v>1.68</v>
      </c>
      <c r="K34" s="2415">
        <v>1.97</v>
      </c>
      <c r="L34" s="2416">
        <v>0.87</v>
      </c>
      <c r="N34" s="2379">
        <f t="shared" si="152"/>
        <v>1.83E-2</v>
      </c>
      <c r="O34" s="2380">
        <f t="shared" si="147"/>
        <v>1.6799999999999999E-2</v>
      </c>
      <c r="P34" s="2380">
        <f t="shared" si="147"/>
        <v>1.9699999999999999E-2</v>
      </c>
      <c r="Q34" s="2380">
        <f t="shared" si="147"/>
        <v>8.6999999999999994E-3</v>
      </c>
      <c r="R34" s="2381"/>
      <c r="S34" s="2382"/>
      <c r="T34" s="2383"/>
      <c r="U34" s="2383"/>
      <c r="V34" s="2383"/>
      <c r="X34" s="2383"/>
      <c r="Y34" s="2383"/>
      <c r="Z34" s="2383"/>
    </row>
    <row r="35" spans="1:34">
      <c r="A35" s="2367" t="s">
        <v>1039</v>
      </c>
      <c r="B35" s="2384">
        <f t="shared" ref="B35:C37" si="159">B34/(1+N34)</f>
        <v>293.62663262299913</v>
      </c>
      <c r="C35" s="2384">
        <f t="shared" si="159"/>
        <v>247.83634933123525</v>
      </c>
      <c r="D35" s="2384">
        <f t="shared" si="150"/>
        <v>247.83634933123525</v>
      </c>
      <c r="E35" s="2384">
        <f t="shared" ref="E35:F37" si="160">E34/(1+P34)</f>
        <v>401.09836226341076</v>
      </c>
      <c r="F35" s="2384">
        <f t="shared" si="160"/>
        <v>225.04213343908003</v>
      </c>
      <c r="G35" s="3779"/>
      <c r="H35" s="2397">
        <v>3</v>
      </c>
      <c r="I35" s="2397">
        <v>1.86</v>
      </c>
      <c r="J35" s="2397">
        <v>1.72</v>
      </c>
      <c r="K35" s="2397">
        <v>1.98</v>
      </c>
      <c r="L35" s="2398">
        <v>0.88</v>
      </c>
      <c r="N35" s="2385">
        <f t="shared" si="152"/>
        <v>1.8600000000000002E-2</v>
      </c>
      <c r="O35" s="2391">
        <f t="shared" si="147"/>
        <v>1.72E-2</v>
      </c>
      <c r="P35" s="2391">
        <f t="shared" si="147"/>
        <v>1.9799999999999998E-2</v>
      </c>
      <c r="Q35" s="2391">
        <f t="shared" si="147"/>
        <v>8.8000000000000005E-3</v>
      </c>
      <c r="R35" s="2381"/>
      <c r="S35" s="2385"/>
      <c r="T35" s="2354"/>
      <c r="U35" s="2354"/>
      <c r="V35" s="2354"/>
    </row>
    <row r="36" spans="1:34">
      <c r="A36" s="2367" t="s">
        <v>1040</v>
      </c>
      <c r="B36" s="2384">
        <f t="shared" si="159"/>
        <v>288.2649053828776</v>
      </c>
      <c r="C36" s="2384">
        <f t="shared" si="159"/>
        <v>243.64564425013293</v>
      </c>
      <c r="D36" s="2384">
        <f t="shared" si="150"/>
        <v>243.64564425013293</v>
      </c>
      <c r="E36" s="2384">
        <f t="shared" si="160"/>
        <v>393.31080825986544</v>
      </c>
      <c r="F36" s="2384">
        <f t="shared" si="160"/>
        <v>223.07903790551154</v>
      </c>
      <c r="G36" s="3779"/>
      <c r="H36" s="2387">
        <v>2</v>
      </c>
      <c r="I36" s="2387">
        <v>2.04</v>
      </c>
      <c r="J36" s="2387">
        <v>2.33</v>
      </c>
      <c r="K36" s="2387">
        <v>2.0699999999999998</v>
      </c>
      <c r="L36" s="2388">
        <v>0.69</v>
      </c>
      <c r="N36" s="2385">
        <f t="shared" si="152"/>
        <v>2.0400000000000001E-2</v>
      </c>
      <c r="O36" s="2391">
        <f t="shared" si="147"/>
        <v>2.3300000000000001E-2</v>
      </c>
      <c r="P36" s="2391">
        <f t="shared" si="147"/>
        <v>2.07E-2</v>
      </c>
      <c r="Q36" s="2391">
        <f t="shared" si="147"/>
        <v>6.8999999999999999E-3</v>
      </c>
      <c r="R36" s="2381"/>
      <c r="S36" s="2385"/>
      <c r="T36" s="2354"/>
      <c r="U36" s="2354"/>
      <c r="V36" s="2354"/>
      <c r="X36" s="2417"/>
      <c r="Y36" s="2418"/>
    </row>
    <row r="37" spans="1:34">
      <c r="A37" s="2367" t="s">
        <v>1041</v>
      </c>
      <c r="B37" s="2384">
        <f t="shared" si="159"/>
        <v>282.50186729015837</v>
      </c>
      <c r="C37" s="2384">
        <f t="shared" si="159"/>
        <v>238.09796174155468</v>
      </c>
      <c r="D37" s="2384">
        <f t="shared" si="150"/>
        <v>238.09796174155468</v>
      </c>
      <c r="E37" s="2384">
        <f t="shared" si="160"/>
        <v>385.33438646014054</v>
      </c>
      <c r="F37" s="2384">
        <f t="shared" si="160"/>
        <v>221.55034055567739</v>
      </c>
      <c r="G37" s="3780"/>
      <c r="H37" s="2369">
        <v>1</v>
      </c>
      <c r="I37" s="2369">
        <v>1.67</v>
      </c>
      <c r="J37" s="2369">
        <v>1.31</v>
      </c>
      <c r="K37" s="2369">
        <v>1.85</v>
      </c>
      <c r="L37" s="2370">
        <v>0.96</v>
      </c>
      <c r="N37" s="2389">
        <f t="shared" si="152"/>
        <v>1.67E-2</v>
      </c>
      <c r="O37" s="2390">
        <f t="shared" si="152"/>
        <v>1.3100000000000001E-2</v>
      </c>
      <c r="P37" s="2390">
        <f t="shared" si="152"/>
        <v>1.8500000000000003E-2</v>
      </c>
      <c r="Q37" s="2390">
        <f t="shared" si="152"/>
        <v>9.5999999999999992E-3</v>
      </c>
      <c r="R37" s="2381"/>
      <c r="S37" s="2389">
        <f>B37/B38-1</f>
        <v>1.6193767230785472E-2</v>
      </c>
      <c r="T37" s="2390">
        <f>C37/C38-1</f>
        <v>1.7512657015190891E-2</v>
      </c>
      <c r="U37" s="2390">
        <f>E37/E38-1</f>
        <v>1.6713420739157048E-2</v>
      </c>
      <c r="V37" s="2390">
        <f>F37/F38-1</f>
        <v>7.0470025258062563E-3</v>
      </c>
      <c r="X37" s="2419"/>
      <c r="Y37" s="2354"/>
      <c r="Z37" s="2354"/>
    </row>
    <row r="38" spans="1:34" ht="13.5" thickBot="1">
      <c r="A38" s="2367" t="s">
        <v>1042</v>
      </c>
      <c r="B38" s="2420">
        <v>278</v>
      </c>
      <c r="C38" s="2420">
        <v>234</v>
      </c>
      <c r="D38" s="2420">
        <f t="shared" si="150"/>
        <v>234</v>
      </c>
      <c r="E38" s="2420">
        <v>379</v>
      </c>
      <c r="F38" s="2421">
        <v>220</v>
      </c>
      <c r="G38" s="3771">
        <v>2012</v>
      </c>
      <c r="H38" s="2394">
        <v>4</v>
      </c>
      <c r="I38" s="2394">
        <v>0.91</v>
      </c>
      <c r="J38" s="2394">
        <v>0.68</v>
      </c>
      <c r="K38" s="2394">
        <v>0.98</v>
      </c>
      <c r="L38" s="2395">
        <v>0.9</v>
      </c>
      <c r="N38" s="2385">
        <f t="shared" si="152"/>
        <v>9.1000000000000004E-3</v>
      </c>
      <c r="O38" s="2354">
        <f t="shared" si="152"/>
        <v>6.8000000000000005E-3</v>
      </c>
      <c r="P38" s="2354">
        <f t="shared" si="152"/>
        <v>9.7999999999999997E-3</v>
      </c>
      <c r="Q38" s="2354">
        <f t="shared" si="152"/>
        <v>9.0000000000000011E-3</v>
      </c>
      <c r="R38" s="2381"/>
      <c r="S38" s="2382"/>
      <c r="T38" s="2383"/>
      <c r="U38" s="2383"/>
      <c r="V38" s="2383"/>
      <c r="X38" s="2383"/>
      <c r="Y38" s="2383"/>
      <c r="Z38" s="2383"/>
    </row>
    <row r="39" spans="1:34">
      <c r="A39" s="2367" t="s">
        <v>1043</v>
      </c>
      <c r="B39" s="2384">
        <f>B38/(1+N38)</f>
        <v>275.49301357645425</v>
      </c>
      <c r="C39" s="2384">
        <f>C38/(1+O38)</f>
        <v>232.41954707985698</v>
      </c>
      <c r="D39" s="2384">
        <f t="shared" si="150"/>
        <v>232.41954707985698</v>
      </c>
      <c r="E39" s="2384">
        <f t="shared" ref="E39:F41" si="161">E38/(1+P38)</f>
        <v>375.32184591008121</v>
      </c>
      <c r="F39" s="2384">
        <f t="shared" si="161"/>
        <v>218.03766105054513</v>
      </c>
      <c r="G39" s="3772"/>
      <c r="H39" s="2397">
        <v>3</v>
      </c>
      <c r="I39" s="2397">
        <v>0.09</v>
      </c>
      <c r="J39" s="2397">
        <v>0.28999999999999998</v>
      </c>
      <c r="K39" s="2397">
        <v>-0.01</v>
      </c>
      <c r="L39" s="2398">
        <v>0.57999999999999996</v>
      </c>
      <c r="N39" s="2385">
        <f t="shared" si="152"/>
        <v>8.9999999999999998E-4</v>
      </c>
      <c r="O39" s="2354">
        <f t="shared" si="152"/>
        <v>2.8999999999999998E-3</v>
      </c>
      <c r="P39" s="2354">
        <f t="shared" si="152"/>
        <v>-1E-4</v>
      </c>
      <c r="Q39" s="2354">
        <f t="shared" si="152"/>
        <v>5.7999999999999996E-3</v>
      </c>
      <c r="R39" s="2381"/>
      <c r="S39" s="2385"/>
      <c r="T39" s="2354"/>
      <c r="U39" s="2354"/>
      <c r="V39" s="2354"/>
    </row>
    <row r="40" spans="1:34">
      <c r="A40" s="2367" t="s">
        <v>1044</v>
      </c>
      <c r="B40" s="2384">
        <f>B39/(1+N39)</f>
        <v>275.24529281292263</v>
      </c>
      <c r="C40" s="2384">
        <f>C39/(1+O39)</f>
        <v>231.74747938962707</v>
      </c>
      <c r="D40" s="2384">
        <f t="shared" si="150"/>
        <v>231.74747938962707</v>
      </c>
      <c r="E40" s="2384">
        <f t="shared" si="161"/>
        <v>375.35938184826603</v>
      </c>
      <c r="F40" s="2384">
        <f t="shared" si="161"/>
        <v>216.78033510692495</v>
      </c>
      <c r="G40" s="3772"/>
      <c r="H40" s="2387">
        <v>2</v>
      </c>
      <c r="I40" s="2387">
        <v>0.02</v>
      </c>
      <c r="J40" s="2387">
        <v>0.12</v>
      </c>
      <c r="K40" s="2387">
        <v>-0.08</v>
      </c>
      <c r="L40" s="2388">
        <v>1.24</v>
      </c>
      <c r="N40" s="2385">
        <f t="shared" si="152"/>
        <v>2.0000000000000001E-4</v>
      </c>
      <c r="O40" s="2354">
        <f t="shared" si="152"/>
        <v>1.1999999999999999E-3</v>
      </c>
      <c r="P40" s="2354">
        <f t="shared" si="152"/>
        <v>-8.0000000000000004E-4</v>
      </c>
      <c r="Q40" s="2354">
        <f t="shared" si="152"/>
        <v>1.24E-2</v>
      </c>
      <c r="R40" s="2381"/>
      <c r="S40" s="2385"/>
      <c r="T40" s="2354"/>
      <c r="U40" s="2354"/>
      <c r="V40" s="2354"/>
    </row>
    <row r="41" spans="1:34" ht="13.5" thickBot="1">
      <c r="A41" s="2367" t="s">
        <v>1045</v>
      </c>
      <c r="B41" s="2384">
        <f>B40/(1+N40)</f>
        <v>275.19025476197027</v>
      </c>
      <c r="C41" s="2422">
        <v>232</v>
      </c>
      <c r="D41" s="2422">
        <f t="shared" si="150"/>
        <v>232</v>
      </c>
      <c r="E41" s="2384">
        <f t="shared" si="161"/>
        <v>375.65990977608692</v>
      </c>
      <c r="F41" s="2384">
        <f t="shared" si="161"/>
        <v>214.12518283971252</v>
      </c>
      <c r="G41" s="3773"/>
      <c r="H41" s="2369">
        <v>1</v>
      </c>
      <c r="I41" s="2369">
        <v>0.02</v>
      </c>
      <c r="J41" s="2369">
        <v>0.13</v>
      </c>
      <c r="K41" s="2369">
        <v>-0.04</v>
      </c>
      <c r="L41" s="2370">
        <v>0.46</v>
      </c>
      <c r="N41" s="2385">
        <f t="shared" si="152"/>
        <v>2.0000000000000001E-4</v>
      </c>
      <c r="O41" s="2354">
        <f t="shared" si="152"/>
        <v>1.2999999999999999E-3</v>
      </c>
      <c r="P41" s="2354">
        <f t="shared" si="152"/>
        <v>-4.0000000000000002E-4</v>
      </c>
      <c r="Q41" s="2354">
        <f t="shared" si="152"/>
        <v>4.5999999999999999E-3</v>
      </c>
      <c r="R41" s="2381"/>
      <c r="S41" s="2389">
        <f>B41/B42-1</f>
        <v>6.9183549807361189E-4</v>
      </c>
      <c r="T41" s="2390">
        <f>C41/C42-1</f>
        <v>0</v>
      </c>
      <c r="U41" s="2390">
        <f>E41/E42-1</f>
        <v>-9.0449527636460303E-4</v>
      </c>
      <c r="V41" s="2390">
        <f>F41/F42-1</f>
        <v>5.2825485432512753E-3</v>
      </c>
      <c r="X41" s="2354"/>
      <c r="Y41" s="2354"/>
      <c r="Z41" s="2354"/>
    </row>
    <row r="42" spans="1:34" ht="13.5" thickBot="1">
      <c r="A42" s="2367" t="s">
        <v>1046</v>
      </c>
      <c r="B42" s="2377">
        <v>275</v>
      </c>
      <c r="C42" s="2377">
        <v>232</v>
      </c>
      <c r="D42" s="2377">
        <f t="shared" si="150"/>
        <v>232</v>
      </c>
      <c r="E42" s="2377">
        <v>376</v>
      </c>
      <c r="F42" s="2378">
        <v>213</v>
      </c>
      <c r="G42" s="3771">
        <v>2011</v>
      </c>
      <c r="H42" s="2394">
        <v>4</v>
      </c>
      <c r="I42" s="2394">
        <v>-0.2</v>
      </c>
      <c r="J42" s="2394">
        <v>0.04</v>
      </c>
      <c r="K42" s="2394">
        <v>-0.34</v>
      </c>
      <c r="L42" s="2395">
        <v>0.46</v>
      </c>
      <c r="N42" s="2379">
        <f t="shared" si="152"/>
        <v>-2E-3</v>
      </c>
      <c r="O42" s="2380">
        <f t="shared" si="152"/>
        <v>4.0000000000000002E-4</v>
      </c>
      <c r="P42" s="2380">
        <f t="shared" si="152"/>
        <v>-3.4000000000000002E-3</v>
      </c>
      <c r="Q42" s="2380">
        <f t="shared" si="152"/>
        <v>4.5999999999999999E-3</v>
      </c>
      <c r="R42" s="2381"/>
      <c r="S42" s="2382"/>
      <c r="T42" s="2383"/>
      <c r="U42" s="2383"/>
      <c r="V42" s="2383"/>
      <c r="X42" s="2383"/>
      <c r="Y42" s="2383"/>
      <c r="Z42" s="2383"/>
    </row>
    <row r="43" spans="1:34">
      <c r="A43" s="2367" t="s">
        <v>1047</v>
      </c>
      <c r="B43" s="2384">
        <f t="shared" ref="B43:C45" si="162">B42/(1+N42)</f>
        <v>275.55110220440883</v>
      </c>
      <c r="C43" s="2384">
        <f t="shared" si="162"/>
        <v>231.90723710515795</v>
      </c>
      <c r="D43" s="2384">
        <f t="shared" si="150"/>
        <v>231.90723710515795</v>
      </c>
      <c r="E43" s="2384">
        <f t="shared" ref="E43:F45" si="163">E42/(1+P42)</f>
        <v>377.28276138872161</v>
      </c>
      <c r="F43" s="2384">
        <f t="shared" si="163"/>
        <v>212.02468644236512</v>
      </c>
      <c r="G43" s="3772">
        <v>2011</v>
      </c>
      <c r="H43" s="2397">
        <v>3</v>
      </c>
      <c r="I43" s="2397">
        <v>0.13</v>
      </c>
      <c r="J43" s="2397">
        <v>0.75</v>
      </c>
      <c r="K43" s="2397">
        <v>-0.08</v>
      </c>
      <c r="L43" s="2398">
        <v>0.53</v>
      </c>
      <c r="N43" s="2385">
        <f t="shared" si="152"/>
        <v>1.2999999999999999E-3</v>
      </c>
      <c r="O43" s="2391">
        <f t="shared" si="152"/>
        <v>7.4999999999999997E-3</v>
      </c>
      <c r="P43" s="2391">
        <f t="shared" si="152"/>
        <v>-8.0000000000000004E-4</v>
      </c>
      <c r="Q43" s="2391">
        <f t="shared" si="152"/>
        <v>5.3E-3</v>
      </c>
      <c r="R43" s="2381"/>
      <c r="S43" s="2385"/>
      <c r="T43" s="2354"/>
      <c r="U43" s="2354"/>
      <c r="V43" s="2354"/>
    </row>
    <row r="44" spans="1:34">
      <c r="A44" s="2367" t="s">
        <v>1048</v>
      </c>
      <c r="B44" s="2384">
        <f t="shared" si="162"/>
        <v>275.19335084830601</v>
      </c>
      <c r="C44" s="2384">
        <f t="shared" si="162"/>
        <v>230.18088050139744</v>
      </c>
      <c r="D44" s="2384">
        <f t="shared" si="150"/>
        <v>230.18088050139744</v>
      </c>
      <c r="E44" s="2384">
        <f t="shared" si="163"/>
        <v>377.58482925212331</v>
      </c>
      <c r="F44" s="2384">
        <f t="shared" si="163"/>
        <v>210.90687997847917</v>
      </c>
      <c r="G44" s="3772">
        <v>2011</v>
      </c>
      <c r="H44" s="2387">
        <v>2</v>
      </c>
      <c r="I44" s="2387">
        <v>-0.4</v>
      </c>
      <c r="J44" s="2387">
        <v>0.17</v>
      </c>
      <c r="K44" s="2387">
        <v>-0.57999999999999996</v>
      </c>
      <c r="L44" s="2388">
        <v>-0.2</v>
      </c>
      <c r="N44" s="2385">
        <f t="shared" si="152"/>
        <v>-4.0000000000000001E-3</v>
      </c>
      <c r="O44" s="2391">
        <f t="shared" si="152"/>
        <v>1.7000000000000001E-3</v>
      </c>
      <c r="P44" s="2391">
        <f t="shared" si="152"/>
        <v>-5.7999999999999996E-3</v>
      </c>
      <c r="Q44" s="2391">
        <f t="shared" si="152"/>
        <v>-2E-3</v>
      </c>
      <c r="R44" s="2381"/>
      <c r="S44" s="2385"/>
      <c r="T44" s="2354"/>
      <c r="U44" s="2354"/>
      <c r="V44" s="2354"/>
    </row>
    <row r="45" spans="1:34" ht="13.5" thickBot="1">
      <c r="A45" s="2367" t="s">
        <v>1049</v>
      </c>
      <c r="B45" s="2384">
        <f t="shared" si="162"/>
        <v>276.29854502841971</v>
      </c>
      <c r="C45" s="2384">
        <f t="shared" si="162"/>
        <v>229.79023709833027</v>
      </c>
      <c r="D45" s="2384">
        <f t="shared" si="150"/>
        <v>229.79023709833027</v>
      </c>
      <c r="E45" s="2384">
        <f t="shared" si="163"/>
        <v>379.78759731655936</v>
      </c>
      <c r="F45" s="2384">
        <f t="shared" si="163"/>
        <v>211.32953905659235</v>
      </c>
      <c r="G45" s="3773">
        <v>2011</v>
      </c>
      <c r="H45" s="2369">
        <v>1</v>
      </c>
      <c r="I45" s="2369">
        <v>2.65</v>
      </c>
      <c r="J45" s="2369">
        <v>3.76</v>
      </c>
      <c r="K45" s="2369">
        <v>1.89</v>
      </c>
      <c r="L45" s="2370">
        <v>7.95</v>
      </c>
      <c r="N45" s="2389">
        <f t="shared" si="152"/>
        <v>2.6499999999999999E-2</v>
      </c>
      <c r="O45" s="2390">
        <f t="shared" si="152"/>
        <v>3.7599999999999995E-2</v>
      </c>
      <c r="P45" s="2390">
        <f t="shared" si="152"/>
        <v>1.89E-2</v>
      </c>
      <c r="Q45" s="2390">
        <f t="shared" si="152"/>
        <v>7.9500000000000001E-2</v>
      </c>
      <c r="R45" s="2381"/>
      <c r="S45" s="2389">
        <f>B45/B46-1</f>
        <v>2.713213765211786E-2</v>
      </c>
      <c r="T45" s="2390">
        <f>C45/C46-1</f>
        <v>3.9774828499231862E-2</v>
      </c>
      <c r="U45" s="2390">
        <f>E45/E46-1</f>
        <v>1.8197311840641772E-2</v>
      </c>
      <c r="V45" s="2390">
        <f>F45/F46-1</f>
        <v>7.8211933962205826E-2</v>
      </c>
      <c r="X45" s="2354"/>
      <c r="Y45" s="2354"/>
      <c r="Z45" s="2354"/>
    </row>
    <row r="46" spans="1:34" ht="13.5" thickBot="1">
      <c r="A46" s="2367" t="s">
        <v>1050</v>
      </c>
      <c r="B46" s="2377">
        <v>269</v>
      </c>
      <c r="C46" s="2377">
        <v>221</v>
      </c>
      <c r="D46" s="2377">
        <f t="shared" si="150"/>
        <v>221</v>
      </c>
      <c r="E46" s="2377">
        <v>373</v>
      </c>
      <c r="F46" s="2378">
        <v>196</v>
      </c>
      <c r="G46" s="3771">
        <v>2010</v>
      </c>
      <c r="H46" s="2394">
        <v>4</v>
      </c>
      <c r="I46" s="2394">
        <v>5.72</v>
      </c>
      <c r="J46" s="2394">
        <v>6.57</v>
      </c>
      <c r="K46" s="2394">
        <v>5.72</v>
      </c>
      <c r="L46" s="2395">
        <v>2.72</v>
      </c>
      <c r="N46" s="2385">
        <f t="shared" si="152"/>
        <v>5.7200000000000001E-2</v>
      </c>
      <c r="O46" s="2354">
        <f t="shared" si="152"/>
        <v>6.5700000000000008E-2</v>
      </c>
      <c r="P46" s="2354">
        <f t="shared" si="152"/>
        <v>5.7200000000000001E-2</v>
      </c>
      <c r="Q46" s="2354">
        <f t="shared" si="152"/>
        <v>2.7200000000000002E-2</v>
      </c>
      <c r="R46" s="2381"/>
      <c r="S46" s="2382"/>
      <c r="T46" s="2383"/>
      <c r="U46" s="2383"/>
      <c r="V46" s="2383"/>
      <c r="X46" s="2383"/>
      <c r="Y46" s="2383"/>
      <c r="Z46" s="2383"/>
    </row>
    <row r="47" spans="1:34">
      <c r="A47" s="2367" t="s">
        <v>1051</v>
      </c>
      <c r="B47" s="2384">
        <f t="shared" ref="B47:C49" si="164">B46/(1+N46)</f>
        <v>254.44570563753314</v>
      </c>
      <c r="C47" s="2384">
        <f t="shared" si="164"/>
        <v>207.37543398705074</v>
      </c>
      <c r="D47" s="2384">
        <f t="shared" si="150"/>
        <v>207.37543398705074</v>
      </c>
      <c r="E47" s="2384">
        <f t="shared" ref="E47:F49" si="165">E46/(1+P46)</f>
        <v>352.81876655315932</v>
      </c>
      <c r="F47" s="2384">
        <f t="shared" si="165"/>
        <v>190.809968847352</v>
      </c>
      <c r="G47" s="3772">
        <v>2010</v>
      </c>
      <c r="H47" s="2397">
        <v>3</v>
      </c>
      <c r="I47" s="2397">
        <v>4.7300000000000004</v>
      </c>
      <c r="J47" s="2397">
        <v>3.9</v>
      </c>
      <c r="K47" s="2397">
        <v>5.03</v>
      </c>
      <c r="L47" s="2398">
        <v>4.21</v>
      </c>
      <c r="N47" s="2385">
        <f t="shared" si="152"/>
        <v>4.7300000000000002E-2</v>
      </c>
      <c r="O47" s="2354">
        <f t="shared" si="152"/>
        <v>3.9E-2</v>
      </c>
      <c r="P47" s="2354">
        <f t="shared" si="152"/>
        <v>5.0300000000000004E-2</v>
      </c>
      <c r="Q47" s="2354">
        <f t="shared" si="152"/>
        <v>4.2099999999999999E-2</v>
      </c>
      <c r="R47" s="2381"/>
      <c r="S47" s="2385"/>
      <c r="T47" s="2354"/>
      <c r="U47" s="2354"/>
      <c r="V47" s="2354"/>
    </row>
    <row r="48" spans="1:34">
      <c r="A48" s="2367" t="s">
        <v>1052</v>
      </c>
      <c r="B48" s="2384">
        <f t="shared" si="164"/>
        <v>242.95398227588385</v>
      </c>
      <c r="C48" s="2384">
        <f t="shared" si="164"/>
        <v>199.59137053614126</v>
      </c>
      <c r="D48" s="2384">
        <f t="shared" si="150"/>
        <v>199.59137053614126</v>
      </c>
      <c r="E48" s="2384">
        <f t="shared" si="165"/>
        <v>335.92189522342125</v>
      </c>
      <c r="F48" s="2384">
        <f t="shared" si="165"/>
        <v>183.10139991109489</v>
      </c>
      <c r="G48" s="3772">
        <v>2010</v>
      </c>
      <c r="H48" s="2387">
        <v>2</v>
      </c>
      <c r="I48" s="2387">
        <v>4.6900000000000004</v>
      </c>
      <c r="J48" s="2387">
        <v>3.55</v>
      </c>
      <c r="K48" s="2387">
        <v>5.07</v>
      </c>
      <c r="L48" s="2388">
        <v>4.2300000000000004</v>
      </c>
      <c r="N48" s="2385">
        <f t="shared" si="152"/>
        <v>4.6900000000000004E-2</v>
      </c>
      <c r="O48" s="2354">
        <f t="shared" si="152"/>
        <v>3.5499999999999997E-2</v>
      </c>
      <c r="P48" s="2354">
        <f t="shared" si="152"/>
        <v>5.0700000000000002E-2</v>
      </c>
      <c r="Q48" s="2354">
        <f t="shared" si="152"/>
        <v>4.2300000000000004E-2</v>
      </c>
      <c r="R48" s="2381"/>
      <c r="S48" s="2385"/>
      <c r="T48" s="2354"/>
      <c r="U48" s="2354"/>
      <c r="V48" s="2354"/>
    </row>
    <row r="49" spans="1:26" ht="13.5" thickBot="1">
      <c r="A49" s="2367" t="s">
        <v>1053</v>
      </c>
      <c r="B49" s="2384">
        <f t="shared" si="164"/>
        <v>232.06990378821649</v>
      </c>
      <c r="C49" s="2384">
        <f t="shared" si="164"/>
        <v>192.74878854286936</v>
      </c>
      <c r="D49" s="2384">
        <f t="shared" si="150"/>
        <v>192.74878854286936</v>
      </c>
      <c r="E49" s="2384">
        <f t="shared" si="165"/>
        <v>319.71247284992984</v>
      </c>
      <c r="F49" s="2384">
        <f t="shared" si="165"/>
        <v>175.67053622862409</v>
      </c>
      <c r="G49" s="3773">
        <v>2010</v>
      </c>
      <c r="H49" s="2369">
        <v>1</v>
      </c>
      <c r="I49" s="2369">
        <v>5.4</v>
      </c>
      <c r="J49" s="2369">
        <v>3.2</v>
      </c>
      <c r="K49" s="2369">
        <v>6.16</v>
      </c>
      <c r="L49" s="2370">
        <v>4.51</v>
      </c>
      <c r="N49" s="2385">
        <f t="shared" si="152"/>
        <v>5.4000000000000006E-2</v>
      </c>
      <c r="O49" s="2354">
        <f t="shared" si="152"/>
        <v>3.2000000000000001E-2</v>
      </c>
      <c r="P49" s="2354">
        <f t="shared" si="152"/>
        <v>6.1600000000000002E-2</v>
      </c>
      <c r="Q49" s="2354">
        <f t="shared" si="152"/>
        <v>4.5100000000000001E-2</v>
      </c>
      <c r="R49" s="2381"/>
      <c r="S49" s="2389">
        <f>B49/B50-1</f>
        <v>5.4863199037347599E-2</v>
      </c>
      <c r="T49" s="2390">
        <f>C49/C50-1</f>
        <v>3.0742184721226584E-2</v>
      </c>
      <c r="U49" s="2390">
        <f>E49/E50-1</f>
        <v>6.2167683886810154E-2</v>
      </c>
      <c r="V49" s="2390">
        <f>F49/F50-1</f>
        <v>4.5657953741810031E-2</v>
      </c>
      <c r="X49" s="2354"/>
      <c r="Y49" s="2354"/>
      <c r="Z49" s="2354"/>
    </row>
    <row r="50" spans="1:26" ht="13.5" thickBot="1">
      <c r="A50" s="2367" t="s">
        <v>1054</v>
      </c>
      <c r="B50" s="2377">
        <v>220</v>
      </c>
      <c r="C50" s="2377">
        <v>187</v>
      </c>
      <c r="D50" s="2377">
        <f t="shared" si="150"/>
        <v>187</v>
      </c>
      <c r="E50" s="2377">
        <v>301</v>
      </c>
      <c r="F50" s="2378">
        <v>168</v>
      </c>
      <c r="G50" s="3771">
        <v>2009</v>
      </c>
      <c r="H50" s="2394">
        <v>4</v>
      </c>
      <c r="I50" s="2394">
        <v>2.2999999999999998</v>
      </c>
      <c r="J50" s="2394">
        <v>1.04</v>
      </c>
      <c r="K50" s="2394">
        <v>2.84</v>
      </c>
      <c r="L50" s="2395">
        <v>0.67</v>
      </c>
      <c r="N50" s="2379">
        <f t="shared" si="152"/>
        <v>2.3E-2</v>
      </c>
      <c r="O50" s="2380">
        <f t="shared" si="152"/>
        <v>1.04E-2</v>
      </c>
      <c r="P50" s="2380">
        <f t="shared" si="152"/>
        <v>2.8399999999999998E-2</v>
      </c>
      <c r="Q50" s="2380">
        <f t="shared" si="152"/>
        <v>6.7000000000000002E-3</v>
      </c>
      <c r="R50" s="2381"/>
      <c r="S50" s="2382"/>
      <c r="T50" s="2383"/>
      <c r="U50" s="2383"/>
      <c r="V50" s="2383"/>
      <c r="X50" s="2383"/>
      <c r="Y50" s="2383"/>
      <c r="Z50" s="2383"/>
    </row>
    <row r="51" spans="1:26">
      <c r="A51" s="2367" t="s">
        <v>1055</v>
      </c>
      <c r="B51" s="2384">
        <f t="shared" ref="B51:C53" si="166">B50/(1+N50)</f>
        <v>215.05376344086022</v>
      </c>
      <c r="C51" s="2384">
        <f t="shared" si="166"/>
        <v>185.0752177355503</v>
      </c>
      <c r="D51" s="2384">
        <f t="shared" si="150"/>
        <v>185.0752177355503</v>
      </c>
      <c r="E51" s="2384">
        <f t="shared" ref="E51:F53" si="167">E50/(1+P50)</f>
        <v>292.68767016725008</v>
      </c>
      <c r="F51" s="2384">
        <f t="shared" si="167"/>
        <v>166.88189132810174</v>
      </c>
      <c r="G51" s="3772">
        <v>2009</v>
      </c>
      <c r="H51" s="2397">
        <v>3</v>
      </c>
      <c r="I51" s="2397">
        <v>2.1</v>
      </c>
      <c r="J51" s="2397">
        <v>1.86</v>
      </c>
      <c r="K51" s="2397">
        <v>2.29</v>
      </c>
      <c r="L51" s="2398">
        <v>0.85</v>
      </c>
      <c r="N51" s="2385">
        <f t="shared" si="152"/>
        <v>2.1000000000000001E-2</v>
      </c>
      <c r="O51" s="2391">
        <f t="shared" si="152"/>
        <v>1.8600000000000002E-2</v>
      </c>
      <c r="P51" s="2391">
        <f t="shared" si="152"/>
        <v>2.29E-2</v>
      </c>
      <c r="Q51" s="2391">
        <f t="shared" si="152"/>
        <v>8.5000000000000006E-3</v>
      </c>
      <c r="R51" s="2381"/>
      <c r="S51" s="2385"/>
      <c r="T51" s="2354"/>
      <c r="U51" s="2354"/>
      <c r="V51" s="2354"/>
    </row>
    <row r="52" spans="1:26">
      <c r="A52" s="2367" t="s">
        <v>1056</v>
      </c>
      <c r="B52" s="2384">
        <f t="shared" si="166"/>
        <v>210.630522469011</v>
      </c>
      <c r="C52" s="2384">
        <f t="shared" si="166"/>
        <v>181.69567812247232</v>
      </c>
      <c r="D52" s="2384">
        <f t="shared" si="150"/>
        <v>181.69567812247232</v>
      </c>
      <c r="E52" s="2384">
        <f t="shared" si="167"/>
        <v>286.13517466736738</v>
      </c>
      <c r="F52" s="2384">
        <f t="shared" si="167"/>
        <v>165.47535084591149</v>
      </c>
      <c r="G52" s="3772">
        <v>2009</v>
      </c>
      <c r="H52" s="2387">
        <v>2</v>
      </c>
      <c r="I52" s="2387">
        <v>0.86</v>
      </c>
      <c r="J52" s="2387">
        <v>-1.1299999999999999</v>
      </c>
      <c r="K52" s="2387">
        <v>1.79</v>
      </c>
      <c r="L52" s="2388">
        <v>-2.0699999999999998</v>
      </c>
      <c r="N52" s="2385">
        <f t="shared" si="152"/>
        <v>8.6E-3</v>
      </c>
      <c r="O52" s="2391">
        <f t="shared" si="152"/>
        <v>-1.1299999999999999E-2</v>
      </c>
      <c r="P52" s="2391">
        <f t="shared" si="152"/>
        <v>1.7899999999999999E-2</v>
      </c>
      <c r="Q52" s="2391">
        <f t="shared" si="152"/>
        <v>-2.07E-2</v>
      </c>
      <c r="R52" s="2381"/>
      <c r="S52" s="2385"/>
      <c r="T52" s="2354"/>
      <c r="U52" s="2354"/>
      <c r="V52" s="2354"/>
    </row>
    <row r="53" spans="1:26">
      <c r="A53" s="2367" t="s">
        <v>1057</v>
      </c>
      <c r="B53" s="2384">
        <f t="shared" si="166"/>
        <v>208.83454537875372</v>
      </c>
      <c r="C53" s="2384">
        <f t="shared" si="166"/>
        <v>183.77230517090351</v>
      </c>
      <c r="D53" s="2384">
        <f t="shared" si="150"/>
        <v>183.77230517090351</v>
      </c>
      <c r="E53" s="2384">
        <f t="shared" si="167"/>
        <v>281.10342338870947</v>
      </c>
      <c r="F53" s="2384">
        <f t="shared" si="167"/>
        <v>168.97309388942256</v>
      </c>
      <c r="G53" s="3773">
        <v>2009</v>
      </c>
      <c r="H53" s="2369">
        <v>1</v>
      </c>
      <c r="I53" s="2369">
        <v>-2.64</v>
      </c>
      <c r="J53" s="2369">
        <v>-2.5299999999999998</v>
      </c>
      <c r="K53" s="2369">
        <v>-3.02</v>
      </c>
      <c r="L53" s="2370">
        <v>1.52</v>
      </c>
      <c r="N53" s="2389">
        <f t="shared" si="152"/>
        <v>-2.64E-2</v>
      </c>
      <c r="O53" s="2390">
        <f t="shared" si="152"/>
        <v>-2.53E-2</v>
      </c>
      <c r="P53" s="2390">
        <f t="shared" si="152"/>
        <v>-3.0200000000000001E-2</v>
      </c>
      <c r="Q53" s="2390">
        <f t="shared" si="152"/>
        <v>1.52E-2</v>
      </c>
      <c r="R53" s="2381"/>
      <c r="S53" s="2389">
        <f>B53/B54-1</f>
        <v>-2.4137638417038754E-2</v>
      </c>
      <c r="T53" s="2390">
        <f>C53/C54-1</f>
        <v>-2.248773845264096E-2</v>
      </c>
      <c r="U53" s="2390">
        <f>E53/E54-1</f>
        <v>-2.7323794502735366E-2</v>
      </c>
      <c r="V53" s="2390">
        <f>F53/F54-1</f>
        <v>1.7910204153148035E-2</v>
      </c>
      <c r="X53" s="2354"/>
      <c r="Y53" s="2354"/>
      <c r="Z53" s="2354"/>
    </row>
    <row r="54" spans="1:26" ht="13.5" thickBot="1">
      <c r="A54" s="2367" t="s">
        <v>1058</v>
      </c>
      <c r="B54" s="2420">
        <v>214</v>
      </c>
      <c r="C54" s="2420">
        <v>188</v>
      </c>
      <c r="D54" s="2420">
        <f t="shared" si="150"/>
        <v>188</v>
      </c>
      <c r="E54" s="2420">
        <v>289</v>
      </c>
      <c r="F54" s="2421">
        <v>166</v>
      </c>
      <c r="G54" s="3771">
        <v>2008</v>
      </c>
      <c r="H54" s="2394">
        <v>4</v>
      </c>
      <c r="I54" s="2394">
        <v>1.73</v>
      </c>
      <c r="J54" s="2394">
        <v>0.03</v>
      </c>
      <c r="K54" s="2394">
        <v>2.59</v>
      </c>
      <c r="L54" s="2395">
        <v>-1.66</v>
      </c>
      <c r="N54" s="2385">
        <f t="shared" si="152"/>
        <v>1.7299999999999999E-2</v>
      </c>
      <c r="O54" s="2354">
        <f t="shared" si="152"/>
        <v>2.9999999999999997E-4</v>
      </c>
      <c r="P54" s="2354">
        <f t="shared" si="152"/>
        <v>2.5899999999999999E-2</v>
      </c>
      <c r="Q54" s="2354">
        <f t="shared" si="152"/>
        <v>-1.66E-2</v>
      </c>
      <c r="R54" s="2381"/>
      <c r="S54" s="2382"/>
      <c r="T54" s="2383"/>
      <c r="U54" s="2383"/>
      <c r="V54" s="2383"/>
      <c r="X54" s="2383"/>
      <c r="Y54" s="2383"/>
      <c r="Z54" s="2383"/>
    </row>
    <row r="55" spans="1:26">
      <c r="A55" s="2367" t="s">
        <v>1059</v>
      </c>
      <c r="B55" s="2384">
        <f t="shared" ref="B55:C57" si="168">B54/(1+N54)</f>
        <v>210.36075887152265</v>
      </c>
      <c r="C55" s="2384">
        <f t="shared" si="168"/>
        <v>187.94361691492554</v>
      </c>
      <c r="D55" s="2384">
        <f t="shared" si="150"/>
        <v>187.94361691492554</v>
      </c>
      <c r="E55" s="2384">
        <f t="shared" ref="E55:F57" si="169">E54/(1+P54)</f>
        <v>281.70386977288234</v>
      </c>
      <c r="F55" s="2384">
        <f t="shared" si="169"/>
        <v>168.80211511083994</v>
      </c>
      <c r="G55" s="3772">
        <v>2008</v>
      </c>
      <c r="H55" s="2397">
        <v>3</v>
      </c>
      <c r="I55" s="2397">
        <v>1.96</v>
      </c>
      <c r="J55" s="2397">
        <v>2.36</v>
      </c>
      <c r="K55" s="2397">
        <v>1.82</v>
      </c>
      <c r="L55" s="2398">
        <v>2.2200000000000002</v>
      </c>
      <c r="N55" s="2385">
        <f t="shared" si="152"/>
        <v>1.9599999999999999E-2</v>
      </c>
      <c r="O55" s="2354">
        <f t="shared" si="152"/>
        <v>2.3599999999999999E-2</v>
      </c>
      <c r="P55" s="2354">
        <f t="shared" si="152"/>
        <v>1.8200000000000001E-2</v>
      </c>
      <c r="Q55" s="2354">
        <f t="shared" si="152"/>
        <v>2.2200000000000001E-2</v>
      </c>
      <c r="R55" s="2381"/>
      <c r="S55" s="2385"/>
      <c r="T55" s="2354"/>
      <c r="U55" s="2354"/>
      <c r="V55" s="2354"/>
    </row>
    <row r="56" spans="1:26">
      <c r="A56" s="2367" t="s">
        <v>1060</v>
      </c>
      <c r="B56" s="2384">
        <f t="shared" si="168"/>
        <v>206.31694671589116</v>
      </c>
      <c r="C56" s="2384">
        <f t="shared" si="168"/>
        <v>183.61041121036101</v>
      </c>
      <c r="D56" s="2384">
        <f t="shared" si="150"/>
        <v>183.61041121036101</v>
      </c>
      <c r="E56" s="2384">
        <f t="shared" si="169"/>
        <v>276.66850301795557</v>
      </c>
      <c r="F56" s="2384">
        <f t="shared" si="169"/>
        <v>165.1360938278614</v>
      </c>
      <c r="G56" s="3772">
        <v>2008</v>
      </c>
      <c r="H56" s="2387">
        <v>2</v>
      </c>
      <c r="I56" s="2387">
        <v>4.93</v>
      </c>
      <c r="J56" s="2387">
        <v>7.38</v>
      </c>
      <c r="K56" s="2387">
        <v>3.98</v>
      </c>
      <c r="L56" s="2388">
        <v>6.86</v>
      </c>
      <c r="N56" s="2385">
        <f t="shared" si="152"/>
        <v>4.9299999999999997E-2</v>
      </c>
      <c r="O56" s="2354">
        <f t="shared" si="152"/>
        <v>7.3800000000000004E-2</v>
      </c>
      <c r="P56" s="2354">
        <f t="shared" si="152"/>
        <v>3.9800000000000002E-2</v>
      </c>
      <c r="Q56" s="2354">
        <f t="shared" si="152"/>
        <v>6.8600000000000008E-2</v>
      </c>
      <c r="R56" s="2381"/>
      <c r="S56" s="2385"/>
      <c r="T56" s="2354"/>
      <c r="U56" s="2354"/>
      <c r="V56" s="2354"/>
    </row>
    <row r="57" spans="1:26" s="2426" customFormat="1" ht="13.5" thickBot="1">
      <c r="A57" s="2367" t="s">
        <v>1061</v>
      </c>
      <c r="B57" s="2423">
        <f t="shared" si="168"/>
        <v>196.62341248059772</v>
      </c>
      <c r="C57" s="2423">
        <f t="shared" si="168"/>
        <v>170.99125648199012</v>
      </c>
      <c r="D57" s="2423">
        <f t="shared" si="150"/>
        <v>170.99125648199012</v>
      </c>
      <c r="E57" s="2423">
        <f t="shared" si="169"/>
        <v>266.07857570490052</v>
      </c>
      <c r="F57" s="2423">
        <f t="shared" si="169"/>
        <v>154.53499328828505</v>
      </c>
      <c r="G57" s="3773">
        <v>2008</v>
      </c>
      <c r="H57" s="2424">
        <v>1</v>
      </c>
      <c r="I57" s="2424">
        <v>4.1399999999999997</v>
      </c>
      <c r="J57" s="2424">
        <v>3.45</v>
      </c>
      <c r="K57" s="2424">
        <v>4.95</v>
      </c>
      <c r="L57" s="2425">
        <v>4.82</v>
      </c>
      <c r="N57" s="2427">
        <f t="shared" si="152"/>
        <v>4.1399999999999999E-2</v>
      </c>
      <c r="O57" s="2428">
        <f t="shared" si="152"/>
        <v>3.4500000000000003E-2</v>
      </c>
      <c r="P57" s="2428">
        <f t="shared" si="152"/>
        <v>4.9500000000000002E-2</v>
      </c>
      <c r="Q57" s="2428">
        <f t="shared" si="152"/>
        <v>4.82E-2</v>
      </c>
      <c r="R57" s="2429"/>
      <c r="S57" s="2427">
        <f>B57/B58-1</f>
        <v>4.5869215322328349E-2</v>
      </c>
      <c r="T57" s="2428">
        <f>C57/C58-1</f>
        <v>3.6310645345394743E-2</v>
      </c>
      <c r="U57" s="2428">
        <f>E57/E58-1</f>
        <v>4.7553447657088688E-2</v>
      </c>
      <c r="V57" s="2428">
        <f>F57/F58-1</f>
        <v>4.4155360055980086E-2</v>
      </c>
      <c r="X57" s="2428"/>
      <c r="Y57" s="2428"/>
      <c r="Z57" s="2428"/>
    </row>
    <row r="58" spans="1:26" ht="13.5" thickBot="1">
      <c r="A58" s="2367" t="s">
        <v>1062</v>
      </c>
      <c r="B58" s="2377">
        <v>188</v>
      </c>
      <c r="C58" s="2377">
        <v>165</v>
      </c>
      <c r="D58" s="2377">
        <f t="shared" si="150"/>
        <v>165</v>
      </c>
      <c r="E58" s="2377">
        <v>254</v>
      </c>
      <c r="F58" s="2378">
        <v>148</v>
      </c>
      <c r="G58" s="3771">
        <v>2007</v>
      </c>
      <c r="H58" s="2430">
        <v>4</v>
      </c>
      <c r="I58" s="2430">
        <v>5.51</v>
      </c>
      <c r="J58" s="2430">
        <v>4.8899999999999997</v>
      </c>
      <c r="K58" s="2430">
        <v>6.43</v>
      </c>
      <c r="L58" s="2431">
        <v>5.36</v>
      </c>
      <c r="N58" s="2432">
        <f t="shared" ref="N58:O61" si="170">B58/B59-1</f>
        <v>4.1339718365245526E-2</v>
      </c>
      <c r="O58" s="2433">
        <f t="shared" si="170"/>
        <v>4.0324492593776018E-2</v>
      </c>
      <c r="P58" s="2433">
        <f t="shared" ref="P58:Q61" si="171">E58/E59-1</f>
        <v>6.1625555347990968E-2</v>
      </c>
      <c r="Q58" s="2433">
        <f t="shared" si="171"/>
        <v>4.6757569250590603E-2</v>
      </c>
      <c r="R58" s="2381"/>
      <c r="S58" s="2382"/>
      <c r="T58" s="2383"/>
      <c r="U58" s="2383"/>
      <c r="V58" s="2383"/>
      <c r="X58" s="2383"/>
      <c r="Y58" s="2383"/>
      <c r="Z58" s="2383"/>
    </row>
    <row r="59" spans="1:26">
      <c r="A59" s="2367" t="s">
        <v>1063</v>
      </c>
      <c r="B59" s="2384">
        <f t="shared" ref="B59:C61" si="172">B60+(B$58-B$62)*I59/SUM(I$58:I$61)</f>
        <v>180.5366651097618</v>
      </c>
      <c r="C59" s="2384">
        <f t="shared" si="172"/>
        <v>158.60435967302453</v>
      </c>
      <c r="D59" s="2384">
        <f t="shared" si="150"/>
        <v>158.60435967302453</v>
      </c>
      <c r="E59" s="2384">
        <f t="shared" ref="E59:F61" si="173">E60+(E$58-E$62)*K59/SUM(K$58:K$61)</f>
        <v>239.25573260785075</v>
      </c>
      <c r="F59" s="2384">
        <f t="shared" si="173"/>
        <v>141.38899430740037</v>
      </c>
      <c r="G59" s="3772">
        <v>2007</v>
      </c>
      <c r="H59" s="2397">
        <v>3</v>
      </c>
      <c r="I59" s="2397">
        <v>8.65</v>
      </c>
      <c r="J59" s="2397">
        <v>8.06</v>
      </c>
      <c r="K59" s="2397">
        <v>9.94</v>
      </c>
      <c r="L59" s="2398">
        <v>5.8</v>
      </c>
      <c r="N59" s="2432">
        <f t="shared" si="170"/>
        <v>6.940217571740015E-2</v>
      </c>
      <c r="O59" s="2433">
        <f t="shared" si="170"/>
        <v>7.1197482471153428E-2</v>
      </c>
      <c r="P59" s="2433">
        <f t="shared" si="171"/>
        <v>0.10529679922579582</v>
      </c>
      <c r="Q59" s="2433">
        <f t="shared" si="171"/>
        <v>5.3292245059512133E-2</v>
      </c>
      <c r="R59" s="2381"/>
      <c r="S59" s="2385"/>
      <c r="T59" s="2354"/>
      <c r="U59" s="2354"/>
      <c r="V59" s="2354"/>
      <c r="X59" s="2434"/>
      <c r="Y59" s="2434"/>
      <c r="Z59" s="2434"/>
    </row>
    <row r="60" spans="1:26">
      <c r="A60" s="2367" t="s">
        <v>1064</v>
      </c>
      <c r="B60" s="2384">
        <f t="shared" si="172"/>
        <v>168.82017748715555</v>
      </c>
      <c r="C60" s="2384">
        <f t="shared" si="172"/>
        <v>148.06267029972753</v>
      </c>
      <c r="D60" s="2384">
        <f t="shared" si="150"/>
        <v>148.06267029972753</v>
      </c>
      <c r="E60" s="2384">
        <f t="shared" si="173"/>
        <v>216.46288379323747</v>
      </c>
      <c r="F60" s="2384">
        <f t="shared" si="173"/>
        <v>134.23529411764704</v>
      </c>
      <c r="G60" s="3772">
        <v>2007</v>
      </c>
      <c r="H60" s="2387">
        <v>2</v>
      </c>
      <c r="I60" s="2387">
        <v>3.67</v>
      </c>
      <c r="J60" s="2387">
        <v>2.3199999999999998</v>
      </c>
      <c r="K60" s="2387">
        <v>5.0199999999999996</v>
      </c>
      <c r="L60" s="2388">
        <v>6.71</v>
      </c>
      <c r="N60" s="2432">
        <f t="shared" si="170"/>
        <v>3.0339138143848032E-2</v>
      </c>
      <c r="O60" s="2433">
        <f t="shared" si="170"/>
        <v>2.0922341588790472E-2</v>
      </c>
      <c r="P60" s="2433">
        <f t="shared" si="171"/>
        <v>5.6164796592717003E-2</v>
      </c>
      <c r="Q60" s="2433">
        <f t="shared" si="171"/>
        <v>6.5704536723887319E-2</v>
      </c>
      <c r="R60" s="2381"/>
      <c r="S60" s="2385"/>
      <c r="T60" s="2354"/>
      <c r="U60" s="2354"/>
      <c r="V60" s="2354"/>
      <c r="X60" s="2434"/>
      <c r="Y60" s="2434"/>
      <c r="Z60" s="2434"/>
    </row>
    <row r="61" spans="1:26">
      <c r="A61" s="2367" t="s">
        <v>1065</v>
      </c>
      <c r="B61" s="2384">
        <f t="shared" si="172"/>
        <v>163.84913591779542</v>
      </c>
      <c r="C61" s="2384">
        <f t="shared" si="172"/>
        <v>145.0283378746594</v>
      </c>
      <c r="D61" s="2384">
        <f t="shared" si="150"/>
        <v>145.0283378746594</v>
      </c>
      <c r="E61" s="2384">
        <f t="shared" si="173"/>
        <v>204.95180722891567</v>
      </c>
      <c r="F61" s="2384">
        <f t="shared" si="173"/>
        <v>125.95920303605313</v>
      </c>
      <c r="G61" s="3773">
        <v>2007</v>
      </c>
      <c r="H61" s="2369">
        <v>1</v>
      </c>
      <c r="I61" s="2369">
        <v>3.58</v>
      </c>
      <c r="J61" s="2369">
        <v>3.08</v>
      </c>
      <c r="K61" s="2369">
        <v>4.34</v>
      </c>
      <c r="L61" s="2370">
        <v>3.21</v>
      </c>
      <c r="N61" s="2435">
        <f t="shared" si="170"/>
        <v>3.0497710174814063E-2</v>
      </c>
      <c r="O61" s="2436">
        <f t="shared" si="170"/>
        <v>2.8569772160704998E-2</v>
      </c>
      <c r="P61" s="2436">
        <f t="shared" si="171"/>
        <v>5.1034908866234296E-2</v>
      </c>
      <c r="Q61" s="2436">
        <f t="shared" si="171"/>
        <v>3.245248390207478E-2</v>
      </c>
      <c r="R61" s="2381"/>
      <c r="S61" s="2389">
        <f>B61/B62-1</f>
        <v>3.0497710174814063E-2</v>
      </c>
      <c r="T61" s="2390">
        <f>C61/C62-1</f>
        <v>2.8569772160704998E-2</v>
      </c>
      <c r="U61" s="2390">
        <f>E61/E62-1</f>
        <v>5.1034908866234296E-2</v>
      </c>
      <c r="V61" s="2390">
        <f>F61/F62-1</f>
        <v>3.245248390207478E-2</v>
      </c>
      <c r="X61" s="2434"/>
      <c r="Y61" s="2434"/>
      <c r="Z61" s="2434"/>
    </row>
    <row r="62" spans="1:26" ht="13.5" thickBot="1">
      <c r="A62" s="2367" t="s">
        <v>1066</v>
      </c>
      <c r="B62" s="2399">
        <v>159</v>
      </c>
      <c r="C62" s="2399">
        <v>141</v>
      </c>
      <c r="D62" s="2399">
        <f t="shared" si="150"/>
        <v>141</v>
      </c>
      <c r="E62" s="2399">
        <v>195</v>
      </c>
      <c r="F62" s="2400">
        <v>122</v>
      </c>
      <c r="G62" s="3771">
        <v>2006</v>
      </c>
      <c r="H62" s="2394">
        <v>4</v>
      </c>
      <c r="I62" s="2394">
        <v>3.79</v>
      </c>
      <c r="J62" s="2394">
        <v>2.21</v>
      </c>
      <c r="K62" s="2394">
        <v>5.65</v>
      </c>
      <c r="L62" s="2395">
        <v>5.41</v>
      </c>
      <c r="N62" s="2432">
        <f t="shared" ref="N62:O65" si="174">I62/SUM(I$62:I$65)*(B$62/B$66-1)</f>
        <v>7.245466462748526E-2</v>
      </c>
      <c r="O62" s="2433">
        <f t="shared" si="174"/>
        <v>2.3237230038062766E-2</v>
      </c>
      <c r="P62" s="2433">
        <f t="shared" ref="P62:Q65" si="175">K62/SUM(K$62:K$65)*(E$62/E$66-1)</f>
        <v>0.16146893866323722</v>
      </c>
      <c r="Q62" s="2433">
        <f t="shared" si="175"/>
        <v>5.0755230321793784E-2</v>
      </c>
      <c r="R62" s="2381"/>
      <c r="S62" s="2382"/>
      <c r="T62" s="2383"/>
      <c r="U62" s="2383"/>
      <c r="V62" s="2383"/>
      <c r="X62" s="2434"/>
      <c r="Y62" s="2434"/>
      <c r="Z62" s="2434"/>
    </row>
    <row r="63" spans="1:26">
      <c r="A63" s="2367" t="s">
        <v>1067</v>
      </c>
      <c r="B63" s="2384">
        <f t="shared" ref="B63:C65" si="176">B64+(B$62-B$66)*I63/SUM(I$62:I$65)</f>
        <v>149.00125628140702</v>
      </c>
      <c r="C63" s="2384">
        <f t="shared" si="176"/>
        <v>137.95592286501378</v>
      </c>
      <c r="D63" s="2384">
        <f t="shared" si="150"/>
        <v>137.95592286501378</v>
      </c>
      <c r="E63" s="2384">
        <f t="shared" ref="E63:F65" si="177">E64+(E$62-E$66)*K63/SUM(K$62:K$65)</f>
        <v>169.97231450719823</v>
      </c>
      <c r="F63" s="2384">
        <f t="shared" si="177"/>
        <v>116.21390374331551</v>
      </c>
      <c r="G63" s="3772">
        <v>2006</v>
      </c>
      <c r="H63" s="2397">
        <v>3</v>
      </c>
      <c r="I63" s="2397">
        <v>0.92</v>
      </c>
      <c r="J63" s="2397">
        <v>1.08</v>
      </c>
      <c r="K63" s="2397">
        <v>0.73</v>
      </c>
      <c r="L63" s="2398">
        <v>1.08</v>
      </c>
      <c r="N63" s="2432">
        <f t="shared" si="174"/>
        <v>1.7587939698492462E-2</v>
      </c>
      <c r="O63" s="2433">
        <f t="shared" si="174"/>
        <v>1.1355750425840628E-2</v>
      </c>
      <c r="P63" s="2433">
        <f t="shared" si="175"/>
        <v>2.0862358446754544E-2</v>
      </c>
      <c r="Q63" s="2433">
        <f t="shared" si="175"/>
        <v>1.0132282578103011E-2</v>
      </c>
      <c r="R63" s="2381"/>
      <c r="S63" s="2385"/>
      <c r="T63" s="2354"/>
      <c r="U63" s="2354"/>
      <c r="V63" s="2354"/>
      <c r="X63" s="2434"/>
      <c r="Y63" s="2434"/>
      <c r="Z63" s="2434"/>
    </row>
    <row r="64" spans="1:26">
      <c r="A64" s="2367" t="s">
        <v>1068</v>
      </c>
      <c r="B64" s="2384">
        <f t="shared" si="176"/>
        <v>146.57412060301507</v>
      </c>
      <c r="C64" s="2384">
        <f t="shared" si="176"/>
        <v>136.46831955922866</v>
      </c>
      <c r="D64" s="2384">
        <f t="shared" si="150"/>
        <v>136.46831955922866</v>
      </c>
      <c r="E64" s="2384">
        <f t="shared" si="177"/>
        <v>166.73864894795128</v>
      </c>
      <c r="F64" s="2384">
        <f t="shared" si="177"/>
        <v>115.05882352941177</v>
      </c>
      <c r="G64" s="3772">
        <v>2006</v>
      </c>
      <c r="H64" s="2387">
        <v>2</v>
      </c>
      <c r="I64" s="2387">
        <v>0.96</v>
      </c>
      <c r="J64" s="2387">
        <v>0.25</v>
      </c>
      <c r="K64" s="2387">
        <v>1.9</v>
      </c>
      <c r="L64" s="2388">
        <v>0.95</v>
      </c>
      <c r="N64" s="2432">
        <f t="shared" si="174"/>
        <v>1.8352632728861701E-2</v>
      </c>
      <c r="O64" s="2433">
        <f t="shared" si="174"/>
        <v>2.6286459319075526E-3</v>
      </c>
      <c r="P64" s="2433">
        <f t="shared" si="175"/>
        <v>5.4299289107991269E-2</v>
      </c>
      <c r="Q64" s="2433">
        <f t="shared" si="175"/>
        <v>8.9126559714794995E-3</v>
      </c>
      <c r="R64" s="2381"/>
      <c r="S64" s="2385"/>
      <c r="T64" s="2354"/>
      <c r="U64" s="2354"/>
      <c r="V64" s="2354"/>
      <c r="X64" s="2434"/>
      <c r="Y64" s="2434"/>
      <c r="Z64" s="2434"/>
    </row>
    <row r="65" spans="1:26">
      <c r="A65" s="2367" t="s">
        <v>1069</v>
      </c>
      <c r="B65" s="2384">
        <f t="shared" si="176"/>
        <v>144.04145728643215</v>
      </c>
      <c r="C65" s="2384">
        <f t="shared" si="176"/>
        <v>136.12396694214877</v>
      </c>
      <c r="D65" s="2384">
        <f t="shared" si="150"/>
        <v>136.12396694214877</v>
      </c>
      <c r="E65" s="2384">
        <f t="shared" si="177"/>
        <v>158.32225913621264</v>
      </c>
      <c r="F65" s="2384">
        <f t="shared" si="177"/>
        <v>114.04278074866311</v>
      </c>
      <c r="G65" s="3773">
        <v>2006</v>
      </c>
      <c r="H65" s="2369">
        <v>1</v>
      </c>
      <c r="I65" s="2369">
        <v>2.29</v>
      </c>
      <c r="J65" s="2369">
        <v>3.72</v>
      </c>
      <c r="K65" s="2369">
        <v>0.75</v>
      </c>
      <c r="L65" s="2370">
        <v>0.04</v>
      </c>
      <c r="N65" s="2435">
        <f t="shared" si="174"/>
        <v>4.3778675988638847E-2</v>
      </c>
      <c r="O65" s="2436">
        <f t="shared" si="174"/>
        <v>3.9114251466784385E-2</v>
      </c>
      <c r="P65" s="2436">
        <f t="shared" si="175"/>
        <v>2.1433929911049188E-2</v>
      </c>
      <c r="Q65" s="2436">
        <f t="shared" si="175"/>
        <v>3.7526972511492629E-4</v>
      </c>
      <c r="R65" s="2381"/>
      <c r="S65" s="2389">
        <f>B65/B66-1</f>
        <v>4.3778675988638716E-2</v>
      </c>
      <c r="T65" s="2390">
        <f>C65/C66-1</f>
        <v>3.91142514667846E-2</v>
      </c>
      <c r="U65" s="2390">
        <f>E65/E66-1</f>
        <v>2.143392991104931E-2</v>
      </c>
      <c r="V65" s="2390">
        <f>F65/F66-1</f>
        <v>3.7526972511492396E-4</v>
      </c>
      <c r="X65" s="2434"/>
      <c r="Y65" s="2434"/>
      <c r="Z65" s="2434"/>
    </row>
    <row r="66" spans="1:26" ht="13.5" thickBot="1">
      <c r="A66" s="2367" t="s">
        <v>1070</v>
      </c>
      <c r="B66" s="2399">
        <v>138</v>
      </c>
      <c r="C66" s="2399">
        <v>131</v>
      </c>
      <c r="D66" s="2399">
        <f t="shared" si="150"/>
        <v>131</v>
      </c>
      <c r="E66" s="2399">
        <v>155</v>
      </c>
      <c r="F66" s="2400">
        <v>114</v>
      </c>
      <c r="G66" s="3771">
        <v>2005</v>
      </c>
      <c r="H66" s="2394">
        <v>4</v>
      </c>
      <c r="I66" s="2394">
        <v>3.29</v>
      </c>
      <c r="J66" s="2394">
        <v>1.44</v>
      </c>
      <c r="K66" s="2394">
        <v>0.66</v>
      </c>
      <c r="L66" s="2395">
        <v>7.78</v>
      </c>
      <c r="N66" s="2432">
        <f t="shared" ref="N66:O69" si="178">I66/SUM(I$66:I$69)*(B$66/B$70-1)</f>
        <v>9.9404603216919935E-2</v>
      </c>
      <c r="O66" s="2433">
        <f t="shared" si="178"/>
        <v>4.7636550760861554E-2</v>
      </c>
      <c r="P66" s="2433">
        <f t="shared" ref="P66:Q69" si="179">K66/SUM(K$66:K$69)*(E$66/E$70-1)</f>
        <v>8.3756345177664976E-2</v>
      </c>
      <c r="Q66" s="2433">
        <f t="shared" si="179"/>
        <v>5.2148766661559584E-2</v>
      </c>
      <c r="R66" s="2381"/>
      <c r="S66" s="2382"/>
      <c r="T66" s="2383"/>
      <c r="U66" s="2383"/>
      <c r="V66" s="2383"/>
      <c r="X66" s="2434"/>
      <c r="Y66" s="2434"/>
      <c r="Z66" s="2434"/>
    </row>
    <row r="67" spans="1:26">
      <c r="A67" s="2367" t="s">
        <v>1071</v>
      </c>
      <c r="B67" s="2384">
        <f t="shared" ref="B67:C69" si="180">B68+(B$66-B$70)*I67/SUM(I$66:I$69)</f>
        <v>125.9720430107527</v>
      </c>
      <c r="C67" s="2384">
        <f t="shared" si="180"/>
        <v>125.1883408071749</v>
      </c>
      <c r="D67" s="2384">
        <f t="shared" si="150"/>
        <v>125.1883408071749</v>
      </c>
      <c r="E67" s="2384">
        <f t="shared" ref="E67:F69" si="181">E68+(E$66-E$70)*K67/SUM(K$66:K$69)</f>
        <v>144.61421319796952</v>
      </c>
      <c r="F67" s="2384">
        <f t="shared" si="181"/>
        <v>108.42008196721311</v>
      </c>
      <c r="G67" s="3772">
        <v>2005</v>
      </c>
      <c r="H67" s="2397">
        <v>3</v>
      </c>
      <c r="I67" s="2397">
        <v>0.46</v>
      </c>
      <c r="J67" s="2397">
        <v>0.32</v>
      </c>
      <c r="K67" s="2397">
        <v>0.42</v>
      </c>
      <c r="L67" s="2398">
        <v>0.64</v>
      </c>
      <c r="N67" s="2432">
        <f t="shared" si="178"/>
        <v>1.3898515951301874E-2</v>
      </c>
      <c r="O67" s="2433">
        <f t="shared" si="178"/>
        <v>1.0585900169080346E-2</v>
      </c>
      <c r="P67" s="2433">
        <f t="shared" si="179"/>
        <v>5.3299492385786795E-2</v>
      </c>
      <c r="Q67" s="2433">
        <f t="shared" si="179"/>
        <v>4.2898728359123568E-3</v>
      </c>
      <c r="R67" s="2381"/>
      <c r="S67" s="2385"/>
      <c r="T67" s="2354"/>
      <c r="U67" s="2354"/>
      <c r="V67" s="2354"/>
      <c r="X67" s="2434"/>
      <c r="Y67" s="2434"/>
      <c r="Z67" s="2434"/>
    </row>
    <row r="68" spans="1:26">
      <c r="A68" s="2367" t="s">
        <v>1072</v>
      </c>
      <c r="B68" s="2384">
        <f t="shared" si="180"/>
        <v>124.29032258064517</v>
      </c>
      <c r="C68" s="2384">
        <f t="shared" si="180"/>
        <v>123.8968609865471</v>
      </c>
      <c r="D68" s="2384">
        <f t="shared" si="150"/>
        <v>123.8968609865471</v>
      </c>
      <c r="E68" s="2384">
        <f t="shared" si="181"/>
        <v>138.00507614213197</v>
      </c>
      <c r="F68" s="2384">
        <f t="shared" si="181"/>
        <v>107.96106557377048</v>
      </c>
      <c r="G68" s="3772">
        <v>2005</v>
      </c>
      <c r="H68" s="2387">
        <v>2</v>
      </c>
      <c r="I68" s="2387">
        <v>0.47</v>
      </c>
      <c r="J68" s="2387">
        <v>0.1</v>
      </c>
      <c r="K68" s="2387">
        <v>0.52</v>
      </c>
      <c r="L68" s="2388">
        <v>0.79</v>
      </c>
      <c r="N68" s="2432">
        <f t="shared" si="178"/>
        <v>1.420065760241713E-2</v>
      </c>
      <c r="O68" s="2433">
        <f t="shared" si="178"/>
        <v>3.3080938028376083E-3</v>
      </c>
      <c r="P68" s="2433">
        <f t="shared" si="179"/>
        <v>6.598984771573603E-2</v>
      </c>
      <c r="Q68" s="2433">
        <f t="shared" si="179"/>
        <v>5.2953117818293153E-3</v>
      </c>
      <c r="R68" s="2381"/>
      <c r="S68" s="2385"/>
      <c r="T68" s="2354"/>
      <c r="U68" s="2354"/>
      <c r="V68" s="2354"/>
      <c r="X68" s="2434"/>
      <c r="Y68" s="2434"/>
      <c r="Z68" s="2434"/>
    </row>
    <row r="69" spans="1:26">
      <c r="A69" s="2367" t="s">
        <v>1073</v>
      </c>
      <c r="B69" s="2384">
        <f t="shared" si="180"/>
        <v>122.57204301075269</v>
      </c>
      <c r="C69" s="2384">
        <f t="shared" si="180"/>
        <v>123.4932735426009</v>
      </c>
      <c r="D69" s="2384">
        <f t="shared" si="150"/>
        <v>123.4932735426009</v>
      </c>
      <c r="E69" s="2384">
        <f t="shared" si="181"/>
        <v>129.82233502538071</v>
      </c>
      <c r="F69" s="2384">
        <f t="shared" si="181"/>
        <v>107.39446721311475</v>
      </c>
      <c r="G69" s="3773">
        <v>2005</v>
      </c>
      <c r="H69" s="2369">
        <v>1</v>
      </c>
      <c r="I69" s="2369">
        <v>0.43</v>
      </c>
      <c r="J69" s="2369">
        <v>0.37</v>
      </c>
      <c r="K69" s="2369">
        <v>0.37</v>
      </c>
      <c r="L69" s="2370">
        <v>0.55000000000000004</v>
      </c>
      <c r="N69" s="2435">
        <f t="shared" si="178"/>
        <v>1.2992090997956099E-2</v>
      </c>
      <c r="O69" s="2436">
        <f t="shared" si="178"/>
        <v>1.2239947070499151E-2</v>
      </c>
      <c r="P69" s="2436">
        <f t="shared" si="179"/>
        <v>4.6954314720812178E-2</v>
      </c>
      <c r="Q69" s="2436">
        <f t="shared" si="179"/>
        <v>3.6866094683621815E-3</v>
      </c>
      <c r="R69" s="2381"/>
      <c r="S69" s="2389">
        <f>B69/B70-1</f>
        <v>1.2992090997956174E-2</v>
      </c>
      <c r="T69" s="2390">
        <f>C69/C70-1</f>
        <v>1.2239947070499246E-2</v>
      </c>
      <c r="U69" s="2390">
        <f>E69/E70-1</f>
        <v>4.695431472081224E-2</v>
      </c>
      <c r="V69" s="2390">
        <f>F69/F70-1</f>
        <v>3.6866094683620787E-3</v>
      </c>
      <c r="X69" s="2434"/>
      <c r="Y69" s="2434"/>
      <c r="Z69" s="2434"/>
    </row>
    <row r="70" spans="1:26" ht="13.5" thickBot="1">
      <c r="A70" s="2367" t="s">
        <v>1074</v>
      </c>
      <c r="B70" s="2420">
        <v>121</v>
      </c>
      <c r="C70" s="2420">
        <v>122</v>
      </c>
      <c r="D70" s="2420">
        <f t="shared" si="150"/>
        <v>122</v>
      </c>
      <c r="E70" s="2420">
        <v>124</v>
      </c>
      <c r="F70" s="2421">
        <v>107</v>
      </c>
      <c r="G70" s="3771">
        <v>2004</v>
      </c>
      <c r="H70" s="2394">
        <v>4</v>
      </c>
      <c r="I70" s="2394">
        <v>0.33</v>
      </c>
      <c r="J70" s="2394">
        <v>0.5</v>
      </c>
      <c r="K70" s="2394">
        <v>0.5</v>
      </c>
      <c r="L70" s="2395">
        <v>0</v>
      </c>
      <c r="N70" s="2432">
        <f t="shared" ref="N70:O73" si="182">I70/SUM(I$70:I$73)*(B$70/B$74-1)</f>
        <v>1.3391770148526898E-2</v>
      </c>
      <c r="O70" s="2433">
        <f t="shared" si="182"/>
        <v>1.063264221158958E-2</v>
      </c>
      <c r="P70" s="2433">
        <f t="shared" ref="P70:Q73" si="183">K70/SUM(K$70:K$73)*(E$70/E$74-1)</f>
        <v>2.2244466688911134E-2</v>
      </c>
      <c r="Q70" s="2433">
        <f t="shared" si="183"/>
        <v>0</v>
      </c>
      <c r="R70" s="2381"/>
      <c r="S70" s="2382"/>
      <c r="T70" s="2383"/>
      <c r="U70" s="2383"/>
      <c r="V70" s="2383"/>
      <c r="X70" s="2434"/>
      <c r="Y70" s="2434"/>
      <c r="Z70" s="2434"/>
    </row>
    <row r="71" spans="1:26">
      <c r="A71" s="2367" t="s">
        <v>1075</v>
      </c>
      <c r="B71" s="2384">
        <f t="shared" ref="B71:C73" si="184">B72+(B$70-B$74)*I71/SUM(I$70:I$73)</f>
        <v>119.51351351351352</v>
      </c>
      <c r="C71" s="2384">
        <f t="shared" si="184"/>
        <v>120.7878787878788</v>
      </c>
      <c r="D71" s="2384">
        <f t="shared" si="150"/>
        <v>120.7878787878788</v>
      </c>
      <c r="E71" s="2384">
        <f t="shared" ref="E71:F73" si="185">E72+(E$70-E$74)*K71/SUM(K$70:K$73)</f>
        <v>121.5975975975976</v>
      </c>
      <c r="F71" s="2384">
        <f t="shared" si="185"/>
        <v>107</v>
      </c>
      <c r="G71" s="3772">
        <v>2004</v>
      </c>
      <c r="H71" s="2397">
        <v>3</v>
      </c>
      <c r="I71" s="2397">
        <v>0.56000000000000005</v>
      </c>
      <c r="J71" s="2397">
        <v>0.8</v>
      </c>
      <c r="K71" s="2397">
        <v>0.83</v>
      </c>
      <c r="L71" s="2398">
        <v>0.06</v>
      </c>
      <c r="N71" s="2432">
        <f t="shared" si="182"/>
        <v>2.2725428130833527E-2</v>
      </c>
      <c r="O71" s="2433">
        <f t="shared" si="182"/>
        <v>1.7012227538543329E-2</v>
      </c>
      <c r="P71" s="2433">
        <f t="shared" si="183"/>
        <v>3.6925814703592477E-2</v>
      </c>
      <c r="Q71" s="2433">
        <f t="shared" si="183"/>
        <v>2.8846153846153744E-2</v>
      </c>
      <c r="R71" s="2381"/>
      <c r="S71" s="2385"/>
      <c r="T71" s="2354"/>
      <c r="U71" s="2354"/>
      <c r="V71" s="2354"/>
      <c r="X71" s="2434"/>
      <c r="Y71" s="2434"/>
      <c r="Z71" s="2434"/>
    </row>
    <row r="72" spans="1:26">
      <c r="A72" s="2367" t="s">
        <v>1076</v>
      </c>
      <c r="B72" s="2384">
        <f t="shared" si="184"/>
        <v>116.99099099099099</v>
      </c>
      <c r="C72" s="2384">
        <f t="shared" si="184"/>
        <v>118.84848484848486</v>
      </c>
      <c r="D72" s="2384">
        <f t="shared" si="150"/>
        <v>118.84848484848486</v>
      </c>
      <c r="E72" s="2384">
        <f t="shared" si="185"/>
        <v>117.60960960960961</v>
      </c>
      <c r="F72" s="2384">
        <f t="shared" si="185"/>
        <v>104</v>
      </c>
      <c r="G72" s="3772">
        <v>2004</v>
      </c>
      <c r="H72" s="2387">
        <v>2</v>
      </c>
      <c r="I72" s="2387">
        <v>1</v>
      </c>
      <c r="J72" s="2387">
        <v>1.5</v>
      </c>
      <c r="K72" s="2387">
        <v>1.5</v>
      </c>
      <c r="L72" s="2388">
        <v>0</v>
      </c>
      <c r="N72" s="2432">
        <f t="shared" si="182"/>
        <v>4.0581121662202721E-2</v>
      </c>
      <c r="O72" s="2433">
        <f t="shared" si="182"/>
        <v>3.1897926634768738E-2</v>
      </c>
      <c r="P72" s="2433">
        <f t="shared" si="183"/>
        <v>6.6733400066733395E-2</v>
      </c>
      <c r="Q72" s="2433">
        <f t="shared" si="183"/>
        <v>0</v>
      </c>
      <c r="R72" s="2381"/>
      <c r="S72" s="2385"/>
      <c r="T72" s="2354"/>
      <c r="U72" s="2354"/>
      <c r="V72" s="2354"/>
      <c r="X72" s="2434"/>
      <c r="Y72" s="2434"/>
      <c r="Z72" s="2434"/>
    </row>
    <row r="73" spans="1:26" s="2426" customFormat="1" ht="13.5" thickBot="1">
      <c r="A73" s="2367" t="s">
        <v>1077</v>
      </c>
      <c r="B73" s="2423">
        <f t="shared" si="184"/>
        <v>112.48648648648648</v>
      </c>
      <c r="C73" s="2423">
        <f t="shared" si="184"/>
        <v>115.21212121212122</v>
      </c>
      <c r="D73" s="2423">
        <f t="shared" si="150"/>
        <v>115.21212121212122</v>
      </c>
      <c r="E73" s="2423">
        <f t="shared" si="185"/>
        <v>110.4024024024024</v>
      </c>
      <c r="F73" s="2423">
        <f t="shared" si="185"/>
        <v>104</v>
      </c>
      <c r="G73" s="3773">
        <v>2004</v>
      </c>
      <c r="H73" s="2424">
        <v>1</v>
      </c>
      <c r="I73" s="2424">
        <v>0.33</v>
      </c>
      <c r="J73" s="2424">
        <v>0.5</v>
      </c>
      <c r="K73" s="2424">
        <v>0.5</v>
      </c>
      <c r="L73" s="2425">
        <v>0</v>
      </c>
      <c r="N73" s="2437">
        <f t="shared" si="182"/>
        <v>1.3391770148526898E-2</v>
      </c>
      <c r="O73" s="2438">
        <f t="shared" si="182"/>
        <v>1.063264221158958E-2</v>
      </c>
      <c r="P73" s="2438">
        <f t="shared" si="183"/>
        <v>2.2244466688911134E-2</v>
      </c>
      <c r="Q73" s="2438">
        <f t="shared" si="183"/>
        <v>0</v>
      </c>
      <c r="R73" s="2429"/>
      <c r="S73" s="2427">
        <f>B73/B74-1</f>
        <v>1.3391770148526883E-2</v>
      </c>
      <c r="T73" s="2428">
        <f>C73/C74-1</f>
        <v>1.063264221158966E-2</v>
      </c>
      <c r="U73" s="2428">
        <f>E73/E74-1</f>
        <v>2.2244466688911224E-2</v>
      </c>
      <c r="V73" s="2428">
        <f>F73/F74-1</f>
        <v>0</v>
      </c>
      <c r="X73" s="2439"/>
      <c r="Y73" s="2439"/>
      <c r="Z73" s="2439"/>
    </row>
    <row r="74" spans="1:26" ht="13.5" thickBot="1">
      <c r="A74" s="2367" t="s">
        <v>1078</v>
      </c>
      <c r="B74" s="2440">
        <v>111</v>
      </c>
      <c r="C74" s="2440">
        <v>114</v>
      </c>
      <c r="D74" s="2440">
        <f t="shared" si="150"/>
        <v>114</v>
      </c>
      <c r="E74" s="2440">
        <v>108</v>
      </c>
      <c r="F74" s="2441">
        <v>104</v>
      </c>
      <c r="G74" s="3771">
        <v>2003</v>
      </c>
      <c r="H74" s="2430">
        <v>4</v>
      </c>
      <c r="I74" s="2442"/>
      <c r="J74" s="2442"/>
      <c r="K74" s="2442"/>
      <c r="L74" s="2442"/>
      <c r="N74" s="2443"/>
      <c r="O74" s="2442"/>
      <c r="P74" s="2442"/>
      <c r="Q74" s="2442"/>
      <c r="S74" s="2443"/>
      <c r="T74" s="2442"/>
      <c r="U74" s="2442"/>
      <c r="V74" s="2442"/>
      <c r="X74" s="2434"/>
      <c r="Y74" s="2434"/>
      <c r="Z74" s="2434"/>
    </row>
    <row r="75" spans="1:26">
      <c r="A75" s="2367" t="s">
        <v>1079</v>
      </c>
      <c r="B75" s="2444">
        <f t="shared" ref="B75:C77" si="186">B76+(B$74-B$78)/4</f>
        <v>109.75</v>
      </c>
      <c r="C75" s="2444">
        <f t="shared" si="186"/>
        <v>112.25</v>
      </c>
      <c r="D75" s="2444">
        <f t="shared" si="150"/>
        <v>112.25</v>
      </c>
      <c r="E75" s="2444">
        <f t="shared" ref="E75:F77" si="187">E76+(E$74-E$78)/4</f>
        <v>107.25</v>
      </c>
      <c r="F75" s="2444">
        <f t="shared" si="187"/>
        <v>103.5</v>
      </c>
      <c r="G75" s="3772">
        <v>2003</v>
      </c>
      <c r="H75" s="2397">
        <v>3</v>
      </c>
      <c r="I75" s="2442"/>
      <c r="J75" s="2442"/>
      <c r="K75" s="2442"/>
      <c r="L75" s="2442"/>
      <c r="X75" s="2434"/>
      <c r="Y75" s="2434"/>
      <c r="Z75" s="2434"/>
    </row>
    <row r="76" spans="1:26">
      <c r="A76" s="2367" t="s">
        <v>1080</v>
      </c>
      <c r="B76" s="2444">
        <f t="shared" si="186"/>
        <v>108.5</v>
      </c>
      <c r="C76" s="2444">
        <f t="shared" si="186"/>
        <v>110.5</v>
      </c>
      <c r="D76" s="2444">
        <f t="shared" si="150"/>
        <v>110.5</v>
      </c>
      <c r="E76" s="2444">
        <f t="shared" si="187"/>
        <v>106.5</v>
      </c>
      <c r="F76" s="2444">
        <f t="shared" si="187"/>
        <v>103</v>
      </c>
      <c r="G76" s="3772">
        <v>2003</v>
      </c>
      <c r="H76" s="2387">
        <v>2</v>
      </c>
      <c r="I76" s="2442"/>
      <c r="J76" s="2442"/>
      <c r="K76" s="2442"/>
      <c r="L76" s="2442"/>
      <c r="X76" s="2434"/>
      <c r="Y76" s="2434"/>
      <c r="Z76" s="2434"/>
    </row>
    <row r="77" spans="1:26" ht="13.5" thickBot="1">
      <c r="A77" s="2367" t="s">
        <v>1081</v>
      </c>
      <c r="B77" s="2444">
        <f t="shared" si="186"/>
        <v>107.25</v>
      </c>
      <c r="C77" s="2444">
        <f t="shared" si="186"/>
        <v>108.75</v>
      </c>
      <c r="D77" s="2444">
        <f t="shared" si="150"/>
        <v>108.75</v>
      </c>
      <c r="E77" s="2444">
        <f t="shared" si="187"/>
        <v>105.75</v>
      </c>
      <c r="F77" s="2444">
        <f t="shared" si="187"/>
        <v>102.5</v>
      </c>
      <c r="G77" s="3773">
        <v>2003</v>
      </c>
      <c r="H77" s="2445">
        <v>1</v>
      </c>
      <c r="I77" s="2442"/>
      <c r="J77" s="2442"/>
      <c r="K77" s="2442"/>
      <c r="L77" s="2442"/>
      <c r="S77" s="2385"/>
      <c r="T77" s="2354"/>
      <c r="U77" s="2354"/>
      <c r="X77" s="2434"/>
      <c r="Y77" s="2434"/>
      <c r="Z77" s="2434"/>
    </row>
    <row r="78" spans="1:26" ht="13.5" thickBot="1">
      <c r="A78" s="2367" t="s">
        <v>1082</v>
      </c>
      <c r="B78" s="2446">
        <v>106</v>
      </c>
      <c r="C78" s="2446">
        <v>107</v>
      </c>
      <c r="D78" s="2446">
        <f t="shared" si="150"/>
        <v>107</v>
      </c>
      <c r="E78" s="2446">
        <v>105</v>
      </c>
      <c r="F78" s="2447">
        <v>102</v>
      </c>
      <c r="G78" s="3771">
        <v>2002</v>
      </c>
      <c r="H78" s="2394">
        <v>4</v>
      </c>
      <c r="I78" s="2442"/>
      <c r="J78" s="2442"/>
      <c r="K78" s="2442"/>
      <c r="L78" s="2442"/>
      <c r="N78" s="2443"/>
      <c r="O78" s="2442"/>
      <c r="P78" s="2442"/>
      <c r="Q78" s="2442"/>
      <c r="S78" s="2443"/>
      <c r="T78" s="2442"/>
      <c r="U78" s="2442"/>
      <c r="V78" s="2442"/>
      <c r="X78" s="2434"/>
      <c r="Y78" s="2434"/>
      <c r="Z78" s="2434"/>
    </row>
    <row r="79" spans="1:26">
      <c r="A79" s="2367" t="s">
        <v>1083</v>
      </c>
      <c r="B79" s="2444">
        <f t="shared" ref="B79:C81" si="188">B80+(B$78-B$82)/4</f>
        <v>105</v>
      </c>
      <c r="C79" s="2444">
        <f t="shared" si="188"/>
        <v>106</v>
      </c>
      <c r="D79" s="2444">
        <f t="shared" si="150"/>
        <v>106</v>
      </c>
      <c r="E79" s="2444">
        <f t="shared" ref="E79:F81" si="189">E80+(E$78-E$82)/4</f>
        <v>104.5</v>
      </c>
      <c r="F79" s="2444">
        <f t="shared" si="189"/>
        <v>101.5</v>
      </c>
      <c r="G79" s="3772">
        <v>2002</v>
      </c>
      <c r="H79" s="2397">
        <v>3</v>
      </c>
      <c r="I79" s="2442"/>
      <c r="J79" s="2442"/>
      <c r="K79" s="2442"/>
      <c r="L79" s="2442"/>
      <c r="X79" s="2434"/>
      <c r="Y79" s="2434"/>
      <c r="Z79" s="2434"/>
    </row>
    <row r="80" spans="1:26">
      <c r="A80" s="2367" t="s">
        <v>1084</v>
      </c>
      <c r="B80" s="2444">
        <f t="shared" si="188"/>
        <v>104</v>
      </c>
      <c r="C80" s="2444">
        <f t="shared" si="188"/>
        <v>105</v>
      </c>
      <c r="D80" s="2444">
        <f t="shared" si="150"/>
        <v>105</v>
      </c>
      <c r="E80" s="2444">
        <f t="shared" si="189"/>
        <v>104</v>
      </c>
      <c r="F80" s="2444">
        <f t="shared" si="189"/>
        <v>101</v>
      </c>
      <c r="G80" s="3772">
        <v>2002</v>
      </c>
      <c r="H80" s="2387">
        <v>2</v>
      </c>
      <c r="I80" s="2442"/>
      <c r="J80" s="2442"/>
      <c r="K80" s="2442"/>
      <c r="L80" s="2442"/>
      <c r="X80" s="2434"/>
      <c r="Y80" s="2434"/>
      <c r="Z80" s="2434"/>
    </row>
    <row r="81" spans="1:26" s="2407" customFormat="1" ht="13.5" thickBot="1">
      <c r="A81" s="2403" t="s">
        <v>1085</v>
      </c>
      <c r="B81" s="2410">
        <f t="shared" si="188"/>
        <v>103</v>
      </c>
      <c r="C81" s="2410">
        <f t="shared" si="188"/>
        <v>104</v>
      </c>
      <c r="D81" s="2410">
        <f t="shared" si="150"/>
        <v>104</v>
      </c>
      <c r="E81" s="2410">
        <f t="shared" si="189"/>
        <v>103.5</v>
      </c>
      <c r="F81" s="2410">
        <f t="shared" si="189"/>
        <v>100.5</v>
      </c>
      <c r="G81" s="3773">
        <v>2002</v>
      </c>
      <c r="H81" s="2448">
        <v>1</v>
      </c>
      <c r="I81" s="2449"/>
      <c r="J81" s="2449"/>
      <c r="K81" s="2449"/>
      <c r="L81" s="2449"/>
      <c r="N81" s="2450"/>
      <c r="S81" s="2450"/>
      <c r="X81" s="2451"/>
      <c r="Y81" s="2451"/>
      <c r="Z81" s="2451"/>
    </row>
    <row r="82" spans="1:26" ht="13.5" thickBot="1">
      <c r="B82" s="2452">
        <v>102</v>
      </c>
      <c r="C82" s="2453">
        <v>103</v>
      </c>
      <c r="D82" s="2453">
        <f t="shared" si="150"/>
        <v>103</v>
      </c>
      <c r="E82" s="2453">
        <v>103</v>
      </c>
      <c r="F82" s="2454">
        <v>100</v>
      </c>
      <c r="I82" s="2442"/>
      <c r="J82" s="2442"/>
      <c r="K82" s="2442"/>
      <c r="L82" s="2442"/>
      <c r="N82" s="2443"/>
      <c r="O82" s="2442"/>
      <c r="P82" s="2442"/>
      <c r="Q82" s="2442"/>
      <c r="S82" s="2443"/>
      <c r="T82" s="2442"/>
      <c r="U82" s="2442"/>
      <c r="V82" s="2442"/>
      <c r="X82" s="2383"/>
      <c r="Y82" s="2383"/>
      <c r="Z82" s="2383"/>
    </row>
    <row r="84" spans="1:26" s="2456" customFormat="1">
      <c r="A84" s="2455" t="s">
        <v>1086</v>
      </c>
      <c r="G84" s="2457"/>
      <c r="N84" s="2457"/>
      <c r="S84" s="2457"/>
    </row>
    <row r="85" spans="1:26" s="2456" customFormat="1">
      <c r="A85" s="2456" t="s">
        <v>1087</v>
      </c>
      <c r="G85" s="2457"/>
      <c r="N85" s="2457"/>
      <c r="S85" s="2457"/>
    </row>
    <row r="86" spans="1:26" s="2456" customFormat="1">
      <c r="A86" s="2456" t="s">
        <v>1088</v>
      </c>
      <c r="G86" s="2457"/>
      <c r="I86" s="2458"/>
      <c r="J86" s="2458"/>
      <c r="K86" s="2458"/>
      <c r="L86" s="2458"/>
      <c r="N86" s="2459"/>
      <c r="O86" s="2458"/>
      <c r="P86" s="2458"/>
      <c r="Q86" s="2458"/>
      <c r="S86" s="2459"/>
      <c r="T86" s="2458"/>
      <c r="U86" s="2458"/>
      <c r="V86" s="2458"/>
    </row>
    <row r="87" spans="1:26" s="2456" customFormat="1">
      <c r="A87" s="2456" t="s">
        <v>1089</v>
      </c>
      <c r="G87" s="2457"/>
      <c r="N87" s="2457"/>
      <c r="S87" s="2457"/>
    </row>
    <row r="94" spans="1:26" ht="13.5" thickBot="1"/>
    <row r="95" spans="1:26">
      <c r="G95" s="2353"/>
      <c r="S95" s="2460" t="s">
        <v>1090</v>
      </c>
      <c r="T95" s="2461" t="s">
        <v>1091</v>
      </c>
      <c r="U95" s="2461" t="s">
        <v>1092</v>
      </c>
      <c r="V95" s="2461" t="s">
        <v>1093</v>
      </c>
    </row>
    <row r="96" spans="1:26">
      <c r="G96" s="2353"/>
      <c r="N96" s="2382"/>
      <c r="O96" s="2383"/>
      <c r="P96" s="2383"/>
      <c r="Q96" s="2383"/>
      <c r="S96" s="2462">
        <v>2006</v>
      </c>
      <c r="T96" s="2463">
        <v>15.1</v>
      </c>
      <c r="U96" s="2463">
        <v>7.43</v>
      </c>
      <c r="V96" s="2463">
        <v>26.26</v>
      </c>
    </row>
    <row r="97" spans="7:22">
      <c r="G97" s="2353"/>
      <c r="N97" s="2382"/>
      <c r="O97" s="2383"/>
      <c r="P97" s="2383"/>
      <c r="Q97" s="2383"/>
      <c r="S97" s="2464">
        <v>2005</v>
      </c>
      <c r="T97" s="2465">
        <v>13.9</v>
      </c>
      <c r="U97" s="2465">
        <v>7.49</v>
      </c>
      <c r="V97" s="2465">
        <v>24.92</v>
      </c>
    </row>
    <row r="98" spans="7:22">
      <c r="G98" s="2353"/>
      <c r="N98" s="2382"/>
      <c r="O98" s="2383"/>
      <c r="P98" s="2383"/>
      <c r="Q98" s="2383"/>
      <c r="S98" s="2462">
        <v>2004</v>
      </c>
      <c r="T98" s="2463">
        <v>9.48</v>
      </c>
      <c r="U98" s="2463">
        <v>7.2</v>
      </c>
      <c r="V98" s="2463">
        <v>14.68</v>
      </c>
    </row>
    <row r="99" spans="7:22">
      <c r="G99" s="2353"/>
      <c r="N99" s="2382"/>
      <c r="O99" s="2383"/>
      <c r="P99" s="2383"/>
      <c r="Q99" s="2383"/>
      <c r="S99" s="2464">
        <v>2003</v>
      </c>
      <c r="T99" s="2465">
        <v>4.5</v>
      </c>
      <c r="U99" s="2465">
        <v>6.12</v>
      </c>
      <c r="V99" s="2465">
        <v>2.34</v>
      </c>
    </row>
    <row r="100" spans="7:22" ht="13.5" thickBot="1">
      <c r="G100" s="2353"/>
      <c r="N100" s="2382"/>
      <c r="O100" s="2383"/>
      <c r="P100" s="2383"/>
      <c r="Q100" s="2383"/>
      <c r="S100" s="2466">
        <v>2002</v>
      </c>
      <c r="T100" s="2467">
        <v>3.59</v>
      </c>
      <c r="U100" s="2467">
        <v>4.54</v>
      </c>
      <c r="V100" s="2467">
        <v>2.5499999999999998</v>
      </c>
    </row>
    <row r="101" spans="7:22">
      <c r="G101" s="2353"/>
      <c r="N101" s="2382"/>
      <c r="O101" s="2383"/>
      <c r="P101" s="2383"/>
      <c r="Q101" s="2383"/>
    </row>
    <row r="102" spans="7:22">
      <c r="G102" s="2353"/>
      <c r="N102" s="2382"/>
      <c r="O102" s="2383"/>
      <c r="P102" s="2383"/>
      <c r="Q102" s="2383"/>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c r="S111" s="2353"/>
    </row>
    <row r="112" spans="7:22">
      <c r="G112" s="2353"/>
      <c r="N112" s="2382"/>
      <c r="O112" s="2383"/>
      <c r="P112" s="2383"/>
      <c r="Q112" s="2383"/>
      <c r="S112" s="235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BT13"/>
  <sheetViews>
    <sheetView workbookViewId="0">
      <pane xSplit="6" ySplit="1" topLeftCell="G2" activePane="bottomRight" state="frozen"/>
      <selection pane="topRight" activeCell="G1" sqref="G1"/>
      <selection pane="bottomLeft" activeCell="A2" sqref="A2"/>
      <selection pane="bottomRight" activeCell="BI13" sqref="BI13"/>
    </sheetView>
  </sheetViews>
  <sheetFormatPr defaultRowHeight="13.5"/>
  <cols>
    <col min="1" max="1" width="0" hidden="1" customWidth="1"/>
    <col min="4" max="5" width="0" hidden="1" customWidth="1"/>
    <col min="6" max="6" width="17" customWidth="1"/>
    <col min="10" max="10" width="12.625" customWidth="1"/>
    <col min="11" max="11" width="0" hidden="1" customWidth="1"/>
    <col min="14" max="15" width="0" hidden="1" customWidth="1"/>
    <col min="19" max="19" width="0" hidden="1" customWidth="1"/>
    <col min="20" max="20" width="12.75" hidden="1" customWidth="1"/>
    <col min="22" max="22" width="14.625" customWidth="1"/>
    <col min="23" max="23" width="0" hidden="1" customWidth="1"/>
    <col min="24" max="24" width="10.375" hidden="1" customWidth="1"/>
    <col min="25" max="58" width="0" hidden="1" customWidth="1"/>
    <col min="59" max="59" width="17.125" customWidth="1"/>
  </cols>
  <sheetData>
    <row r="1" spans="1:72" ht="15" thickBot="1">
      <c r="A1" s="3173" t="s">
        <v>2751</v>
      </c>
      <c r="B1" s="3173" t="s">
        <v>2751</v>
      </c>
      <c r="C1" s="3173" t="s">
        <v>2946</v>
      </c>
      <c r="D1" s="3173" t="s">
        <v>2913</v>
      </c>
      <c r="E1" s="3173" t="s">
        <v>2914</v>
      </c>
      <c r="F1" s="3173" t="s">
        <v>2915</v>
      </c>
      <c r="G1" s="3173" t="s">
        <v>2916</v>
      </c>
      <c r="H1" s="3173" t="s">
        <v>2917</v>
      </c>
      <c r="I1" s="3173" t="s">
        <v>2918</v>
      </c>
      <c r="J1" s="3173" t="s">
        <v>2919</v>
      </c>
      <c r="K1" s="3173" t="s">
        <v>2920</v>
      </c>
      <c r="L1" s="3173" t="s">
        <v>2921</v>
      </c>
      <c r="M1" s="3173" t="s">
        <v>2922</v>
      </c>
      <c r="N1" s="3173" t="s">
        <v>2923</v>
      </c>
      <c r="O1" s="3173" t="s">
        <v>2924</v>
      </c>
      <c r="P1" s="3173" t="s">
        <v>2925</v>
      </c>
      <c r="Q1" s="3173" t="s">
        <v>2926</v>
      </c>
      <c r="R1" s="3173" t="s">
        <v>2927</v>
      </c>
      <c r="S1" s="3173" t="s">
        <v>2928</v>
      </c>
      <c r="T1" s="3173" t="s">
        <v>2929</v>
      </c>
      <c r="U1" s="3173" t="s">
        <v>2930</v>
      </c>
      <c r="V1" s="3173" t="s">
        <v>2931</v>
      </c>
    </row>
    <row r="2" spans="1:72" ht="54" customHeight="1" thickBot="1">
      <c r="B2" s="3186">
        <v>231</v>
      </c>
      <c r="C2" s="3187" t="s">
        <v>2947</v>
      </c>
      <c r="D2" s="3186" t="s">
        <v>2948</v>
      </c>
      <c r="E2" s="3186" t="s">
        <v>2949</v>
      </c>
      <c r="F2" s="3186" t="s">
        <v>2950</v>
      </c>
      <c r="G2" s="3186" t="s">
        <v>2951</v>
      </c>
      <c r="H2" s="3186" t="s">
        <v>2952</v>
      </c>
      <c r="I2" s="3186" t="s">
        <v>2953</v>
      </c>
      <c r="J2" s="3186" t="s">
        <v>2912</v>
      </c>
      <c r="K2" s="3186">
        <v>100.9</v>
      </c>
      <c r="L2" s="3186" t="s">
        <v>2884</v>
      </c>
      <c r="M2" s="3186" t="s">
        <v>2954</v>
      </c>
      <c r="N2" s="3186">
        <v>1</v>
      </c>
      <c r="O2" s="3186">
        <v>2006</v>
      </c>
      <c r="P2" s="3186" t="s">
        <v>1240</v>
      </c>
      <c r="Q2" s="3186"/>
      <c r="R2" s="3186" t="s">
        <v>1240</v>
      </c>
      <c r="S2" s="3186">
        <v>6938</v>
      </c>
      <c r="T2" s="3186">
        <v>3830</v>
      </c>
      <c r="U2" s="3186">
        <v>386447</v>
      </c>
      <c r="V2" s="3188">
        <v>39366</v>
      </c>
    </row>
    <row r="3" spans="1:72" ht="15.75">
      <c r="A3" s="3210" t="s">
        <v>2751</v>
      </c>
      <c r="B3" s="3211" t="s">
        <v>3001</v>
      </c>
      <c r="C3" s="3210" t="s">
        <v>3002</v>
      </c>
      <c r="D3" s="3210" t="s">
        <v>3003</v>
      </c>
      <c r="E3" s="3210" t="s">
        <v>3004</v>
      </c>
      <c r="F3" s="3210" t="s">
        <v>3005</v>
      </c>
      <c r="G3" s="3210" t="s">
        <v>3006</v>
      </c>
      <c r="H3" s="3210" t="s">
        <v>3007</v>
      </c>
      <c r="I3" s="3210" t="s">
        <v>3008</v>
      </c>
      <c r="J3" s="3210" t="s">
        <v>3009</v>
      </c>
      <c r="K3" s="3211" t="s">
        <v>3010</v>
      </c>
      <c r="L3" s="3212" t="s">
        <v>3011</v>
      </c>
      <c r="M3" s="3211" t="s">
        <v>3012</v>
      </c>
      <c r="N3" s="3211" t="s">
        <v>3013</v>
      </c>
      <c r="O3" s="3211" t="s">
        <v>3014</v>
      </c>
      <c r="P3" s="3211" t="s">
        <v>3015</v>
      </c>
      <c r="Q3" s="3213" t="s">
        <v>3016</v>
      </c>
      <c r="R3" s="3211" t="s">
        <v>3017</v>
      </c>
      <c r="S3" s="3211" t="s">
        <v>3018</v>
      </c>
      <c r="T3" s="3214" t="s">
        <v>3019</v>
      </c>
      <c r="U3" s="3211" t="s">
        <v>3020</v>
      </c>
      <c r="V3" s="3211" t="s">
        <v>3021</v>
      </c>
      <c r="W3" s="3211" t="s">
        <v>3022</v>
      </c>
      <c r="X3" s="3214" t="s">
        <v>2761</v>
      </c>
      <c r="Y3" s="3211" t="s">
        <v>3023</v>
      </c>
      <c r="Z3" s="3211" t="s">
        <v>3024</v>
      </c>
      <c r="AA3" s="3211" t="s">
        <v>3025</v>
      </c>
      <c r="AB3" s="3211" t="s">
        <v>3026</v>
      </c>
      <c r="AC3" s="3211" t="s">
        <v>3027</v>
      </c>
      <c r="AD3" s="3215" t="s">
        <v>3028</v>
      </c>
      <c r="AE3" s="3210" t="s">
        <v>3029</v>
      </c>
      <c r="AF3" s="3211" t="s">
        <v>3030</v>
      </c>
      <c r="AG3" s="3211" t="s">
        <v>3031</v>
      </c>
      <c r="AH3" s="3211" t="s">
        <v>3032</v>
      </c>
      <c r="AI3" s="3211" t="s">
        <v>3033</v>
      </c>
      <c r="AJ3" s="3216" t="s">
        <v>3034</v>
      </c>
      <c r="AK3" s="3211" t="s">
        <v>3035</v>
      </c>
      <c r="AL3" s="3215" t="s">
        <v>3036</v>
      </c>
      <c r="AM3" s="3215" t="s">
        <v>3037</v>
      </c>
      <c r="AN3" s="3211" t="s">
        <v>3038</v>
      </c>
      <c r="AO3" s="3211" t="s">
        <v>3039</v>
      </c>
      <c r="AP3" s="3211" t="s">
        <v>3040</v>
      </c>
      <c r="AQ3" s="3211" t="s">
        <v>3041</v>
      </c>
      <c r="AR3" s="3217" t="s">
        <v>3042</v>
      </c>
      <c r="AS3" s="3217" t="s">
        <v>3024</v>
      </c>
      <c r="AT3" s="3217" t="s">
        <v>3025</v>
      </c>
      <c r="AU3" s="3217" t="s">
        <v>3043</v>
      </c>
      <c r="AV3" s="3215" t="s">
        <v>3044</v>
      </c>
      <c r="AW3" s="3218" t="s">
        <v>3045</v>
      </c>
      <c r="AX3" s="3219" t="s">
        <v>3046</v>
      </c>
      <c r="AY3" s="3220" t="s">
        <v>3047</v>
      </c>
      <c r="AZ3" s="3218" t="s">
        <v>3048</v>
      </c>
      <c r="BA3" s="3218" t="s">
        <v>3049</v>
      </c>
      <c r="BB3" s="3220" t="s">
        <v>3050</v>
      </c>
      <c r="BC3" s="3218" t="s">
        <v>3051</v>
      </c>
      <c r="BD3" s="3221" t="s">
        <v>3052</v>
      </c>
      <c r="BE3" s="3218" t="s">
        <v>3003</v>
      </c>
      <c r="BF3" s="3222" t="s">
        <v>3053</v>
      </c>
      <c r="BG3" s="3223" t="s">
        <v>3054</v>
      </c>
      <c r="BH3" s="3223" t="s">
        <v>3055</v>
      </c>
      <c r="BI3" s="3223" t="s">
        <v>3056</v>
      </c>
      <c r="BJ3" s="3224" t="s">
        <v>3057</v>
      </c>
      <c r="BK3" s="3225" t="s">
        <v>3058</v>
      </c>
      <c r="BL3" s="3217" t="s">
        <v>3059</v>
      </c>
      <c r="BM3" s="3226" t="s">
        <v>3060</v>
      </c>
      <c r="BN3" s="3226" t="s">
        <v>3061</v>
      </c>
      <c r="BO3" s="3226" t="s">
        <v>3062</v>
      </c>
      <c r="BP3" s="3226"/>
      <c r="BQ3" s="3217" t="s">
        <v>3063</v>
      </c>
      <c r="BR3" s="3217" t="s">
        <v>3064</v>
      </c>
      <c r="BS3" s="3227"/>
      <c r="BT3" s="3227"/>
    </row>
    <row r="4" spans="1:72" s="1234" customFormat="1" ht="14.25">
      <c r="A4" s="3185" t="s">
        <v>2955</v>
      </c>
      <c r="B4" s="3185" t="s">
        <v>2956</v>
      </c>
      <c r="C4" s="3189" t="s">
        <v>2957</v>
      </c>
      <c r="D4" s="3189" t="s">
        <v>2958</v>
      </c>
      <c r="E4" s="3185" t="s">
        <v>635</v>
      </c>
      <c r="F4" s="3190" t="s">
        <v>2959</v>
      </c>
      <c r="G4" s="3185"/>
      <c r="H4" s="3185" t="s">
        <v>2960</v>
      </c>
      <c r="I4" s="3185"/>
      <c r="J4" s="3189" t="s">
        <v>2961</v>
      </c>
      <c r="K4" s="3185"/>
      <c r="L4" s="3191">
        <v>98.74</v>
      </c>
      <c r="M4" s="3184">
        <v>17</v>
      </c>
      <c r="N4" s="3185" t="s">
        <v>2962</v>
      </c>
      <c r="O4" s="3185"/>
      <c r="P4" s="3185" t="s">
        <v>2963</v>
      </c>
      <c r="Q4" s="3192">
        <v>387061</v>
      </c>
      <c r="R4" s="3185">
        <v>3920</v>
      </c>
      <c r="S4" s="3193">
        <v>38.700000000000003</v>
      </c>
      <c r="T4" s="3194">
        <v>387000</v>
      </c>
      <c r="U4" s="3185">
        <v>3920</v>
      </c>
      <c r="V4" s="1089">
        <v>0.3</v>
      </c>
      <c r="W4" s="3193">
        <v>27.09</v>
      </c>
      <c r="X4" s="3195">
        <v>270900</v>
      </c>
      <c r="Y4" s="3185">
        <v>2007</v>
      </c>
      <c r="Z4" s="3196">
        <v>4</v>
      </c>
      <c r="AA4" s="3196">
        <v>25</v>
      </c>
      <c r="AB4" s="3185">
        <v>1160</v>
      </c>
      <c r="AC4" s="3185" t="s">
        <v>2964</v>
      </c>
      <c r="AD4" s="3185">
        <v>91302007040420</v>
      </c>
      <c r="AE4" s="1088" t="s">
        <v>2965</v>
      </c>
      <c r="AF4" s="3185" t="s">
        <v>2966</v>
      </c>
      <c r="AG4" s="3185" t="s">
        <v>2967</v>
      </c>
      <c r="AH4" s="3185" t="s">
        <v>2968</v>
      </c>
      <c r="AI4" s="3184" t="s">
        <v>2969</v>
      </c>
      <c r="AJ4" s="3197"/>
      <c r="AK4" s="3198">
        <v>4</v>
      </c>
      <c r="AL4" s="3196">
        <v>59</v>
      </c>
      <c r="AM4" s="3185"/>
      <c r="AN4" s="3184" t="s">
        <v>2970</v>
      </c>
      <c r="AO4" s="3196" t="s">
        <v>2971</v>
      </c>
      <c r="AP4" s="3185" t="s">
        <v>2965</v>
      </c>
      <c r="AQ4" s="3196" t="s">
        <v>2972</v>
      </c>
      <c r="AR4" s="3196" t="s">
        <v>2815</v>
      </c>
      <c r="AS4" s="3196" t="s">
        <v>2815</v>
      </c>
      <c r="AT4" s="3196" t="s">
        <v>2815</v>
      </c>
      <c r="AU4" s="3196"/>
      <c r="AV4" s="3196" t="s">
        <v>2968</v>
      </c>
      <c r="AW4" s="3196" t="s">
        <v>2973</v>
      </c>
      <c r="AX4" s="3196"/>
      <c r="AY4" s="3199"/>
      <c r="AZ4" s="3185" t="s">
        <v>2974</v>
      </c>
      <c r="BA4" s="3196"/>
      <c r="BB4" s="3199"/>
      <c r="BC4" s="3196"/>
      <c r="BD4" s="3200"/>
      <c r="BE4" s="3196"/>
      <c r="BF4" s="3201"/>
      <c r="BG4" s="3202">
        <v>39191</v>
      </c>
      <c r="BH4" s="3196"/>
      <c r="BI4" s="3203" t="s">
        <v>2965</v>
      </c>
      <c r="BJ4" s="3204">
        <v>39192</v>
      </c>
      <c r="BK4" s="3205"/>
      <c r="BL4" s="3185" t="s">
        <v>2975</v>
      </c>
      <c r="BM4" s="3185" t="s">
        <v>2976</v>
      </c>
      <c r="BN4" s="3185" t="s">
        <v>2977</v>
      </c>
      <c r="BO4" s="3185" t="s">
        <v>2978</v>
      </c>
      <c r="BP4" s="3196"/>
      <c r="BQ4" s="3196" t="e">
        <v>#DIV/0!</v>
      </c>
      <c r="BR4" s="3196" t="e">
        <v>#DIV/0!</v>
      </c>
      <c r="BS4" s="3206" t="s">
        <v>2979</v>
      </c>
      <c r="BT4" s="3206" t="s">
        <v>2980</v>
      </c>
    </row>
    <row r="5" spans="1:72" s="1234" customFormat="1">
      <c r="A5" s="3185" t="s">
        <v>2981</v>
      </c>
      <c r="B5" s="3185" t="s">
        <v>2982</v>
      </c>
      <c r="C5" s="3185" t="s">
        <v>2983</v>
      </c>
      <c r="D5" s="3185" t="s">
        <v>2984</v>
      </c>
      <c r="E5" s="3185" t="s">
        <v>2985</v>
      </c>
      <c r="F5" s="3185" t="s">
        <v>2986</v>
      </c>
      <c r="G5" s="3185"/>
      <c r="H5" s="3185"/>
      <c r="I5" s="3185"/>
      <c r="J5" s="3185" t="s">
        <v>2987</v>
      </c>
      <c r="K5" s="3185" t="s">
        <v>2988</v>
      </c>
      <c r="L5" s="3191">
        <v>114.03</v>
      </c>
      <c r="M5" s="3184">
        <v>3</v>
      </c>
      <c r="N5" s="3185" t="s">
        <v>2989</v>
      </c>
      <c r="O5" s="3185"/>
      <c r="P5" s="3185" t="s">
        <v>2963</v>
      </c>
      <c r="Q5" s="3192">
        <v>429893</v>
      </c>
      <c r="R5" s="3185">
        <v>3770</v>
      </c>
      <c r="S5" s="3193">
        <v>42.98</v>
      </c>
      <c r="T5" s="3194">
        <v>429799.99999999994</v>
      </c>
      <c r="U5" s="3185">
        <v>3770</v>
      </c>
      <c r="V5" s="1089">
        <v>0.3</v>
      </c>
      <c r="W5" s="3193">
        <v>30.08</v>
      </c>
      <c r="X5" s="3195">
        <v>300800</v>
      </c>
      <c r="Y5" s="3185">
        <v>2007</v>
      </c>
      <c r="Z5" s="3185">
        <v>7</v>
      </c>
      <c r="AA5" s="3185">
        <v>24</v>
      </c>
      <c r="AB5" s="3185">
        <v>1285</v>
      </c>
      <c r="AC5" s="3185" t="s">
        <v>2980</v>
      </c>
      <c r="AD5" s="3185" t="s">
        <v>2990</v>
      </c>
      <c r="AE5" s="3185" t="s">
        <v>2991</v>
      </c>
      <c r="AF5" s="3185" t="s">
        <v>2966</v>
      </c>
      <c r="AG5" s="3185" t="s">
        <v>2967</v>
      </c>
      <c r="AH5" s="3185"/>
      <c r="AI5" s="3185" t="s">
        <v>2992</v>
      </c>
      <c r="AJ5" s="3185"/>
      <c r="AK5" s="3185" t="s">
        <v>2993</v>
      </c>
      <c r="AL5" s="3185">
        <v>59</v>
      </c>
      <c r="AM5" s="3185"/>
      <c r="AN5" s="3185" t="s">
        <v>2994</v>
      </c>
      <c r="AO5" s="3185" t="s">
        <v>2968</v>
      </c>
      <c r="AP5" s="3185" t="s">
        <v>2995</v>
      </c>
      <c r="AQ5" s="3185" t="s">
        <v>2996</v>
      </c>
      <c r="AR5" s="3185"/>
      <c r="AS5" s="3185"/>
      <c r="AT5" s="3185"/>
      <c r="AU5" s="3185"/>
      <c r="AV5" s="3185"/>
      <c r="AW5" s="3185" t="s">
        <v>2997</v>
      </c>
      <c r="AX5" s="3185"/>
      <c r="AY5" s="3189"/>
      <c r="AZ5" s="3185" t="s">
        <v>2988</v>
      </c>
      <c r="BA5" s="3185" t="s">
        <v>2968</v>
      </c>
      <c r="BB5" s="3189"/>
      <c r="BC5" s="3185"/>
      <c r="BD5" s="3207"/>
      <c r="BE5" s="3185"/>
      <c r="BF5" s="3208"/>
      <c r="BG5" s="3197">
        <v>39287</v>
      </c>
      <c r="BH5" s="3185"/>
      <c r="BI5" s="3185" t="s">
        <v>2991</v>
      </c>
      <c r="BJ5" s="3209">
        <v>39287</v>
      </c>
      <c r="BK5" s="3209"/>
      <c r="BL5" s="3185" t="s">
        <v>2998</v>
      </c>
      <c r="BM5" s="3185" t="s">
        <v>2879</v>
      </c>
      <c r="BN5" s="3185" t="s">
        <v>2999</v>
      </c>
      <c r="BO5" s="3185" t="s">
        <v>3000</v>
      </c>
      <c r="BP5" s="3185"/>
      <c r="BQ5" s="3196" t="e">
        <v>#DIV/0!</v>
      </c>
      <c r="BR5" s="3196" t="e">
        <v>#DIV/0!</v>
      </c>
      <c r="BS5" s="3206" t="s">
        <v>2991</v>
      </c>
      <c r="BT5" s="3206" t="s">
        <v>2980</v>
      </c>
    </row>
    <row r="6" spans="1:72" s="1234" customFormat="1">
      <c r="A6" s="3185" t="s">
        <v>3065</v>
      </c>
      <c r="B6" s="3185" t="s">
        <v>3070</v>
      </c>
      <c r="C6" s="3189" t="s">
        <v>3071</v>
      </c>
      <c r="D6" s="3190">
        <v>13601244363</v>
      </c>
      <c r="E6" s="3185" t="s">
        <v>635</v>
      </c>
      <c r="F6" s="3185" t="s">
        <v>3085</v>
      </c>
      <c r="G6" s="3185"/>
      <c r="H6" s="3185" t="s">
        <v>3066</v>
      </c>
      <c r="I6" s="3185"/>
      <c r="J6" s="3185" t="s">
        <v>3072</v>
      </c>
      <c r="K6" s="3185" t="s">
        <v>3073</v>
      </c>
      <c r="L6" s="3191">
        <v>87.77</v>
      </c>
      <c r="M6" s="3184">
        <v>1</v>
      </c>
      <c r="N6" s="3185" t="s">
        <v>3074</v>
      </c>
      <c r="O6" s="3185">
        <v>78.69</v>
      </c>
      <c r="P6" s="3185" t="s">
        <v>3075</v>
      </c>
      <c r="Q6" s="3192">
        <v>351080</v>
      </c>
      <c r="R6" s="3185">
        <v>4000</v>
      </c>
      <c r="S6" s="3193">
        <v>35.1</v>
      </c>
      <c r="T6" s="3194">
        <v>351000</v>
      </c>
      <c r="U6" s="3185">
        <v>4000</v>
      </c>
      <c r="V6" s="1089">
        <v>0.2</v>
      </c>
      <c r="W6" s="3193">
        <v>28.08</v>
      </c>
      <c r="X6" s="3195">
        <v>280800</v>
      </c>
      <c r="Y6" s="3185">
        <v>2007</v>
      </c>
      <c r="Z6" s="3185">
        <v>1</v>
      </c>
      <c r="AA6" s="3185">
        <v>29</v>
      </c>
      <c r="AB6" s="3185">
        <v>1050</v>
      </c>
      <c r="AC6" s="3185" t="s">
        <v>2964</v>
      </c>
      <c r="AD6" s="3228" t="s">
        <v>3076</v>
      </c>
      <c r="AE6" s="1088" t="s">
        <v>3077</v>
      </c>
      <c r="AF6" s="3185" t="s">
        <v>3078</v>
      </c>
      <c r="AG6" s="3185" t="s">
        <v>3079</v>
      </c>
      <c r="AH6" s="3185"/>
      <c r="AI6" s="3184" t="s">
        <v>2969</v>
      </c>
      <c r="AJ6" s="3185"/>
      <c r="AK6" s="3185" t="s">
        <v>3080</v>
      </c>
      <c r="AL6" s="3185" t="s">
        <v>3081</v>
      </c>
      <c r="AM6" s="3185"/>
      <c r="AN6" s="3185" t="s">
        <v>3082</v>
      </c>
      <c r="AO6" s="3185" t="s">
        <v>2968</v>
      </c>
      <c r="AP6" s="3184" t="s">
        <v>3077</v>
      </c>
      <c r="AQ6" s="3185" t="s">
        <v>3083</v>
      </c>
      <c r="AR6" s="3185">
        <v>2007</v>
      </c>
      <c r="AS6" s="3185">
        <v>1</v>
      </c>
      <c r="AT6" s="3185">
        <v>29</v>
      </c>
      <c r="AU6" s="3185"/>
      <c r="AV6" s="3185"/>
      <c r="AW6" s="3185" t="s">
        <v>2973</v>
      </c>
      <c r="AX6" s="3185"/>
      <c r="AY6" s="3185"/>
      <c r="AZ6" s="3185" t="s">
        <v>3073</v>
      </c>
      <c r="BA6" s="3185"/>
      <c r="BB6" s="3185"/>
      <c r="BC6" s="3185"/>
      <c r="BD6" s="3185"/>
      <c r="BE6" s="3185"/>
      <c r="BF6" s="3185"/>
      <c r="BG6" s="3197">
        <v>39080</v>
      </c>
      <c r="BH6" s="3185"/>
      <c r="BI6" s="3185" t="s">
        <v>3077</v>
      </c>
      <c r="BJ6" s="3197">
        <v>39091</v>
      </c>
      <c r="BK6" s="3185"/>
      <c r="BL6" s="3185" t="s">
        <v>2998</v>
      </c>
      <c r="BM6" s="3185" t="s">
        <v>2879</v>
      </c>
      <c r="BN6" s="3185" t="s">
        <v>3067</v>
      </c>
      <c r="BO6" s="3185" t="s">
        <v>3068</v>
      </c>
      <c r="BP6" s="3185"/>
      <c r="BQ6" s="3196">
        <v>4461</v>
      </c>
      <c r="BR6" s="3196">
        <v>4462</v>
      </c>
      <c r="BS6" s="3206" t="s">
        <v>3069</v>
      </c>
      <c r="BT6" s="3206" t="s">
        <v>2980</v>
      </c>
    </row>
    <row r="8" spans="1:72">
      <c r="V8" s="3230" t="s">
        <v>2936</v>
      </c>
    </row>
    <row r="9" spans="1:72">
      <c r="V9" s="3230" t="s">
        <v>3084</v>
      </c>
    </row>
    <row r="13" spans="1:72" ht="14.25">
      <c r="BJ13" s="3229" t="s">
        <v>3086</v>
      </c>
    </row>
  </sheetData>
  <phoneticPr fontId="14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IW68"/>
  <sheetViews>
    <sheetView workbookViewId="0">
      <selection activeCell="F27" sqref="F27"/>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39004</v>
      </c>
      <c r="D1" s="1293" t="s">
        <v>1173</v>
      </c>
      <c r="E1" s="1299">
        <f>'数据-取费表'!B24</f>
        <v>1</v>
      </c>
      <c r="F1" s="1293" t="s">
        <v>1174</v>
      </c>
      <c r="G1" s="1300">
        <f ca="1">INDIRECT("d"&amp;$K$1)/100</f>
        <v>6.1200000000000004E-2</v>
      </c>
      <c r="H1" s="1293" t="s">
        <v>1204</v>
      </c>
      <c r="I1" s="1300">
        <f ca="1">F4/100</f>
        <v>2.52E-2</v>
      </c>
      <c r="J1" s="1294">
        <f>IF(C1&gt;C13,0,MATCH(C1,C$13:C$105,-1))+IF(SUMIF(C13:C105,C1,D13:D105)=0,13,12)</f>
        <v>43</v>
      </c>
      <c r="K1" s="1294">
        <f ca="1">MATCH(E1,C3:C7,1)+IF(SUMIF(C3:C7,E1,D3:D7)=0,2,1)</f>
        <v>4</v>
      </c>
      <c r="L1" s="1294">
        <f>IF(C1&gt;M13,0,MATCH(C1,M$13:M$101,-1))+IF(SUMIF(M13:M101,C1,N13:N101)=0,13,12)</f>
        <v>38</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5.58</v>
      </c>
      <c r="E3" s="1241">
        <v>0.5</v>
      </c>
      <c r="F3" s="1242">
        <f ca="1">INDIRECT("p"&amp;$L$1)</f>
        <v>2.25</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6.12</v>
      </c>
      <c r="E4" s="1247">
        <v>1</v>
      </c>
      <c r="F4" s="1248">
        <f ca="1">INDIRECT("q"&amp;$L$1)</f>
        <v>2.52</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6.3</v>
      </c>
      <c r="E5" s="1247">
        <v>2</v>
      </c>
      <c r="F5" s="1248">
        <f ca="1">INDIRECT("r"&amp;$L$1)</f>
        <v>3.06</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6.48</v>
      </c>
      <c r="E6" s="1247">
        <v>3</v>
      </c>
      <c r="F6" s="1248">
        <f ca="1">INDIRECT("s"&amp;$L$1)</f>
        <v>3.69</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6.84</v>
      </c>
      <c r="E7" s="1252">
        <v>5</v>
      </c>
      <c r="F7" s="1253">
        <f ca="1">INDIRECT("t"&amp;$L$1)</f>
        <v>4.1399999999999997</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0" customFormat="1" ht="14.25">
      <c r="A17" s="3147"/>
      <c r="B17" s="1280" t="s">
        <v>2883</v>
      </c>
      <c r="C17" s="1289">
        <v>43697</v>
      </c>
      <c r="D17" s="3148">
        <v>4.25</v>
      </c>
      <c r="E17" s="3148">
        <f>D17</f>
        <v>4.25</v>
      </c>
      <c r="F17" s="3148">
        <f>D17</f>
        <v>4.25</v>
      </c>
      <c r="G17" s="3148">
        <f>D17</f>
        <v>4.25</v>
      </c>
      <c r="H17" s="3148">
        <v>4.8499999999999996</v>
      </c>
      <c r="I17" s="3148"/>
      <c r="J17" s="3148"/>
      <c r="K17" s="3147"/>
      <c r="L17" s="1286"/>
      <c r="M17" s="1287">
        <v>42135</v>
      </c>
      <c r="N17" s="1286">
        <v>0.35</v>
      </c>
      <c r="O17" s="1286">
        <v>1.85</v>
      </c>
      <c r="P17" s="1286">
        <v>2.0499999999999998</v>
      </c>
      <c r="Q17" s="1286">
        <v>2.25</v>
      </c>
      <c r="R17" s="1286">
        <v>2.85</v>
      </c>
      <c r="S17" s="1286">
        <v>3.5</v>
      </c>
      <c r="T17" s="1286"/>
      <c r="U17" s="1286"/>
      <c r="V17" s="1286"/>
      <c r="W17" s="1286"/>
      <c r="X17" s="1286"/>
      <c r="Y17" s="1286"/>
      <c r="Z17" s="1286"/>
      <c r="AA17" s="3149"/>
      <c r="AB17" s="3149"/>
      <c r="AC17" s="3149"/>
      <c r="AD17" s="3149"/>
      <c r="AE17" s="3149"/>
      <c r="AF17" s="3149"/>
      <c r="AG17" s="3149"/>
      <c r="AH17" s="3149"/>
      <c r="AI17" s="3149"/>
      <c r="AJ17" s="3149"/>
      <c r="AK17" s="3149"/>
      <c r="AL17" s="3149"/>
      <c r="AM17" s="3149"/>
      <c r="AN17" s="3149"/>
      <c r="AO17" s="3149"/>
      <c r="AP17" s="3149"/>
      <c r="AQ17" s="3149"/>
      <c r="AR17" s="3149"/>
      <c r="AS17" s="3149"/>
      <c r="AT17" s="3149"/>
      <c r="AU17" s="3149"/>
      <c r="AV17" s="3149"/>
      <c r="AW17" s="3149"/>
      <c r="AX17" s="3149"/>
      <c r="AY17" s="3149"/>
      <c r="AZ17" s="3149"/>
      <c r="BA17" s="3149"/>
      <c r="BB17" s="3149"/>
      <c r="BC17" s="3149"/>
      <c r="BD17" s="3149"/>
      <c r="BE17" s="3149"/>
      <c r="BF17" s="3149"/>
      <c r="BG17" s="3149"/>
      <c r="BH17" s="3149"/>
      <c r="BI17" s="3149"/>
      <c r="BJ17" s="3149"/>
      <c r="BK17" s="3149"/>
      <c r="BL17" s="3149"/>
      <c r="BM17" s="3149"/>
      <c r="BN17" s="3149"/>
      <c r="BO17" s="3149"/>
      <c r="BP17" s="3149"/>
      <c r="BQ17" s="3149"/>
      <c r="BR17" s="3149"/>
      <c r="BS17" s="3149"/>
      <c r="BT17" s="3149"/>
      <c r="BU17" s="3149"/>
      <c r="BV17" s="3149"/>
      <c r="BW17" s="3149"/>
      <c r="BX17" s="3149"/>
      <c r="BY17" s="3149"/>
      <c r="BZ17" s="3149"/>
      <c r="CA17" s="3149"/>
      <c r="CB17" s="3149"/>
      <c r="CC17" s="3149"/>
      <c r="CD17" s="3149"/>
      <c r="CE17" s="3149"/>
      <c r="CF17" s="3149"/>
      <c r="CG17" s="3149"/>
      <c r="CH17" s="3149"/>
      <c r="CI17" s="3149"/>
      <c r="CJ17" s="3149"/>
      <c r="CK17" s="3149"/>
      <c r="CL17" s="3149"/>
      <c r="CM17" s="3149"/>
      <c r="CN17" s="3149"/>
      <c r="CO17" s="3149"/>
      <c r="CP17" s="3149"/>
      <c r="CQ17" s="3149"/>
      <c r="CR17" s="3149"/>
      <c r="CS17" s="3149"/>
      <c r="CT17" s="3149"/>
      <c r="CU17" s="3149"/>
      <c r="CV17" s="3149"/>
      <c r="CW17" s="3149"/>
      <c r="CX17" s="3149"/>
      <c r="CY17" s="3149"/>
      <c r="CZ17" s="3149"/>
      <c r="DA17" s="3149"/>
      <c r="DB17" s="3149"/>
      <c r="DC17" s="3149"/>
      <c r="DD17" s="3149"/>
      <c r="DE17" s="3149"/>
      <c r="DF17" s="3149"/>
      <c r="DG17" s="3149"/>
      <c r="DH17" s="3149"/>
      <c r="DI17" s="3149"/>
      <c r="DJ17" s="3149"/>
      <c r="DK17" s="3149"/>
      <c r="DL17" s="3149"/>
      <c r="DM17" s="3149"/>
      <c r="DN17" s="3149"/>
      <c r="DO17" s="3149"/>
      <c r="DP17" s="3149"/>
      <c r="DQ17" s="3149"/>
      <c r="DR17" s="3149"/>
      <c r="DS17" s="3149"/>
      <c r="DT17" s="3149"/>
      <c r="DU17" s="3149"/>
      <c r="DV17" s="3149"/>
      <c r="DW17" s="3149"/>
      <c r="DX17" s="3149"/>
      <c r="DY17" s="3149"/>
      <c r="DZ17" s="3149"/>
      <c r="EA17" s="3149"/>
      <c r="EB17" s="3149"/>
      <c r="EC17" s="3149"/>
      <c r="ED17" s="3149"/>
      <c r="EE17" s="3149"/>
      <c r="EF17" s="3149"/>
      <c r="EG17" s="3149"/>
      <c r="EH17" s="3149"/>
      <c r="EI17" s="3149"/>
      <c r="EJ17" s="3149"/>
      <c r="EK17" s="3149"/>
      <c r="EL17" s="3149"/>
      <c r="EM17" s="3149"/>
      <c r="EN17" s="3149"/>
      <c r="EO17" s="3149"/>
      <c r="EP17" s="3149"/>
      <c r="EQ17" s="3149"/>
      <c r="ER17" s="3149"/>
      <c r="ES17" s="3149"/>
      <c r="ET17" s="3149"/>
      <c r="EU17" s="3149"/>
      <c r="EV17" s="3149"/>
      <c r="EW17" s="3149"/>
      <c r="EX17" s="3149"/>
      <c r="EY17" s="3149"/>
      <c r="EZ17" s="3149"/>
      <c r="FA17" s="3149"/>
      <c r="FB17" s="3149"/>
      <c r="FC17" s="3149"/>
      <c r="FD17" s="3149"/>
      <c r="FE17" s="3149"/>
      <c r="FF17" s="3149"/>
      <c r="FG17" s="3149"/>
      <c r="FH17" s="3149"/>
      <c r="FI17" s="3149"/>
      <c r="FJ17" s="3149"/>
      <c r="FK17" s="3149"/>
      <c r="FL17" s="3149"/>
      <c r="FM17" s="3149"/>
      <c r="FN17" s="3149"/>
      <c r="FO17" s="3149"/>
      <c r="FP17" s="3149"/>
      <c r="FQ17" s="3149"/>
      <c r="FR17" s="3149"/>
      <c r="FS17" s="3149"/>
      <c r="FT17" s="3149"/>
      <c r="FU17" s="3149"/>
      <c r="FV17" s="3149"/>
      <c r="FW17" s="3149"/>
      <c r="FX17" s="3149"/>
      <c r="FY17" s="3149"/>
      <c r="FZ17" s="3149"/>
      <c r="GA17" s="3149"/>
      <c r="GB17" s="3149"/>
      <c r="GC17" s="3149"/>
      <c r="GD17" s="3149"/>
      <c r="GE17" s="3149"/>
      <c r="GF17" s="3149"/>
      <c r="GG17" s="3149"/>
      <c r="GH17" s="3149"/>
      <c r="GI17" s="3149"/>
      <c r="GJ17" s="3149"/>
      <c r="GK17" s="3149"/>
      <c r="GL17" s="3149"/>
      <c r="GM17" s="3149"/>
      <c r="GN17" s="3149"/>
      <c r="GO17" s="3149"/>
      <c r="GP17" s="3149"/>
      <c r="GQ17" s="3149"/>
      <c r="GR17" s="3149"/>
      <c r="GS17" s="3149"/>
      <c r="GT17" s="3149"/>
      <c r="GU17" s="3149"/>
      <c r="GV17" s="3149"/>
      <c r="GW17" s="3149"/>
      <c r="GX17" s="3149"/>
      <c r="GY17" s="3149"/>
      <c r="GZ17" s="3149"/>
      <c r="HA17" s="3149"/>
      <c r="HB17" s="3149"/>
      <c r="HC17" s="3149"/>
      <c r="HD17" s="3149"/>
      <c r="HE17" s="3149"/>
      <c r="HF17" s="3149"/>
      <c r="HG17" s="3149"/>
      <c r="HH17" s="3149"/>
      <c r="HI17" s="3149"/>
      <c r="HJ17" s="3149"/>
      <c r="HK17" s="3149"/>
      <c r="HL17" s="3149"/>
      <c r="HM17" s="3149"/>
      <c r="HN17" s="3149"/>
      <c r="HO17" s="3149"/>
      <c r="HP17" s="3149"/>
      <c r="HQ17" s="3149"/>
      <c r="HR17" s="3149"/>
      <c r="HS17" s="3149"/>
      <c r="HT17" s="3149"/>
      <c r="HU17" s="3149"/>
      <c r="HV17" s="3149"/>
      <c r="HW17" s="3149"/>
      <c r="HX17" s="3149"/>
      <c r="HY17" s="3149"/>
      <c r="HZ17" s="3149"/>
      <c r="IA17" s="3149"/>
      <c r="IB17" s="3149"/>
      <c r="IC17" s="3149"/>
      <c r="ID17" s="3149"/>
      <c r="IE17" s="3149"/>
      <c r="IF17" s="3149"/>
      <c r="IG17" s="3149"/>
      <c r="IH17" s="3149"/>
      <c r="II17" s="3149"/>
      <c r="IJ17" s="3149"/>
      <c r="IK17" s="3149"/>
      <c r="IL17" s="3149"/>
      <c r="IM17" s="3149"/>
      <c r="IN17" s="3149"/>
      <c r="IO17" s="3149"/>
      <c r="IP17" s="3149"/>
      <c r="IQ17" s="3149"/>
      <c r="IR17" s="3149"/>
      <c r="IS17" s="3149"/>
      <c r="IT17" s="3149"/>
      <c r="IU17" s="3149"/>
      <c r="IV17" s="3149"/>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E1CCB-AC41-4932-A6CD-88D60BC25081}">
  <sheetPr filterMode="1"/>
  <dimension ref="A1:XFD983"/>
  <sheetViews>
    <sheetView topLeftCell="F1" workbookViewId="0">
      <pane xSplit="6" ySplit="2" topLeftCell="L481" activePane="bottomRight" state="frozen"/>
      <selection activeCell="F1" sqref="F1"/>
      <selection pane="topRight" activeCell="L1" sqref="L1"/>
      <selection pane="bottomLeft" activeCell="F3" sqref="F3"/>
      <selection pane="bottomRight" activeCell="Q1" sqref="O1:Q1048576"/>
    </sheetView>
  </sheetViews>
  <sheetFormatPr defaultRowHeight="13.5"/>
  <cols>
    <col min="1" max="5" width="0" hidden="1" customWidth="1"/>
    <col min="6" max="6" width="17" customWidth="1"/>
    <col min="7" max="11" width="9" hidden="1" customWidth="1"/>
    <col min="15" max="17" width="9" hidden="1" customWidth="1"/>
    <col min="18" max="18" width="11.125" customWidth="1"/>
    <col min="19" max="58" width="0" hidden="1" customWidth="1"/>
    <col min="59" max="59" width="15.75" customWidth="1"/>
    <col min="60" max="63" width="0" hidden="1" customWidth="1"/>
    <col min="258" max="261" width="0" hidden="1" customWidth="1"/>
    <col min="263" max="267" width="0" hidden="1" customWidth="1"/>
    <col min="271" max="273" width="0" hidden="1" customWidth="1"/>
    <col min="274" max="274" width="11.125" customWidth="1"/>
    <col min="275" max="280" width="0" hidden="1" customWidth="1"/>
    <col min="514" max="517" width="0" hidden="1" customWidth="1"/>
    <col min="519" max="523" width="0" hidden="1" customWidth="1"/>
    <col min="527" max="529" width="0" hidden="1" customWidth="1"/>
    <col min="530" max="530" width="11.125" customWidth="1"/>
    <col min="531" max="536" width="0" hidden="1" customWidth="1"/>
    <col min="770" max="773" width="0" hidden="1" customWidth="1"/>
    <col min="775" max="779" width="0" hidden="1" customWidth="1"/>
    <col min="783" max="785" width="0" hidden="1" customWidth="1"/>
    <col min="786" max="786" width="11.125" customWidth="1"/>
    <col min="787" max="792" width="0" hidden="1" customWidth="1"/>
    <col min="1026" max="1029" width="0" hidden="1" customWidth="1"/>
    <col min="1031" max="1035" width="0" hidden="1" customWidth="1"/>
    <col min="1039" max="1041" width="0" hidden="1" customWidth="1"/>
    <col min="1042" max="1042" width="11.125" customWidth="1"/>
    <col min="1043" max="1048" width="0" hidden="1" customWidth="1"/>
    <col min="1282" max="1285" width="0" hidden="1" customWidth="1"/>
    <col min="1287" max="1291" width="0" hidden="1" customWidth="1"/>
    <col min="1295" max="1297" width="0" hidden="1" customWidth="1"/>
    <col min="1298" max="1298" width="11.125" customWidth="1"/>
    <col min="1299" max="1304" width="0" hidden="1" customWidth="1"/>
    <col min="1538" max="1541" width="0" hidden="1" customWidth="1"/>
    <col min="1543" max="1547" width="0" hidden="1" customWidth="1"/>
    <col min="1551" max="1553" width="0" hidden="1" customWidth="1"/>
    <col min="1554" max="1554" width="11.125" customWidth="1"/>
    <col min="1555" max="1560" width="0" hidden="1" customWidth="1"/>
    <col min="1794" max="1797" width="0" hidden="1" customWidth="1"/>
    <col min="1799" max="1803" width="0" hidden="1" customWidth="1"/>
    <col min="1807" max="1809" width="0" hidden="1" customWidth="1"/>
    <col min="1810" max="1810" width="11.125" customWidth="1"/>
    <col min="1811" max="1816" width="0" hidden="1" customWidth="1"/>
    <col min="2050" max="2053" width="0" hidden="1" customWidth="1"/>
    <col min="2055" max="2059" width="0" hidden="1" customWidth="1"/>
    <col min="2063" max="2065" width="0" hidden="1" customWidth="1"/>
    <col min="2066" max="2066" width="11.125" customWidth="1"/>
    <col min="2067" max="2072" width="0" hidden="1" customWidth="1"/>
    <col min="2306" max="2309" width="0" hidden="1" customWidth="1"/>
    <col min="2311" max="2315" width="0" hidden="1" customWidth="1"/>
    <col min="2319" max="2321" width="0" hidden="1" customWidth="1"/>
    <col min="2322" max="2322" width="11.125" customWidth="1"/>
    <col min="2323" max="2328" width="0" hidden="1" customWidth="1"/>
    <col min="2562" max="2565" width="0" hidden="1" customWidth="1"/>
    <col min="2567" max="2571" width="0" hidden="1" customWidth="1"/>
    <col min="2575" max="2577" width="0" hidden="1" customWidth="1"/>
    <col min="2578" max="2578" width="11.125" customWidth="1"/>
    <col min="2579" max="2584" width="0" hidden="1" customWidth="1"/>
    <col min="2818" max="2821" width="0" hidden="1" customWidth="1"/>
    <col min="2823" max="2827" width="0" hidden="1" customWidth="1"/>
    <col min="2831" max="2833" width="0" hidden="1" customWidth="1"/>
    <col min="2834" max="2834" width="11.125" customWidth="1"/>
    <col min="2835" max="2840" width="0" hidden="1" customWidth="1"/>
    <col min="3074" max="3077" width="0" hidden="1" customWidth="1"/>
    <col min="3079" max="3083" width="0" hidden="1" customWidth="1"/>
    <col min="3087" max="3089" width="0" hidden="1" customWidth="1"/>
    <col min="3090" max="3090" width="11.125" customWidth="1"/>
    <col min="3091" max="3096" width="0" hidden="1" customWidth="1"/>
    <col min="3330" max="3333" width="0" hidden="1" customWidth="1"/>
    <col min="3335" max="3339" width="0" hidden="1" customWidth="1"/>
    <col min="3343" max="3345" width="0" hidden="1" customWidth="1"/>
    <col min="3346" max="3346" width="11.125" customWidth="1"/>
    <col min="3347" max="3352" width="0" hidden="1" customWidth="1"/>
    <col min="3586" max="3589" width="0" hidden="1" customWidth="1"/>
    <col min="3591" max="3595" width="0" hidden="1" customWidth="1"/>
    <col min="3599" max="3601" width="0" hidden="1" customWidth="1"/>
    <col min="3602" max="3602" width="11.125" customWidth="1"/>
    <col min="3603" max="3608" width="0" hidden="1" customWidth="1"/>
    <col min="3842" max="3845" width="0" hidden="1" customWidth="1"/>
    <col min="3847" max="3851" width="0" hidden="1" customWidth="1"/>
    <col min="3855" max="3857" width="0" hidden="1" customWidth="1"/>
    <col min="3858" max="3858" width="11.125" customWidth="1"/>
    <col min="3859" max="3864" width="0" hidden="1" customWidth="1"/>
    <col min="4098" max="4101" width="0" hidden="1" customWidth="1"/>
    <col min="4103" max="4107" width="0" hidden="1" customWidth="1"/>
    <col min="4111" max="4113" width="0" hidden="1" customWidth="1"/>
    <col min="4114" max="4114" width="11.125" customWidth="1"/>
    <col min="4115" max="4120" width="0" hidden="1" customWidth="1"/>
    <col min="4354" max="4357" width="0" hidden="1" customWidth="1"/>
    <col min="4359" max="4363" width="0" hidden="1" customWidth="1"/>
    <col min="4367" max="4369" width="0" hidden="1" customWidth="1"/>
    <col min="4370" max="4370" width="11.125" customWidth="1"/>
    <col min="4371" max="4376" width="0" hidden="1" customWidth="1"/>
    <col min="4610" max="4613" width="0" hidden="1" customWidth="1"/>
    <col min="4615" max="4619" width="0" hidden="1" customWidth="1"/>
    <col min="4623" max="4625" width="0" hidden="1" customWidth="1"/>
    <col min="4626" max="4626" width="11.125" customWidth="1"/>
    <col min="4627" max="4632" width="0" hidden="1" customWidth="1"/>
    <col min="4866" max="4869" width="0" hidden="1" customWidth="1"/>
    <col min="4871" max="4875" width="0" hidden="1" customWidth="1"/>
    <col min="4879" max="4881" width="0" hidden="1" customWidth="1"/>
    <col min="4882" max="4882" width="11.125" customWidth="1"/>
    <col min="4883" max="4888" width="0" hidden="1" customWidth="1"/>
    <col min="5122" max="5125" width="0" hidden="1" customWidth="1"/>
    <col min="5127" max="5131" width="0" hidden="1" customWidth="1"/>
    <col min="5135" max="5137" width="0" hidden="1" customWidth="1"/>
    <col min="5138" max="5138" width="11.125" customWidth="1"/>
    <col min="5139" max="5144" width="0" hidden="1" customWidth="1"/>
    <col min="5378" max="5381" width="0" hidden="1" customWidth="1"/>
    <col min="5383" max="5387" width="0" hidden="1" customWidth="1"/>
    <col min="5391" max="5393" width="0" hidden="1" customWidth="1"/>
    <col min="5394" max="5394" width="11.125" customWidth="1"/>
    <col min="5395" max="5400" width="0" hidden="1" customWidth="1"/>
    <col min="5634" max="5637" width="0" hidden="1" customWidth="1"/>
    <col min="5639" max="5643" width="0" hidden="1" customWidth="1"/>
    <col min="5647" max="5649" width="0" hidden="1" customWidth="1"/>
    <col min="5650" max="5650" width="11.125" customWidth="1"/>
    <col min="5651" max="5656" width="0" hidden="1" customWidth="1"/>
    <col min="5890" max="5893" width="0" hidden="1" customWidth="1"/>
    <col min="5895" max="5899" width="0" hidden="1" customWidth="1"/>
    <col min="5903" max="5905" width="0" hidden="1" customWidth="1"/>
    <col min="5906" max="5906" width="11.125" customWidth="1"/>
    <col min="5907" max="5912" width="0" hidden="1" customWidth="1"/>
    <col min="6146" max="6149" width="0" hidden="1" customWidth="1"/>
    <col min="6151" max="6155" width="0" hidden="1" customWidth="1"/>
    <col min="6159" max="6161" width="0" hidden="1" customWidth="1"/>
    <col min="6162" max="6162" width="11.125" customWidth="1"/>
    <col min="6163" max="6168" width="0" hidden="1" customWidth="1"/>
    <col min="6402" max="6405" width="0" hidden="1" customWidth="1"/>
    <col min="6407" max="6411" width="0" hidden="1" customWidth="1"/>
    <col min="6415" max="6417" width="0" hidden="1" customWidth="1"/>
    <col min="6418" max="6418" width="11.125" customWidth="1"/>
    <col min="6419" max="6424" width="0" hidden="1" customWidth="1"/>
    <col min="6658" max="6661" width="0" hidden="1" customWidth="1"/>
    <col min="6663" max="6667" width="0" hidden="1" customWidth="1"/>
    <col min="6671" max="6673" width="0" hidden="1" customWidth="1"/>
    <col min="6674" max="6674" width="11.125" customWidth="1"/>
    <col min="6675" max="6680" width="0" hidden="1" customWidth="1"/>
    <col min="6914" max="6917" width="0" hidden="1" customWidth="1"/>
    <col min="6919" max="6923" width="0" hidden="1" customWidth="1"/>
    <col min="6927" max="6929" width="0" hidden="1" customWidth="1"/>
    <col min="6930" max="6930" width="11.125" customWidth="1"/>
    <col min="6931" max="6936" width="0" hidden="1" customWidth="1"/>
    <col min="7170" max="7173" width="0" hidden="1" customWidth="1"/>
    <col min="7175" max="7179" width="0" hidden="1" customWidth="1"/>
    <col min="7183" max="7185" width="0" hidden="1" customWidth="1"/>
    <col min="7186" max="7186" width="11.125" customWidth="1"/>
    <col min="7187" max="7192" width="0" hidden="1" customWidth="1"/>
    <col min="7426" max="7429" width="0" hidden="1" customWidth="1"/>
    <col min="7431" max="7435" width="0" hidden="1" customWidth="1"/>
    <col min="7439" max="7441" width="0" hidden="1" customWidth="1"/>
    <col min="7442" max="7442" width="11.125" customWidth="1"/>
    <col min="7443" max="7448" width="0" hidden="1" customWidth="1"/>
    <col min="7682" max="7685" width="0" hidden="1" customWidth="1"/>
    <col min="7687" max="7691" width="0" hidden="1" customWidth="1"/>
    <col min="7695" max="7697" width="0" hidden="1" customWidth="1"/>
    <col min="7698" max="7698" width="11.125" customWidth="1"/>
    <col min="7699" max="7704" width="0" hidden="1" customWidth="1"/>
    <col min="7938" max="7941" width="0" hidden="1" customWidth="1"/>
    <col min="7943" max="7947" width="0" hidden="1" customWidth="1"/>
    <col min="7951" max="7953" width="0" hidden="1" customWidth="1"/>
    <col min="7954" max="7954" width="11.125" customWidth="1"/>
    <col min="7955" max="7960" width="0" hidden="1" customWidth="1"/>
    <col min="8194" max="8197" width="0" hidden="1" customWidth="1"/>
    <col min="8199" max="8203" width="0" hidden="1" customWidth="1"/>
    <col min="8207" max="8209" width="0" hidden="1" customWidth="1"/>
    <col min="8210" max="8210" width="11.125" customWidth="1"/>
    <col min="8211" max="8216" width="0" hidden="1" customWidth="1"/>
    <col min="8450" max="8453" width="0" hidden="1" customWidth="1"/>
    <col min="8455" max="8459" width="0" hidden="1" customWidth="1"/>
    <col min="8463" max="8465" width="0" hidden="1" customWidth="1"/>
    <col min="8466" max="8466" width="11.125" customWidth="1"/>
    <col min="8467" max="8472" width="0" hidden="1" customWidth="1"/>
    <col min="8706" max="8709" width="0" hidden="1" customWidth="1"/>
    <col min="8711" max="8715" width="0" hidden="1" customWidth="1"/>
    <col min="8719" max="8721" width="0" hidden="1" customWidth="1"/>
    <col min="8722" max="8722" width="11.125" customWidth="1"/>
    <col min="8723" max="8728" width="0" hidden="1" customWidth="1"/>
    <col min="8962" max="8965" width="0" hidden="1" customWidth="1"/>
    <col min="8967" max="8971" width="0" hidden="1" customWidth="1"/>
    <col min="8975" max="8977" width="0" hidden="1" customWidth="1"/>
    <col min="8978" max="8978" width="11.125" customWidth="1"/>
    <col min="8979" max="8984" width="0" hidden="1" customWidth="1"/>
    <col min="9218" max="9221" width="0" hidden="1" customWidth="1"/>
    <col min="9223" max="9227" width="0" hidden="1" customWidth="1"/>
    <col min="9231" max="9233" width="0" hidden="1" customWidth="1"/>
    <col min="9234" max="9234" width="11.125" customWidth="1"/>
    <col min="9235" max="9240" width="0" hidden="1" customWidth="1"/>
    <col min="9474" max="9477" width="0" hidden="1" customWidth="1"/>
    <col min="9479" max="9483" width="0" hidden="1" customWidth="1"/>
    <col min="9487" max="9489" width="0" hidden="1" customWidth="1"/>
    <col min="9490" max="9490" width="11.125" customWidth="1"/>
    <col min="9491" max="9496" width="0" hidden="1" customWidth="1"/>
    <col min="9730" max="9733" width="0" hidden="1" customWidth="1"/>
    <col min="9735" max="9739" width="0" hidden="1" customWidth="1"/>
    <col min="9743" max="9745" width="0" hidden="1" customWidth="1"/>
    <col min="9746" max="9746" width="11.125" customWidth="1"/>
    <col min="9747" max="9752" width="0" hidden="1" customWidth="1"/>
    <col min="9986" max="9989" width="0" hidden="1" customWidth="1"/>
    <col min="9991" max="9995" width="0" hidden="1" customWidth="1"/>
    <col min="9999" max="10001" width="0" hidden="1" customWidth="1"/>
    <col min="10002" max="10002" width="11.125" customWidth="1"/>
    <col min="10003" max="10008" width="0" hidden="1" customWidth="1"/>
    <col min="10242" max="10245" width="0" hidden="1" customWidth="1"/>
    <col min="10247" max="10251" width="0" hidden="1" customWidth="1"/>
    <col min="10255" max="10257" width="0" hidden="1" customWidth="1"/>
    <col min="10258" max="10258" width="11.125" customWidth="1"/>
    <col min="10259" max="10264" width="0" hidden="1" customWidth="1"/>
    <col min="10498" max="10501" width="0" hidden="1" customWidth="1"/>
    <col min="10503" max="10507" width="0" hidden="1" customWidth="1"/>
    <col min="10511" max="10513" width="0" hidden="1" customWidth="1"/>
    <col min="10514" max="10514" width="11.125" customWidth="1"/>
    <col min="10515" max="10520" width="0" hidden="1" customWidth="1"/>
    <col min="10754" max="10757" width="0" hidden="1" customWidth="1"/>
    <col min="10759" max="10763" width="0" hidden="1" customWidth="1"/>
    <col min="10767" max="10769" width="0" hidden="1" customWidth="1"/>
    <col min="10770" max="10770" width="11.125" customWidth="1"/>
    <col min="10771" max="10776" width="0" hidden="1" customWidth="1"/>
    <col min="11010" max="11013" width="0" hidden="1" customWidth="1"/>
    <col min="11015" max="11019" width="0" hidden="1" customWidth="1"/>
    <col min="11023" max="11025" width="0" hidden="1" customWidth="1"/>
    <col min="11026" max="11026" width="11.125" customWidth="1"/>
    <col min="11027" max="11032" width="0" hidden="1" customWidth="1"/>
    <col min="11266" max="11269" width="0" hidden="1" customWidth="1"/>
    <col min="11271" max="11275" width="0" hidden="1" customWidth="1"/>
    <col min="11279" max="11281" width="0" hidden="1" customWidth="1"/>
    <col min="11282" max="11282" width="11.125" customWidth="1"/>
    <col min="11283" max="11288" width="0" hidden="1" customWidth="1"/>
    <col min="11522" max="11525" width="0" hidden="1" customWidth="1"/>
    <col min="11527" max="11531" width="0" hidden="1" customWidth="1"/>
    <col min="11535" max="11537" width="0" hidden="1" customWidth="1"/>
    <col min="11538" max="11538" width="11.125" customWidth="1"/>
    <col min="11539" max="11544" width="0" hidden="1" customWidth="1"/>
    <col min="11778" max="11781" width="0" hidden="1" customWidth="1"/>
    <col min="11783" max="11787" width="0" hidden="1" customWidth="1"/>
    <col min="11791" max="11793" width="0" hidden="1" customWidth="1"/>
    <col min="11794" max="11794" width="11.125" customWidth="1"/>
    <col min="11795" max="11800" width="0" hidden="1" customWidth="1"/>
    <col min="12034" max="12037" width="0" hidden="1" customWidth="1"/>
    <col min="12039" max="12043" width="0" hidden="1" customWidth="1"/>
    <col min="12047" max="12049" width="0" hidden="1" customWidth="1"/>
    <col min="12050" max="12050" width="11.125" customWidth="1"/>
    <col min="12051" max="12056" width="0" hidden="1" customWidth="1"/>
    <col min="12290" max="12293" width="0" hidden="1" customWidth="1"/>
    <col min="12295" max="12299" width="0" hidden="1" customWidth="1"/>
    <col min="12303" max="12305" width="0" hidden="1" customWidth="1"/>
    <col min="12306" max="12306" width="11.125" customWidth="1"/>
    <col min="12307" max="12312" width="0" hidden="1" customWidth="1"/>
    <col min="12546" max="12549" width="0" hidden="1" customWidth="1"/>
    <col min="12551" max="12555" width="0" hidden="1" customWidth="1"/>
    <col min="12559" max="12561" width="0" hidden="1" customWidth="1"/>
    <col min="12562" max="12562" width="11.125" customWidth="1"/>
    <col min="12563" max="12568" width="0" hidden="1" customWidth="1"/>
    <col min="12802" max="12805" width="0" hidden="1" customWidth="1"/>
    <col min="12807" max="12811" width="0" hidden="1" customWidth="1"/>
    <col min="12815" max="12817" width="0" hidden="1" customWidth="1"/>
    <col min="12818" max="12818" width="11.125" customWidth="1"/>
    <col min="12819" max="12824" width="0" hidden="1" customWidth="1"/>
    <col min="13058" max="13061" width="0" hidden="1" customWidth="1"/>
    <col min="13063" max="13067" width="0" hidden="1" customWidth="1"/>
    <col min="13071" max="13073" width="0" hidden="1" customWidth="1"/>
    <col min="13074" max="13074" width="11.125" customWidth="1"/>
    <col min="13075" max="13080" width="0" hidden="1" customWidth="1"/>
    <col min="13314" max="13317" width="0" hidden="1" customWidth="1"/>
    <col min="13319" max="13323" width="0" hidden="1" customWidth="1"/>
    <col min="13327" max="13329" width="0" hidden="1" customWidth="1"/>
    <col min="13330" max="13330" width="11.125" customWidth="1"/>
    <col min="13331" max="13336" width="0" hidden="1" customWidth="1"/>
    <col min="13570" max="13573" width="0" hidden="1" customWidth="1"/>
    <col min="13575" max="13579" width="0" hidden="1" customWidth="1"/>
    <col min="13583" max="13585" width="0" hidden="1" customWidth="1"/>
    <col min="13586" max="13586" width="11.125" customWidth="1"/>
    <col min="13587" max="13592" width="0" hidden="1" customWidth="1"/>
    <col min="13826" max="13829" width="0" hidden="1" customWidth="1"/>
    <col min="13831" max="13835" width="0" hidden="1" customWidth="1"/>
    <col min="13839" max="13841" width="0" hidden="1" customWidth="1"/>
    <col min="13842" max="13842" width="11.125" customWidth="1"/>
    <col min="13843" max="13848" width="0" hidden="1" customWidth="1"/>
    <col min="14082" max="14085" width="0" hidden="1" customWidth="1"/>
    <col min="14087" max="14091" width="0" hidden="1" customWidth="1"/>
    <col min="14095" max="14097" width="0" hidden="1" customWidth="1"/>
    <col min="14098" max="14098" width="11.125" customWidth="1"/>
    <col min="14099" max="14104" width="0" hidden="1" customWidth="1"/>
    <col min="14338" max="14341" width="0" hidden="1" customWidth="1"/>
    <col min="14343" max="14347" width="0" hidden="1" customWidth="1"/>
    <col min="14351" max="14353" width="0" hidden="1" customWidth="1"/>
    <col min="14354" max="14354" width="11.125" customWidth="1"/>
    <col min="14355" max="14360" width="0" hidden="1" customWidth="1"/>
    <col min="14594" max="14597" width="0" hidden="1" customWidth="1"/>
    <col min="14599" max="14603" width="0" hidden="1" customWidth="1"/>
    <col min="14607" max="14609" width="0" hidden="1" customWidth="1"/>
    <col min="14610" max="14610" width="11.125" customWidth="1"/>
    <col min="14611" max="14616" width="0" hidden="1" customWidth="1"/>
    <col min="14850" max="14853" width="0" hidden="1" customWidth="1"/>
    <col min="14855" max="14859" width="0" hidden="1" customWidth="1"/>
    <col min="14863" max="14865" width="0" hidden="1" customWidth="1"/>
    <col min="14866" max="14866" width="11.125" customWidth="1"/>
    <col min="14867" max="14872" width="0" hidden="1" customWidth="1"/>
    <col min="15106" max="15109" width="0" hidden="1" customWidth="1"/>
    <col min="15111" max="15115" width="0" hidden="1" customWidth="1"/>
    <col min="15119" max="15121" width="0" hidden="1" customWidth="1"/>
    <col min="15122" max="15122" width="11.125" customWidth="1"/>
    <col min="15123" max="15128" width="0" hidden="1" customWidth="1"/>
    <col min="15362" max="15365" width="0" hidden="1" customWidth="1"/>
    <col min="15367" max="15371" width="0" hidden="1" customWidth="1"/>
    <col min="15375" max="15377" width="0" hidden="1" customWidth="1"/>
    <col min="15378" max="15378" width="11.125" customWidth="1"/>
    <col min="15379" max="15384" width="0" hidden="1" customWidth="1"/>
    <col min="15618" max="15621" width="0" hidden="1" customWidth="1"/>
    <col min="15623" max="15627" width="0" hidden="1" customWidth="1"/>
    <col min="15631" max="15633" width="0" hidden="1" customWidth="1"/>
    <col min="15634" max="15634" width="11.125" customWidth="1"/>
    <col min="15635" max="15640" width="0" hidden="1" customWidth="1"/>
    <col min="15874" max="15877" width="0" hidden="1" customWidth="1"/>
    <col min="15879" max="15883" width="0" hidden="1" customWidth="1"/>
    <col min="15887" max="15889" width="0" hidden="1" customWidth="1"/>
    <col min="15890" max="15890" width="11.125" customWidth="1"/>
    <col min="15891" max="15896" width="0" hidden="1" customWidth="1"/>
    <col min="16130" max="16133" width="0" hidden="1" customWidth="1"/>
    <col min="16135" max="16139" width="0" hidden="1" customWidth="1"/>
    <col min="16143" max="16145" width="0" hidden="1" customWidth="1"/>
    <col min="16146" max="16146" width="11.125" customWidth="1"/>
    <col min="16147" max="16152" width="0" hidden="1" customWidth="1"/>
  </cols>
  <sheetData>
    <row r="1" spans="1:73">
      <c r="A1" s="3253"/>
      <c r="B1" s="3245"/>
      <c r="C1" s="3252"/>
      <c r="D1" s="3252"/>
      <c r="E1" s="3252"/>
      <c r="F1" s="3252"/>
      <c r="G1" s="3252"/>
      <c r="H1" s="3252"/>
      <c r="I1" s="3252"/>
      <c r="J1" s="3252"/>
      <c r="K1" s="3250"/>
      <c r="L1" s="3247"/>
      <c r="M1" s="3248"/>
      <c r="N1" s="3247"/>
      <c r="O1" s="3248"/>
      <c r="P1" s="3247"/>
      <c r="Q1" s="3248"/>
      <c r="R1" s="3248"/>
      <c r="S1" s="3247"/>
      <c r="T1" s="3251"/>
      <c r="U1" s="3247"/>
      <c r="V1" s="3250" t="s">
        <v>3201</v>
      </c>
      <c r="W1" s="3250"/>
      <c r="X1" s="3249"/>
      <c r="Y1" s="3247"/>
      <c r="Z1" s="3248" t="s">
        <v>3200</v>
      </c>
      <c r="AA1" s="3247"/>
      <c r="AB1" s="3247"/>
      <c r="AC1" s="3247"/>
      <c r="AD1" s="3247"/>
      <c r="AE1" s="3247"/>
      <c r="AF1" s="3245"/>
      <c r="AG1" s="3245"/>
      <c r="AH1" s="3250"/>
      <c r="AI1" s="3245"/>
      <c r="AJ1" s="3258"/>
      <c r="AK1" s="3245"/>
      <c r="AL1" s="3782" t="s">
        <v>3217</v>
      </c>
      <c r="AM1" s="3782"/>
      <c r="AN1" s="3234" t="s">
        <v>3199</v>
      </c>
      <c r="AO1" s="3234" t="s">
        <v>3198</v>
      </c>
      <c r="AP1" s="3234"/>
      <c r="AQ1" s="3234"/>
      <c r="AR1" s="3238"/>
      <c r="AS1" s="3238" t="s">
        <v>3197</v>
      </c>
      <c r="AT1" s="3238"/>
      <c r="AU1" s="3238"/>
      <c r="AV1" s="3234"/>
      <c r="AW1" s="3250"/>
      <c r="AX1" s="3250"/>
      <c r="AY1" s="3259"/>
      <c r="AZ1" s="3250"/>
      <c r="BA1" s="3250"/>
      <c r="BB1" s="3259"/>
      <c r="BC1" s="3250"/>
      <c r="BD1" s="3260"/>
      <c r="BE1" s="3250"/>
      <c r="BF1" s="3261"/>
      <c r="BG1" s="3246"/>
      <c r="BH1" s="3250"/>
      <c r="BI1" s="3250"/>
      <c r="BJ1" s="3239" t="s">
        <v>3196</v>
      </c>
      <c r="BK1" s="3240" t="s">
        <v>3195</v>
      </c>
      <c r="BL1" s="3250"/>
      <c r="BM1" s="3234"/>
      <c r="BN1" s="3234"/>
      <c r="BO1" s="3234"/>
      <c r="BP1" s="3234"/>
      <c r="BQ1" s="3238"/>
      <c r="BR1" s="3238"/>
      <c r="BS1" s="3262"/>
      <c r="BT1" s="3262"/>
      <c r="BU1" s="3262"/>
    </row>
    <row r="2" spans="1:73" ht="15.75">
      <c r="A2" s="3233" t="s">
        <v>2751</v>
      </c>
      <c r="B2" s="3234" t="s">
        <v>3001</v>
      </c>
      <c r="C2" s="3233" t="s">
        <v>3002</v>
      </c>
      <c r="D2" s="3233" t="s">
        <v>3003</v>
      </c>
      <c r="E2" s="3233" t="s">
        <v>3004</v>
      </c>
      <c r="F2" s="3233" t="s">
        <v>3005</v>
      </c>
      <c r="G2" s="3233" t="s">
        <v>3006</v>
      </c>
      <c r="H2" s="3233" t="s">
        <v>3007</v>
      </c>
      <c r="I2" s="3233" t="s">
        <v>3008</v>
      </c>
      <c r="J2" s="3233" t="s">
        <v>3009</v>
      </c>
      <c r="K2" s="3234" t="s">
        <v>3010</v>
      </c>
      <c r="L2" s="3234" t="s">
        <v>3011</v>
      </c>
      <c r="M2" s="3234" t="s">
        <v>3012</v>
      </c>
      <c r="N2" s="3234" t="s">
        <v>3013</v>
      </c>
      <c r="O2" s="3234" t="s">
        <v>3014</v>
      </c>
      <c r="P2" s="3234" t="s">
        <v>3015</v>
      </c>
      <c r="Q2" s="3234" t="s">
        <v>3016</v>
      </c>
      <c r="R2" s="3234" t="s">
        <v>3017</v>
      </c>
      <c r="S2" s="3234" t="s">
        <v>3018</v>
      </c>
      <c r="T2" s="3235" t="s">
        <v>3019</v>
      </c>
      <c r="U2" s="3234" t="s">
        <v>3020</v>
      </c>
      <c r="V2" s="3234" t="s">
        <v>3021</v>
      </c>
      <c r="W2" s="3234" t="s">
        <v>3022</v>
      </c>
      <c r="X2" s="3235" t="s">
        <v>2761</v>
      </c>
      <c r="Y2" s="3234" t="s">
        <v>3023</v>
      </c>
      <c r="Z2" s="3234" t="s">
        <v>3024</v>
      </c>
      <c r="AA2" s="3234" t="s">
        <v>3025</v>
      </c>
      <c r="AB2" s="3234" t="s">
        <v>3026</v>
      </c>
      <c r="AC2" s="3234" t="s">
        <v>3027</v>
      </c>
      <c r="AD2" s="3234" t="s">
        <v>3218</v>
      </c>
      <c r="AE2" s="3234" t="s">
        <v>3029</v>
      </c>
      <c r="AF2" s="3234" t="s">
        <v>3030</v>
      </c>
      <c r="AG2" s="3234" t="s">
        <v>3031</v>
      </c>
      <c r="AH2" s="3234" t="s">
        <v>3032</v>
      </c>
      <c r="AI2" s="3234" t="s">
        <v>3033</v>
      </c>
      <c r="AJ2" s="3239" t="s">
        <v>3034</v>
      </c>
      <c r="AK2" s="3234" t="s">
        <v>3035</v>
      </c>
      <c r="AL2" s="3234" t="s">
        <v>3219</v>
      </c>
      <c r="AM2" s="3234" t="s">
        <v>3220</v>
      </c>
      <c r="AN2" s="3234" t="s">
        <v>3038</v>
      </c>
      <c r="AO2" s="3234" t="s">
        <v>3039</v>
      </c>
      <c r="AP2" s="3234" t="s">
        <v>3040</v>
      </c>
      <c r="AQ2" s="3234" t="s">
        <v>3041</v>
      </c>
      <c r="AR2" s="3238" t="s">
        <v>3042</v>
      </c>
      <c r="AS2" s="3238" t="s">
        <v>3024</v>
      </c>
      <c r="AT2" s="3238" t="s">
        <v>3025</v>
      </c>
      <c r="AU2" s="3238" t="s">
        <v>3043</v>
      </c>
      <c r="AV2" s="3236" t="s">
        <v>3044</v>
      </c>
      <c r="AW2" s="3234" t="s">
        <v>3045</v>
      </c>
      <c r="AX2" s="3263" t="s">
        <v>3046</v>
      </c>
      <c r="AY2" s="3233" t="s">
        <v>3047</v>
      </c>
      <c r="AZ2" s="3234" t="s">
        <v>3048</v>
      </c>
      <c r="BA2" s="3234" t="s">
        <v>3049</v>
      </c>
      <c r="BB2" s="3233" t="s">
        <v>3050</v>
      </c>
      <c r="BC2" s="3234" t="s">
        <v>3051</v>
      </c>
      <c r="BD2" s="3264" t="s">
        <v>3052</v>
      </c>
      <c r="BE2" s="3234" t="s">
        <v>3003</v>
      </c>
      <c r="BF2" s="3265" t="s">
        <v>3053</v>
      </c>
      <c r="BG2" s="3237" t="s">
        <v>3054</v>
      </c>
      <c r="BH2" s="3237" t="s">
        <v>3055</v>
      </c>
      <c r="BI2" s="3237" t="s">
        <v>3056</v>
      </c>
      <c r="BJ2" s="3239" t="s">
        <v>3057</v>
      </c>
      <c r="BK2" s="3240" t="s">
        <v>3058</v>
      </c>
      <c r="BL2" s="3238" t="s">
        <v>3059</v>
      </c>
      <c r="BM2" s="3234" t="s">
        <v>3060</v>
      </c>
      <c r="BN2" s="3234" t="s">
        <v>3061</v>
      </c>
      <c r="BO2" s="3234" t="s">
        <v>3062</v>
      </c>
      <c r="BP2" s="3234"/>
      <c r="BQ2" s="3238" t="s">
        <v>3063</v>
      </c>
      <c r="BR2" s="3238" t="s">
        <v>3064</v>
      </c>
      <c r="BS2" s="3266"/>
      <c r="BT2" s="3266"/>
      <c r="BU2" s="3266"/>
    </row>
    <row r="3" spans="1:73" hidden="1">
      <c r="A3" s="3267" t="s">
        <v>3221</v>
      </c>
      <c r="B3" s="3268" t="s">
        <v>3222</v>
      </c>
      <c r="C3" s="3269" t="s">
        <v>3223</v>
      </c>
      <c r="D3" s="3268">
        <v>69592033</v>
      </c>
      <c r="E3" s="3268" t="s">
        <v>2985</v>
      </c>
      <c r="F3" s="3268" t="s">
        <v>3224</v>
      </c>
      <c r="G3" s="3268"/>
      <c r="H3" s="3268" t="s">
        <v>3225</v>
      </c>
      <c r="I3" s="3268"/>
      <c r="J3" s="3268" t="s">
        <v>3226</v>
      </c>
      <c r="K3" s="3268" t="s">
        <v>3222</v>
      </c>
      <c r="L3" s="3270">
        <v>68.84</v>
      </c>
      <c r="M3" s="3270">
        <v>14</v>
      </c>
      <c r="N3" s="3267" t="s">
        <v>3152</v>
      </c>
      <c r="O3" s="3270"/>
      <c r="P3" s="3268" t="s">
        <v>2963</v>
      </c>
      <c r="Q3" s="3271">
        <v>300000</v>
      </c>
      <c r="R3" s="3267">
        <v>4358</v>
      </c>
      <c r="S3" s="3272">
        <v>30.01</v>
      </c>
      <c r="T3" s="3273">
        <v>300100</v>
      </c>
      <c r="U3" s="3267">
        <v>4360</v>
      </c>
      <c r="V3" s="3274">
        <v>0.05</v>
      </c>
      <c r="W3" s="3272">
        <v>28.5</v>
      </c>
      <c r="X3" s="3275">
        <v>285000</v>
      </c>
      <c r="Y3" s="3276">
        <v>2006</v>
      </c>
      <c r="Z3" s="3267">
        <v>1</v>
      </c>
      <c r="AA3" s="3276">
        <v>9</v>
      </c>
      <c r="AB3" s="3267">
        <v>900</v>
      </c>
      <c r="AC3" s="3267" t="s">
        <v>3227</v>
      </c>
      <c r="AD3" s="3268"/>
      <c r="AE3" s="3268" t="s">
        <v>3180</v>
      </c>
      <c r="AF3" s="3268" t="s">
        <v>2966</v>
      </c>
      <c r="AG3" s="3268" t="s">
        <v>2967</v>
      </c>
      <c r="AH3" s="3268"/>
      <c r="AI3" s="3268" t="s">
        <v>3115</v>
      </c>
      <c r="AJ3" s="3277"/>
      <c r="AK3" s="3278" t="s">
        <v>3131</v>
      </c>
      <c r="AL3" s="3276">
        <v>82253558</v>
      </c>
      <c r="AM3" s="3276"/>
      <c r="AN3" s="3279" t="s">
        <v>3140</v>
      </c>
      <c r="AO3" s="3276"/>
      <c r="AP3" s="3276" t="s">
        <v>3180</v>
      </c>
      <c r="AQ3" s="3267" t="s">
        <v>3228</v>
      </c>
      <c r="AR3" s="3267">
        <v>2005</v>
      </c>
      <c r="AS3" s="3267">
        <v>10</v>
      </c>
      <c r="AT3" s="3267">
        <v>31</v>
      </c>
      <c r="AU3" s="3267"/>
      <c r="AV3" s="3277"/>
      <c r="AW3" s="3268" t="s">
        <v>3171</v>
      </c>
      <c r="AX3" s="3268"/>
      <c r="AY3" s="3268"/>
      <c r="AZ3" s="3268" t="s">
        <v>3229</v>
      </c>
      <c r="BA3" s="3268"/>
      <c r="BB3" s="3280"/>
      <c r="BC3" s="3268"/>
      <c r="BD3" s="3268"/>
      <c r="BE3" s="3268"/>
      <c r="BF3" s="3281"/>
      <c r="BG3" s="3282" t="s">
        <v>3230</v>
      </c>
      <c r="BH3" s="3268"/>
      <c r="BI3" s="3279" t="s">
        <v>3180</v>
      </c>
      <c r="BJ3" s="3283">
        <v>38656</v>
      </c>
      <c r="BK3" s="3284"/>
      <c r="BL3" s="3267" t="s">
        <v>2998</v>
      </c>
      <c r="BM3" s="3267" t="s">
        <v>2879</v>
      </c>
      <c r="BN3" s="3267" t="s">
        <v>2999</v>
      </c>
      <c r="BO3" s="3267" t="s">
        <v>3146</v>
      </c>
      <c r="BP3" s="3276"/>
      <c r="BQ3" s="3276" t="e">
        <v>#DIV/0!</v>
      </c>
      <c r="BR3" s="3276" t="e">
        <v>#DIV/0!</v>
      </c>
      <c r="BS3" s="3285"/>
      <c r="BT3" s="3285"/>
      <c r="BU3" s="3285"/>
    </row>
    <row r="4" spans="1:73" hidden="1">
      <c r="A4" s="3267" t="s">
        <v>3231</v>
      </c>
      <c r="B4" s="3267" t="s">
        <v>3232</v>
      </c>
      <c r="C4" s="3269" t="s">
        <v>3233</v>
      </c>
      <c r="D4" s="3269" t="s">
        <v>3234</v>
      </c>
      <c r="E4" s="3267" t="s">
        <v>2985</v>
      </c>
      <c r="F4" s="3268" t="s">
        <v>3235</v>
      </c>
      <c r="G4" s="3267"/>
      <c r="H4" s="3267" t="s">
        <v>3124</v>
      </c>
      <c r="I4" s="3267" t="s">
        <v>3236</v>
      </c>
      <c r="J4" s="3269" t="s">
        <v>3151</v>
      </c>
      <c r="K4" s="3267" t="s">
        <v>3237</v>
      </c>
      <c r="L4" s="3286">
        <v>46.34</v>
      </c>
      <c r="M4" s="3267">
        <v>5</v>
      </c>
      <c r="N4" s="3267" t="s">
        <v>3152</v>
      </c>
      <c r="O4" s="3267"/>
      <c r="P4" s="3267" t="s">
        <v>2963</v>
      </c>
      <c r="Q4" s="3287">
        <v>341200</v>
      </c>
      <c r="R4" s="3288">
        <v>7363</v>
      </c>
      <c r="S4" s="3272">
        <v>28.84</v>
      </c>
      <c r="T4" s="3273">
        <v>288400</v>
      </c>
      <c r="U4" s="3287">
        <v>6225</v>
      </c>
      <c r="V4" s="3289">
        <v>0.05</v>
      </c>
      <c r="W4" s="3272">
        <v>27.39</v>
      </c>
      <c r="X4" s="3273">
        <v>273900</v>
      </c>
      <c r="Y4" s="3276">
        <v>2005</v>
      </c>
      <c r="Z4" s="3276">
        <v>12</v>
      </c>
      <c r="AA4" s="3276">
        <v>31</v>
      </c>
      <c r="AB4" s="3267">
        <v>865</v>
      </c>
      <c r="AC4" s="3267" t="s">
        <v>3227</v>
      </c>
      <c r="AD4" s="3267"/>
      <c r="AE4" s="3267" t="s">
        <v>3238</v>
      </c>
      <c r="AF4" s="3267" t="s">
        <v>2966</v>
      </c>
      <c r="AG4" s="3267" t="s">
        <v>2967</v>
      </c>
      <c r="AH4" s="3268"/>
      <c r="AI4" s="3267" t="s">
        <v>3115</v>
      </c>
      <c r="AJ4" s="3290"/>
      <c r="AK4" s="3267" t="s">
        <v>3120</v>
      </c>
      <c r="AL4" s="3276">
        <v>82253558</v>
      </c>
      <c r="AM4" s="3276"/>
      <c r="AN4" s="3267" t="s">
        <v>3099</v>
      </c>
      <c r="AO4" s="3276"/>
      <c r="AP4" s="3267" t="s">
        <v>3180</v>
      </c>
      <c r="AQ4" s="3267" t="s">
        <v>3228</v>
      </c>
      <c r="AR4" s="3267">
        <v>2005</v>
      </c>
      <c r="AS4" s="3267">
        <v>12</v>
      </c>
      <c r="AT4" s="3267">
        <v>31</v>
      </c>
      <c r="AU4" s="3276"/>
      <c r="AV4" s="3276"/>
      <c r="AW4" s="3276" t="s">
        <v>3119</v>
      </c>
      <c r="AX4" s="3276"/>
      <c r="AY4" s="3291"/>
      <c r="AZ4" s="3276" t="s">
        <v>3237</v>
      </c>
      <c r="BA4" s="3276"/>
      <c r="BB4" s="3291"/>
      <c r="BC4" s="3276"/>
      <c r="BD4" s="3292"/>
      <c r="BE4" s="3276"/>
      <c r="BF4" s="3281"/>
      <c r="BG4" s="3293">
        <v>38700</v>
      </c>
      <c r="BH4" s="3276"/>
      <c r="BI4" s="3276" t="s">
        <v>3239</v>
      </c>
      <c r="BJ4" s="3283">
        <v>38700</v>
      </c>
      <c r="BK4" s="3283"/>
      <c r="BL4" s="3267" t="s">
        <v>2998</v>
      </c>
      <c r="BM4" s="3276" t="s">
        <v>2879</v>
      </c>
      <c r="BN4" s="3276" t="s">
        <v>2999</v>
      </c>
      <c r="BO4" s="3276" t="s">
        <v>3146</v>
      </c>
      <c r="BP4" s="3276"/>
      <c r="BQ4" s="3276" t="e">
        <v>#DIV/0!</v>
      </c>
      <c r="BR4" s="3276" t="e">
        <v>#DIV/0!</v>
      </c>
      <c r="BS4" s="3285"/>
      <c r="BT4" s="3285"/>
      <c r="BU4" s="3285"/>
    </row>
    <row r="5" spans="1:73" hidden="1">
      <c r="A5" s="3267" t="s">
        <v>3240</v>
      </c>
      <c r="B5" s="3268" t="s">
        <v>3241</v>
      </c>
      <c r="C5" s="3269" t="s">
        <v>3242</v>
      </c>
      <c r="D5" s="3268">
        <v>13693362625</v>
      </c>
      <c r="E5" s="3268" t="s">
        <v>2985</v>
      </c>
      <c r="F5" s="3268" t="s">
        <v>3243</v>
      </c>
      <c r="G5" s="3268"/>
      <c r="H5" s="3268" t="s">
        <v>3244</v>
      </c>
      <c r="I5" s="3268"/>
      <c r="J5" s="3268" t="s">
        <v>3226</v>
      </c>
      <c r="K5" s="3268" t="s">
        <v>3241</v>
      </c>
      <c r="L5" s="3270">
        <v>113.81</v>
      </c>
      <c r="M5" s="3270">
        <v>14</v>
      </c>
      <c r="N5" s="3268" t="s">
        <v>3125</v>
      </c>
      <c r="O5" s="3270">
        <v>96.32</v>
      </c>
      <c r="P5" s="3268" t="s">
        <v>2963</v>
      </c>
      <c r="Q5" s="3271">
        <v>550000</v>
      </c>
      <c r="R5" s="3267">
        <v>4833</v>
      </c>
      <c r="S5" s="3272">
        <v>58.04</v>
      </c>
      <c r="T5" s="3273">
        <v>580400</v>
      </c>
      <c r="U5" s="3267">
        <v>5100</v>
      </c>
      <c r="V5" s="3289">
        <v>0.05</v>
      </c>
      <c r="W5" s="3272">
        <v>55.13</v>
      </c>
      <c r="X5" s="3275">
        <v>551300</v>
      </c>
      <c r="Y5" s="3276">
        <v>2006</v>
      </c>
      <c r="Z5" s="3294">
        <v>3</v>
      </c>
      <c r="AA5" s="3294">
        <v>7</v>
      </c>
      <c r="AB5" s="3267">
        <v>1500</v>
      </c>
      <c r="AC5" s="3267" t="s">
        <v>3227</v>
      </c>
      <c r="AD5" s="3268"/>
      <c r="AE5" s="3268" t="s">
        <v>3245</v>
      </c>
      <c r="AF5" s="3268" t="s">
        <v>2966</v>
      </c>
      <c r="AG5" s="3268" t="s">
        <v>2967</v>
      </c>
      <c r="AH5" s="3268"/>
      <c r="AI5" s="3267" t="s">
        <v>3115</v>
      </c>
      <c r="AJ5" s="3290"/>
      <c r="AK5" s="3267" t="s">
        <v>3114</v>
      </c>
      <c r="AL5" s="3276">
        <v>82253558</v>
      </c>
      <c r="AM5" s="3276"/>
      <c r="AN5" s="3267" t="s">
        <v>3140</v>
      </c>
      <c r="AO5" s="3294" t="s">
        <v>3246</v>
      </c>
      <c r="AP5" s="3295" t="s">
        <v>3245</v>
      </c>
      <c r="AQ5" s="3294" t="s">
        <v>3247</v>
      </c>
      <c r="AR5" s="3267">
        <v>2006</v>
      </c>
      <c r="AS5" s="3267">
        <v>3</v>
      </c>
      <c r="AT5" s="3267">
        <v>7</v>
      </c>
      <c r="AU5" s="3267"/>
      <c r="AV5" s="3277"/>
      <c r="AW5" s="3276" t="s">
        <v>2997</v>
      </c>
      <c r="AX5" s="3276"/>
      <c r="AY5" s="3291"/>
      <c r="AZ5" s="3267" t="s">
        <v>3248</v>
      </c>
      <c r="BA5" s="3296"/>
      <c r="BB5" s="3297"/>
      <c r="BC5" s="3296"/>
      <c r="BD5" s="3298"/>
      <c r="BE5" s="3276"/>
      <c r="BF5" s="3281"/>
      <c r="BG5" s="3293">
        <v>38698</v>
      </c>
      <c r="BH5" s="3276"/>
      <c r="BI5" s="3267" t="s">
        <v>3145</v>
      </c>
      <c r="BJ5" s="3299">
        <v>38763</v>
      </c>
      <c r="BK5" s="3299"/>
      <c r="BL5" s="3267" t="s">
        <v>3249</v>
      </c>
      <c r="BM5" s="3267" t="s">
        <v>2879</v>
      </c>
      <c r="BN5" s="3267" t="s">
        <v>3111</v>
      </c>
      <c r="BO5" s="3267" t="s">
        <v>3146</v>
      </c>
      <c r="BP5" s="3276"/>
      <c r="BQ5" s="3276">
        <v>6026</v>
      </c>
      <c r="BR5" s="3276">
        <v>5710</v>
      </c>
      <c r="BS5" s="3285"/>
      <c r="BT5" s="3285"/>
      <c r="BU5" s="3285"/>
    </row>
    <row r="6" spans="1:73" hidden="1">
      <c r="A6" s="3267" t="s">
        <v>3250</v>
      </c>
      <c r="B6" s="3267" t="s">
        <v>3251</v>
      </c>
      <c r="C6" s="3269" t="s">
        <v>3252</v>
      </c>
      <c r="D6" s="3268">
        <v>13521385654</v>
      </c>
      <c r="E6" s="3267" t="s">
        <v>2985</v>
      </c>
      <c r="F6" s="3267" t="s">
        <v>3253</v>
      </c>
      <c r="G6" s="3267"/>
      <c r="H6" s="3270" t="s">
        <v>3130</v>
      </c>
      <c r="I6" s="3268" t="s">
        <v>3254</v>
      </c>
      <c r="J6" s="3270" t="s">
        <v>3165</v>
      </c>
      <c r="K6" s="3267" t="s">
        <v>3255</v>
      </c>
      <c r="L6" s="3286">
        <v>85.4</v>
      </c>
      <c r="M6" s="3270">
        <v>6</v>
      </c>
      <c r="N6" s="3267" t="s">
        <v>3122</v>
      </c>
      <c r="O6" s="3267"/>
      <c r="P6" s="3267" t="s">
        <v>2963</v>
      </c>
      <c r="Q6" s="3287">
        <v>375000</v>
      </c>
      <c r="R6" s="3288">
        <v>4391</v>
      </c>
      <c r="S6" s="3272">
        <v>31.59</v>
      </c>
      <c r="T6" s="3273">
        <v>315900</v>
      </c>
      <c r="U6" s="3287">
        <v>3700</v>
      </c>
      <c r="V6" s="3289">
        <v>0.05</v>
      </c>
      <c r="W6" s="3272">
        <v>30.01</v>
      </c>
      <c r="X6" s="3273">
        <v>300100</v>
      </c>
      <c r="Y6" s="3267">
        <v>2005</v>
      </c>
      <c r="Z6" s="3267">
        <v>12</v>
      </c>
      <c r="AA6" s="3276">
        <v>31</v>
      </c>
      <c r="AB6" s="3267">
        <v>945</v>
      </c>
      <c r="AC6" s="3267" t="s">
        <v>3227</v>
      </c>
      <c r="AD6" s="3267"/>
      <c r="AE6" s="3267" t="s">
        <v>3180</v>
      </c>
      <c r="AF6" s="3268" t="s">
        <v>2966</v>
      </c>
      <c r="AG6" s="3268" t="s">
        <v>2967</v>
      </c>
      <c r="AH6" s="3268"/>
      <c r="AI6" s="3267" t="s">
        <v>3256</v>
      </c>
      <c r="AJ6" s="3284"/>
      <c r="AK6" s="3278" t="s">
        <v>3120</v>
      </c>
      <c r="AL6" s="3276">
        <v>82253558</v>
      </c>
      <c r="AM6" s="3276"/>
      <c r="AN6" s="3267" t="s">
        <v>3099</v>
      </c>
      <c r="AO6" s="3276" t="s">
        <v>2968</v>
      </c>
      <c r="AP6" s="3279" t="s">
        <v>3180</v>
      </c>
      <c r="AQ6" s="3267" t="s">
        <v>3228</v>
      </c>
      <c r="AR6" s="3267">
        <v>2005</v>
      </c>
      <c r="AS6" s="3267">
        <v>12</v>
      </c>
      <c r="AT6" s="3267">
        <v>31</v>
      </c>
      <c r="AU6" s="3267"/>
      <c r="AV6" s="3267"/>
      <c r="AW6" s="3267" t="s">
        <v>2997</v>
      </c>
      <c r="AX6" s="3267"/>
      <c r="AY6" s="3291"/>
      <c r="AZ6" s="3267" t="s">
        <v>3255</v>
      </c>
      <c r="BA6" s="3267"/>
      <c r="BB6" s="3267"/>
      <c r="BC6" s="3267"/>
      <c r="BD6" s="3267"/>
      <c r="BE6" s="3267"/>
      <c r="BF6" s="3300"/>
      <c r="BG6" s="3290">
        <v>38702</v>
      </c>
      <c r="BH6" s="3267"/>
      <c r="BI6" s="3276" t="s">
        <v>3239</v>
      </c>
      <c r="BJ6" s="3284">
        <v>38702</v>
      </c>
      <c r="BK6" s="3284"/>
      <c r="BL6" s="3267" t="s">
        <v>2998</v>
      </c>
      <c r="BM6" s="3267" t="s">
        <v>2879</v>
      </c>
      <c r="BN6" s="3267" t="s">
        <v>2999</v>
      </c>
      <c r="BO6" s="3267" t="s">
        <v>3146</v>
      </c>
      <c r="BP6" s="3267"/>
      <c r="BQ6" s="3276" t="e">
        <v>#DIV/0!</v>
      </c>
      <c r="BR6" s="3276" t="e">
        <v>#DIV/0!</v>
      </c>
      <c r="BS6" s="3285"/>
      <c r="BT6" s="3285"/>
      <c r="BU6" s="3285"/>
    </row>
    <row r="7" spans="1:73" hidden="1">
      <c r="A7" s="3267" t="s">
        <v>3257</v>
      </c>
      <c r="B7" s="3267" t="s">
        <v>3258</v>
      </c>
      <c r="C7" s="3269" t="s">
        <v>3259</v>
      </c>
      <c r="D7" s="3268" t="s">
        <v>3260</v>
      </c>
      <c r="E7" s="3267" t="s">
        <v>2985</v>
      </c>
      <c r="F7" s="3267" t="s">
        <v>3261</v>
      </c>
      <c r="G7" s="3267" t="s">
        <v>3262</v>
      </c>
      <c r="H7" s="3270" t="s">
        <v>3263</v>
      </c>
      <c r="I7" s="3268" t="s">
        <v>3264</v>
      </c>
      <c r="J7" s="3270" t="s">
        <v>3151</v>
      </c>
      <c r="K7" s="3267" t="s">
        <v>3265</v>
      </c>
      <c r="L7" s="3286">
        <v>42.83</v>
      </c>
      <c r="M7" s="3282" t="s">
        <v>3266</v>
      </c>
      <c r="N7" s="3268" t="s">
        <v>3152</v>
      </c>
      <c r="O7" s="3267" t="s">
        <v>3262</v>
      </c>
      <c r="P7" s="3267" t="s">
        <v>2963</v>
      </c>
      <c r="Q7" s="3287">
        <v>325000</v>
      </c>
      <c r="R7" s="3267">
        <v>7588</v>
      </c>
      <c r="S7" s="3272">
        <v>26.55</v>
      </c>
      <c r="T7" s="3273">
        <v>265500</v>
      </c>
      <c r="U7" s="3287">
        <v>6200</v>
      </c>
      <c r="V7" s="3289">
        <v>0.05</v>
      </c>
      <c r="W7" s="3272">
        <v>25.22</v>
      </c>
      <c r="X7" s="3273">
        <v>252200</v>
      </c>
      <c r="Y7" s="3267">
        <v>2006</v>
      </c>
      <c r="Z7" s="3267">
        <v>1</v>
      </c>
      <c r="AA7" s="3267">
        <v>6</v>
      </c>
      <c r="AB7" s="3267">
        <v>795</v>
      </c>
      <c r="AC7" s="3267" t="s">
        <v>3227</v>
      </c>
      <c r="AD7" s="3267" t="s">
        <v>3262</v>
      </c>
      <c r="AE7" s="3267" t="s">
        <v>3245</v>
      </c>
      <c r="AF7" s="3267" t="s">
        <v>2966</v>
      </c>
      <c r="AG7" s="3267" t="s">
        <v>2967</v>
      </c>
      <c r="AH7" s="3267" t="s">
        <v>3262</v>
      </c>
      <c r="AI7" s="3268"/>
      <c r="AJ7" s="3277" t="s">
        <v>3262</v>
      </c>
      <c r="AK7" s="3267" t="s">
        <v>3131</v>
      </c>
      <c r="AL7" s="3276">
        <v>82253558</v>
      </c>
      <c r="AM7" s="3267" t="s">
        <v>3262</v>
      </c>
      <c r="AN7" s="3267" t="s">
        <v>3131</v>
      </c>
      <c r="AO7" s="3267"/>
      <c r="AP7" s="3267" t="s">
        <v>3245</v>
      </c>
      <c r="AQ7" s="3267" t="s">
        <v>3228</v>
      </c>
      <c r="AR7" s="3267">
        <v>2006</v>
      </c>
      <c r="AS7" s="3267">
        <v>1</v>
      </c>
      <c r="AT7" s="3267">
        <v>6</v>
      </c>
      <c r="AU7" s="3267" t="s">
        <v>3262</v>
      </c>
      <c r="AV7" s="3267" t="s">
        <v>3262</v>
      </c>
      <c r="AW7" s="3267" t="s">
        <v>3119</v>
      </c>
      <c r="AX7" s="3267" t="s">
        <v>3262</v>
      </c>
      <c r="AY7" s="3279" t="s">
        <v>3262</v>
      </c>
      <c r="AZ7" s="3267" t="s">
        <v>3265</v>
      </c>
      <c r="BA7" s="3267" t="s">
        <v>3262</v>
      </c>
      <c r="BB7" s="3267" t="s">
        <v>3262</v>
      </c>
      <c r="BC7" s="3267" t="s">
        <v>3262</v>
      </c>
      <c r="BD7" s="3267" t="s">
        <v>3262</v>
      </c>
      <c r="BE7" s="3267"/>
      <c r="BF7" s="3267" t="s">
        <v>3262</v>
      </c>
      <c r="BG7" s="3290">
        <v>38702</v>
      </c>
      <c r="BH7" s="3267" t="s">
        <v>3262</v>
      </c>
      <c r="BI7" s="3267" t="s">
        <v>3267</v>
      </c>
      <c r="BJ7" s="3284">
        <v>38702</v>
      </c>
      <c r="BK7" s="3284" t="s">
        <v>3262</v>
      </c>
      <c r="BL7" s="3267" t="s">
        <v>2998</v>
      </c>
      <c r="BM7" s="3267" t="s">
        <v>2879</v>
      </c>
      <c r="BN7" s="3276" t="s">
        <v>2999</v>
      </c>
      <c r="BO7" s="3267" t="s">
        <v>3268</v>
      </c>
      <c r="BP7" s="3267" t="s">
        <v>3262</v>
      </c>
      <c r="BQ7" s="3276" t="e">
        <v>#VALUE!</v>
      </c>
      <c r="BR7" s="3276" t="e">
        <v>#VALUE!</v>
      </c>
      <c r="BS7" s="3285"/>
      <c r="BT7" s="3285"/>
      <c r="BU7" s="3285"/>
    </row>
    <row r="8" spans="1:73" hidden="1">
      <c r="A8" s="3267" t="s">
        <v>3269</v>
      </c>
      <c r="B8" s="3267" t="s">
        <v>3270</v>
      </c>
      <c r="C8" s="3269" t="s">
        <v>3271</v>
      </c>
      <c r="D8" s="3269" t="s">
        <v>3272</v>
      </c>
      <c r="E8" s="3267" t="s">
        <v>2985</v>
      </c>
      <c r="F8" s="3268" t="s">
        <v>3273</v>
      </c>
      <c r="G8" s="3267"/>
      <c r="H8" s="3267" t="s">
        <v>3138</v>
      </c>
      <c r="I8" s="3267"/>
      <c r="J8" s="3269" t="s">
        <v>3274</v>
      </c>
      <c r="K8" s="3267" t="s">
        <v>3275</v>
      </c>
      <c r="L8" s="3286">
        <v>65.010000000000005</v>
      </c>
      <c r="M8" s="3267">
        <v>9</v>
      </c>
      <c r="N8" s="3267" t="s">
        <v>3122</v>
      </c>
      <c r="O8" s="3268"/>
      <c r="P8" s="3268" t="s">
        <v>2963</v>
      </c>
      <c r="Q8" s="3287">
        <v>470000</v>
      </c>
      <c r="R8" s="3267">
        <v>7230</v>
      </c>
      <c r="S8" s="3272">
        <v>37.44</v>
      </c>
      <c r="T8" s="3273">
        <v>374400</v>
      </c>
      <c r="U8" s="3267">
        <v>5760</v>
      </c>
      <c r="V8" s="3289">
        <v>0.05</v>
      </c>
      <c r="W8" s="3272">
        <v>35.56</v>
      </c>
      <c r="X8" s="3273">
        <v>355600</v>
      </c>
      <c r="Y8" s="3276">
        <v>2006</v>
      </c>
      <c r="Z8" s="3276">
        <v>1</v>
      </c>
      <c r="AA8" s="3301">
        <v>9</v>
      </c>
      <c r="AB8" s="3267">
        <v>1120</v>
      </c>
      <c r="AC8" s="3267" t="s">
        <v>3227</v>
      </c>
      <c r="AD8" s="3267"/>
      <c r="AE8" s="3302" t="s">
        <v>3245</v>
      </c>
      <c r="AF8" s="3267" t="s">
        <v>2966</v>
      </c>
      <c r="AG8" s="3268" t="s">
        <v>2967</v>
      </c>
      <c r="AH8" s="3267"/>
      <c r="AI8" s="3302" t="s">
        <v>3245</v>
      </c>
      <c r="AJ8" s="3303"/>
      <c r="AK8" s="3267" t="s">
        <v>3131</v>
      </c>
      <c r="AL8" s="3276">
        <v>82253558</v>
      </c>
      <c r="AM8" s="3276"/>
      <c r="AN8" s="3276" t="s">
        <v>3140</v>
      </c>
      <c r="AO8" s="3276"/>
      <c r="AP8" s="3267" t="s">
        <v>3245</v>
      </c>
      <c r="AQ8" s="3267" t="s">
        <v>3228</v>
      </c>
      <c r="AR8" s="3267">
        <v>2006</v>
      </c>
      <c r="AS8" s="3267">
        <v>1</v>
      </c>
      <c r="AT8" s="3267">
        <v>9</v>
      </c>
      <c r="AU8" s="3276"/>
      <c r="AV8" s="3276"/>
      <c r="AW8" s="3276" t="s">
        <v>3112</v>
      </c>
      <c r="AX8" s="3276"/>
      <c r="AY8" s="3291"/>
      <c r="AZ8" s="3276" t="s">
        <v>3275</v>
      </c>
      <c r="BA8" s="3276"/>
      <c r="BB8" s="3291"/>
      <c r="BC8" s="3276"/>
      <c r="BD8" s="3292"/>
      <c r="BE8" s="3276"/>
      <c r="BF8" s="3281"/>
      <c r="BG8" s="3299">
        <v>38702</v>
      </c>
      <c r="BH8" s="3268"/>
      <c r="BI8" s="3268" t="s">
        <v>3239</v>
      </c>
      <c r="BJ8" s="3283">
        <v>38702</v>
      </c>
      <c r="BK8" s="3283"/>
      <c r="BL8" s="3267" t="s">
        <v>3249</v>
      </c>
      <c r="BM8" s="3267" t="s">
        <v>2879</v>
      </c>
      <c r="BN8" s="3267" t="s">
        <v>3111</v>
      </c>
      <c r="BO8" s="3267" t="s">
        <v>3146</v>
      </c>
      <c r="BP8" s="3276"/>
      <c r="BQ8" s="3276" t="e">
        <v>#DIV/0!</v>
      </c>
      <c r="BR8" s="3276" t="e">
        <v>#DIV/0!</v>
      </c>
      <c r="BS8" s="3285"/>
      <c r="BT8" s="3285"/>
      <c r="BU8" s="3285"/>
    </row>
    <row r="9" spans="1:73" hidden="1">
      <c r="A9" s="3268" t="s">
        <v>3276</v>
      </c>
      <c r="B9" s="3267" t="s">
        <v>3277</v>
      </c>
      <c r="C9" s="3269" t="s">
        <v>3278</v>
      </c>
      <c r="D9" s="3268">
        <v>13681492862</v>
      </c>
      <c r="E9" s="3267" t="s">
        <v>2985</v>
      </c>
      <c r="F9" s="3267" t="s">
        <v>3279</v>
      </c>
      <c r="G9" s="3267"/>
      <c r="H9" s="3267" t="s">
        <v>3280</v>
      </c>
      <c r="I9" s="3267" t="s">
        <v>3281</v>
      </c>
      <c r="J9" s="3267" t="s">
        <v>3126</v>
      </c>
      <c r="K9" s="3267" t="s">
        <v>3277</v>
      </c>
      <c r="L9" s="3267">
        <v>65.3</v>
      </c>
      <c r="M9" s="3269" t="s">
        <v>3282</v>
      </c>
      <c r="N9" s="3268" t="s">
        <v>3122</v>
      </c>
      <c r="O9" s="3267">
        <v>56.55</v>
      </c>
      <c r="P9" s="3268" t="s">
        <v>2963</v>
      </c>
      <c r="Q9" s="3271">
        <v>300000</v>
      </c>
      <c r="R9" s="3267">
        <v>4594</v>
      </c>
      <c r="S9" s="3272">
        <v>30.03</v>
      </c>
      <c r="T9" s="3273">
        <v>300300</v>
      </c>
      <c r="U9" s="3267">
        <v>4600</v>
      </c>
      <c r="V9" s="3289">
        <v>0.05</v>
      </c>
      <c r="W9" s="3272">
        <v>28.52</v>
      </c>
      <c r="X9" s="3275">
        <v>285200</v>
      </c>
      <c r="Y9" s="3267">
        <v>2006</v>
      </c>
      <c r="Z9" s="3267">
        <v>1</v>
      </c>
      <c r="AA9" s="3267">
        <v>23</v>
      </c>
      <c r="AB9" s="3267">
        <v>900</v>
      </c>
      <c r="AC9" s="3267" t="s">
        <v>3227</v>
      </c>
      <c r="AD9" s="3267"/>
      <c r="AE9" s="3267" t="s">
        <v>3245</v>
      </c>
      <c r="AF9" s="3267" t="s">
        <v>2966</v>
      </c>
      <c r="AG9" s="3279" t="s">
        <v>2967</v>
      </c>
      <c r="AH9" s="3267"/>
      <c r="AI9" s="3267" t="s">
        <v>3115</v>
      </c>
      <c r="AJ9" s="3284"/>
      <c r="AK9" s="3267" t="s">
        <v>3131</v>
      </c>
      <c r="AL9" s="3267">
        <v>82253558</v>
      </c>
      <c r="AM9" s="3267"/>
      <c r="AN9" s="3267" t="s">
        <v>2994</v>
      </c>
      <c r="AO9" s="3267"/>
      <c r="AP9" s="3267" t="s">
        <v>3180</v>
      </c>
      <c r="AQ9" s="3267" t="s">
        <v>3228</v>
      </c>
      <c r="AR9" s="3276">
        <v>2006</v>
      </c>
      <c r="AS9" s="3276">
        <v>1</v>
      </c>
      <c r="AT9" s="3267">
        <v>23</v>
      </c>
      <c r="AU9" s="3267"/>
      <c r="AV9" s="3267" t="s">
        <v>2968</v>
      </c>
      <c r="AW9" s="3267" t="s">
        <v>2997</v>
      </c>
      <c r="AX9" s="3267" t="s">
        <v>2968</v>
      </c>
      <c r="AY9" s="3269"/>
      <c r="AZ9" s="3267" t="s">
        <v>3283</v>
      </c>
      <c r="BA9" s="3267"/>
      <c r="BB9" s="3269"/>
      <c r="BC9" s="3267"/>
      <c r="BD9" s="3304"/>
      <c r="BE9" s="3267"/>
      <c r="BF9" s="3305"/>
      <c r="BG9" s="3284">
        <v>38693</v>
      </c>
      <c r="BH9" s="3267"/>
      <c r="BI9" s="3267" t="s">
        <v>3145</v>
      </c>
      <c r="BJ9" s="3283">
        <v>38706</v>
      </c>
      <c r="BK9" s="3303"/>
      <c r="BL9" s="3267" t="s">
        <v>2998</v>
      </c>
      <c r="BM9" s="3276" t="s">
        <v>2879</v>
      </c>
      <c r="BN9" s="3276" t="s">
        <v>3111</v>
      </c>
      <c r="BO9" s="3276" t="s">
        <v>3146</v>
      </c>
      <c r="BP9" s="3276"/>
      <c r="BQ9" s="3276">
        <v>5310</v>
      </c>
      <c r="BR9" s="3276">
        <v>5305</v>
      </c>
      <c r="BS9" s="3285"/>
      <c r="BT9" s="3285"/>
      <c r="BU9" s="3285"/>
    </row>
    <row r="10" spans="1:73" hidden="1">
      <c r="A10" s="3268" t="s">
        <v>3284</v>
      </c>
      <c r="B10" s="3268" t="s">
        <v>3132</v>
      </c>
      <c r="C10" s="3269" t="s">
        <v>3285</v>
      </c>
      <c r="D10" s="3268">
        <v>13366693934</v>
      </c>
      <c r="E10" s="3268" t="s">
        <v>2985</v>
      </c>
      <c r="F10" s="3268" t="s">
        <v>3286</v>
      </c>
      <c r="G10" s="3268"/>
      <c r="H10" s="3268" t="s">
        <v>3194</v>
      </c>
      <c r="I10" s="3268" t="s">
        <v>2968</v>
      </c>
      <c r="J10" s="3268" t="s">
        <v>3287</v>
      </c>
      <c r="K10" s="3268" t="s">
        <v>3288</v>
      </c>
      <c r="L10" s="3270">
        <v>77.09</v>
      </c>
      <c r="M10" s="3270">
        <v>8</v>
      </c>
      <c r="N10" s="3268" t="s">
        <v>3122</v>
      </c>
      <c r="O10" s="3270"/>
      <c r="P10" s="3268" t="s">
        <v>2963</v>
      </c>
      <c r="Q10" s="3271">
        <v>350000</v>
      </c>
      <c r="R10" s="3267">
        <v>4540</v>
      </c>
      <c r="S10" s="3272">
        <v>34.69</v>
      </c>
      <c r="T10" s="3273">
        <v>346900</v>
      </c>
      <c r="U10" s="3267">
        <v>4500</v>
      </c>
      <c r="V10" s="3289">
        <v>0.05</v>
      </c>
      <c r="W10" s="3272">
        <v>32.950000000000003</v>
      </c>
      <c r="X10" s="3275">
        <v>329500</v>
      </c>
      <c r="Y10" s="3276">
        <v>2005</v>
      </c>
      <c r="Z10" s="3276">
        <v>12</v>
      </c>
      <c r="AA10" s="3267">
        <v>31</v>
      </c>
      <c r="AB10" s="3267">
        <v>1040</v>
      </c>
      <c r="AC10" s="3267" t="s">
        <v>3227</v>
      </c>
      <c r="AD10" s="3268"/>
      <c r="AE10" s="3268" t="s">
        <v>3245</v>
      </c>
      <c r="AF10" s="3268" t="s">
        <v>2966</v>
      </c>
      <c r="AG10" s="3268" t="s">
        <v>2967</v>
      </c>
      <c r="AH10" s="3268"/>
      <c r="AI10" s="3267" t="s">
        <v>3115</v>
      </c>
      <c r="AJ10" s="3290"/>
      <c r="AK10" s="3267" t="s">
        <v>3120</v>
      </c>
      <c r="AL10" s="3276">
        <v>82253558</v>
      </c>
      <c r="AM10" s="3276"/>
      <c r="AN10" s="3267" t="s">
        <v>3099</v>
      </c>
      <c r="AO10" s="3267"/>
      <c r="AP10" s="3276" t="s">
        <v>3245</v>
      </c>
      <c r="AQ10" s="3267" t="s">
        <v>3228</v>
      </c>
      <c r="AR10" s="3267">
        <v>2005</v>
      </c>
      <c r="AS10" s="3267">
        <v>12</v>
      </c>
      <c r="AT10" s="3267">
        <v>31</v>
      </c>
      <c r="AU10" s="3267"/>
      <c r="AV10" s="3277"/>
      <c r="AW10" s="3276" t="s">
        <v>2997</v>
      </c>
      <c r="AX10" s="3276"/>
      <c r="AY10" s="3291"/>
      <c r="AZ10" s="3267" t="s">
        <v>3288</v>
      </c>
      <c r="BA10" s="3296"/>
      <c r="BB10" s="3297"/>
      <c r="BC10" s="3296"/>
      <c r="BD10" s="3298"/>
      <c r="BE10" s="3276"/>
      <c r="BF10" s="3281"/>
      <c r="BG10" s="3293">
        <v>38705</v>
      </c>
      <c r="BH10" s="3267"/>
      <c r="BI10" s="3276" t="s">
        <v>3239</v>
      </c>
      <c r="BJ10" s="3283">
        <v>38705</v>
      </c>
      <c r="BK10" s="3299"/>
      <c r="BL10" s="3267" t="s">
        <v>2998</v>
      </c>
      <c r="BM10" s="3267" t="s">
        <v>2879</v>
      </c>
      <c r="BN10" s="3267" t="s">
        <v>3111</v>
      </c>
      <c r="BO10" s="3267" t="s">
        <v>3146</v>
      </c>
      <c r="BP10" s="3276"/>
      <c r="BQ10" s="3276" t="e">
        <v>#DIV/0!</v>
      </c>
      <c r="BR10" s="3276" t="e">
        <v>#DIV/0!</v>
      </c>
      <c r="BS10" s="3285"/>
      <c r="BT10" s="3285"/>
      <c r="BU10" s="3285"/>
    </row>
    <row r="11" spans="1:73" hidden="1">
      <c r="A11" s="3267" t="s">
        <v>3289</v>
      </c>
      <c r="B11" s="3267" t="s">
        <v>3290</v>
      </c>
      <c r="C11" s="3269" t="s">
        <v>3291</v>
      </c>
      <c r="D11" s="3268">
        <v>13691243181</v>
      </c>
      <c r="E11" s="3267" t="s">
        <v>2985</v>
      </c>
      <c r="F11" s="3267" t="s">
        <v>3292</v>
      </c>
      <c r="G11" s="3267"/>
      <c r="H11" s="3267" t="s">
        <v>3182</v>
      </c>
      <c r="I11" s="3267"/>
      <c r="J11" s="3267" t="s">
        <v>3293</v>
      </c>
      <c r="K11" s="3267" t="s">
        <v>3294</v>
      </c>
      <c r="L11" s="3267">
        <v>72.66</v>
      </c>
      <c r="M11" s="3267">
        <v>25</v>
      </c>
      <c r="N11" s="3268" t="s">
        <v>3152</v>
      </c>
      <c r="O11" s="3267">
        <v>59.38</v>
      </c>
      <c r="P11" s="3267" t="s">
        <v>2963</v>
      </c>
      <c r="Q11" s="3271">
        <v>350000</v>
      </c>
      <c r="R11" s="3267">
        <v>4817</v>
      </c>
      <c r="S11" s="3272">
        <v>34.15</v>
      </c>
      <c r="T11" s="3273">
        <v>341500</v>
      </c>
      <c r="U11" s="3267">
        <v>4700</v>
      </c>
      <c r="V11" s="3289">
        <v>0.05</v>
      </c>
      <c r="W11" s="3272">
        <v>32.44</v>
      </c>
      <c r="X11" s="3275">
        <v>324400</v>
      </c>
      <c r="Y11" s="3276">
        <v>2006</v>
      </c>
      <c r="Z11" s="3276">
        <v>1</v>
      </c>
      <c r="AA11" s="3267">
        <v>5</v>
      </c>
      <c r="AB11" s="3267">
        <v>1020</v>
      </c>
      <c r="AC11" s="3267" t="s">
        <v>3227</v>
      </c>
      <c r="AD11" s="3267"/>
      <c r="AE11" s="3276" t="s">
        <v>3245</v>
      </c>
      <c r="AF11" s="3267" t="s">
        <v>2966</v>
      </c>
      <c r="AG11" s="3279" t="s">
        <v>2967</v>
      </c>
      <c r="AH11" s="3267"/>
      <c r="AI11" s="3279" t="s">
        <v>3295</v>
      </c>
      <c r="AJ11" s="3303"/>
      <c r="AK11" s="3267" t="s">
        <v>3131</v>
      </c>
      <c r="AL11" s="3276">
        <v>82253558</v>
      </c>
      <c r="AM11" s="3267"/>
      <c r="AN11" s="3279" t="s">
        <v>3131</v>
      </c>
      <c r="AO11" s="3276"/>
      <c r="AP11" s="3276" t="s">
        <v>3245</v>
      </c>
      <c r="AQ11" s="3267" t="s">
        <v>3228</v>
      </c>
      <c r="AR11" s="3267">
        <v>2006</v>
      </c>
      <c r="AS11" s="3267">
        <v>1</v>
      </c>
      <c r="AT11" s="3267">
        <v>5</v>
      </c>
      <c r="AU11" s="3267"/>
      <c r="AV11" s="3267"/>
      <c r="AW11" s="3267" t="s">
        <v>3112</v>
      </c>
      <c r="AX11" s="3267"/>
      <c r="AY11" s="3269"/>
      <c r="AZ11" s="3267" t="s">
        <v>3294</v>
      </c>
      <c r="BA11" s="3267"/>
      <c r="BB11" s="3269"/>
      <c r="BC11" s="3267"/>
      <c r="BD11" s="3304"/>
      <c r="BE11" s="3267"/>
      <c r="BF11" s="3305"/>
      <c r="BG11" s="3284">
        <v>38702</v>
      </c>
      <c r="BH11" s="3267"/>
      <c r="BI11" s="3276" t="s">
        <v>3267</v>
      </c>
      <c r="BJ11" s="3284">
        <v>38702</v>
      </c>
      <c r="BK11" s="3303"/>
      <c r="BL11" s="3267" t="s">
        <v>2998</v>
      </c>
      <c r="BM11" s="3276" t="s">
        <v>2879</v>
      </c>
      <c r="BN11" s="3276" t="s">
        <v>3111</v>
      </c>
      <c r="BO11" s="3267" t="s">
        <v>3146</v>
      </c>
      <c r="BP11" s="3276"/>
      <c r="BQ11" s="3276">
        <v>5751</v>
      </c>
      <c r="BR11" s="3276">
        <v>5894</v>
      </c>
      <c r="BS11" s="3285"/>
      <c r="BT11" s="3285"/>
      <c r="BU11" s="3285"/>
    </row>
    <row r="12" spans="1:73" hidden="1">
      <c r="A12" s="3267" t="s">
        <v>3296</v>
      </c>
      <c r="B12" s="3267" t="s">
        <v>3297</v>
      </c>
      <c r="C12" s="3269" t="s">
        <v>3298</v>
      </c>
      <c r="D12" s="3269" t="s">
        <v>3299</v>
      </c>
      <c r="E12" s="3267" t="s">
        <v>2985</v>
      </c>
      <c r="F12" s="3267" t="s">
        <v>3300</v>
      </c>
      <c r="G12" s="3267"/>
      <c r="H12" s="3267" t="s">
        <v>3097</v>
      </c>
      <c r="I12" s="3267" t="s">
        <v>3141</v>
      </c>
      <c r="J12" s="3269" t="s">
        <v>3301</v>
      </c>
      <c r="K12" s="3267" t="s">
        <v>3302</v>
      </c>
      <c r="L12" s="3286">
        <v>131.43</v>
      </c>
      <c r="M12" s="3267">
        <v>5</v>
      </c>
      <c r="N12" s="3267" t="s">
        <v>3303</v>
      </c>
      <c r="O12" s="3267"/>
      <c r="P12" s="3267" t="s">
        <v>2963</v>
      </c>
      <c r="Q12" s="3287">
        <v>1000000</v>
      </c>
      <c r="R12" s="3267">
        <v>7609</v>
      </c>
      <c r="S12" s="3272">
        <v>94.14</v>
      </c>
      <c r="T12" s="3273">
        <v>941400</v>
      </c>
      <c r="U12" s="3267">
        <v>7163</v>
      </c>
      <c r="V12" s="3289">
        <v>0.05</v>
      </c>
      <c r="W12" s="3272">
        <v>89.43</v>
      </c>
      <c r="X12" s="3275">
        <v>894300</v>
      </c>
      <c r="Y12" s="3276">
        <v>2006</v>
      </c>
      <c r="Z12" s="3276">
        <v>1</v>
      </c>
      <c r="AA12" s="3276">
        <v>6</v>
      </c>
      <c r="AB12" s="3267">
        <v>1500</v>
      </c>
      <c r="AC12" s="3267" t="s">
        <v>3227</v>
      </c>
      <c r="AD12" s="3267"/>
      <c r="AE12" s="3267" t="s">
        <v>3304</v>
      </c>
      <c r="AF12" s="3267" t="s">
        <v>2966</v>
      </c>
      <c r="AG12" s="3267" t="s">
        <v>2967</v>
      </c>
      <c r="AH12" s="3267"/>
      <c r="AI12" s="3267" t="s">
        <v>3295</v>
      </c>
      <c r="AJ12" s="3277"/>
      <c r="AK12" s="3306" t="s">
        <v>3131</v>
      </c>
      <c r="AL12" s="3267">
        <v>82253558</v>
      </c>
      <c r="AM12" s="3276"/>
      <c r="AN12" s="3279" t="s">
        <v>3131</v>
      </c>
      <c r="AO12" s="3267" t="s">
        <v>2968</v>
      </c>
      <c r="AP12" s="3267" t="s">
        <v>3305</v>
      </c>
      <c r="AQ12" s="3267" t="s">
        <v>3228</v>
      </c>
      <c r="AR12" s="3276">
        <v>2006</v>
      </c>
      <c r="AS12" s="3276">
        <v>1</v>
      </c>
      <c r="AT12" s="3276">
        <v>6</v>
      </c>
      <c r="AU12" s="3276"/>
      <c r="AV12" s="3276"/>
      <c r="AW12" s="3267" t="s">
        <v>2997</v>
      </c>
      <c r="AX12" s="3276"/>
      <c r="AY12" s="3291"/>
      <c r="AZ12" s="3276" t="s">
        <v>3302</v>
      </c>
      <c r="BA12" s="3276"/>
      <c r="BB12" s="3291"/>
      <c r="BC12" s="3276"/>
      <c r="BD12" s="3292"/>
      <c r="BE12" s="3276"/>
      <c r="BF12" s="3281"/>
      <c r="BG12" s="3307">
        <v>38707</v>
      </c>
      <c r="BH12" s="3276" t="s">
        <v>2998</v>
      </c>
      <c r="BI12" s="3268" t="s">
        <v>3267</v>
      </c>
      <c r="BJ12" s="3283">
        <v>38707</v>
      </c>
      <c r="BK12" s="3284"/>
      <c r="BL12" s="3276" t="s">
        <v>2998</v>
      </c>
      <c r="BM12" s="3276" t="s">
        <v>2879</v>
      </c>
      <c r="BN12" s="3276" t="s">
        <v>3111</v>
      </c>
      <c r="BO12" s="3276" t="s">
        <v>3146</v>
      </c>
      <c r="BP12" s="3276"/>
      <c r="BQ12" s="3276" t="e">
        <v>#DIV/0!</v>
      </c>
      <c r="BR12" s="3276" t="e">
        <v>#DIV/0!</v>
      </c>
      <c r="BS12" s="3285"/>
      <c r="BT12" s="3285"/>
      <c r="BU12" s="3285"/>
    </row>
    <row r="13" spans="1:73" hidden="1">
      <c r="A13" s="3268" t="s">
        <v>3306</v>
      </c>
      <c r="B13" s="3267" t="s">
        <v>3307</v>
      </c>
      <c r="C13" s="3269" t="s">
        <v>3308</v>
      </c>
      <c r="D13" s="3268">
        <v>13321122007</v>
      </c>
      <c r="E13" s="3267" t="s">
        <v>2985</v>
      </c>
      <c r="F13" s="3267" t="s">
        <v>3309</v>
      </c>
      <c r="G13" s="3267"/>
      <c r="H13" s="3267" t="s">
        <v>3310</v>
      </c>
      <c r="I13" s="3267"/>
      <c r="J13" s="3267" t="s">
        <v>3311</v>
      </c>
      <c r="K13" s="3267" t="s">
        <v>3307</v>
      </c>
      <c r="L13" s="3267">
        <v>93.56</v>
      </c>
      <c r="M13" s="3267">
        <v>16</v>
      </c>
      <c r="N13" s="3268" t="s">
        <v>3122</v>
      </c>
      <c r="O13" s="3267"/>
      <c r="P13" s="3267" t="s">
        <v>2963</v>
      </c>
      <c r="Q13" s="3271">
        <v>625000</v>
      </c>
      <c r="R13" s="3267">
        <v>6680</v>
      </c>
      <c r="S13" s="3272">
        <v>50.52</v>
      </c>
      <c r="T13" s="3273">
        <v>505200</v>
      </c>
      <c r="U13" s="3267">
        <v>5400</v>
      </c>
      <c r="V13" s="3289">
        <v>0.05</v>
      </c>
      <c r="W13" s="3272">
        <v>47.99</v>
      </c>
      <c r="X13" s="3275">
        <v>479900</v>
      </c>
      <c r="Y13" s="3276">
        <v>2006</v>
      </c>
      <c r="Z13" s="3276">
        <v>1</v>
      </c>
      <c r="AA13" s="3276">
        <v>5</v>
      </c>
      <c r="AB13" s="3267">
        <v>1500</v>
      </c>
      <c r="AC13" s="3267" t="s">
        <v>3227</v>
      </c>
      <c r="AD13" s="3267"/>
      <c r="AE13" s="3267" t="s">
        <v>3245</v>
      </c>
      <c r="AF13" s="3267" t="s">
        <v>2966</v>
      </c>
      <c r="AG13" s="3279" t="s">
        <v>2967</v>
      </c>
      <c r="AH13" s="3267"/>
      <c r="AI13" s="3267" t="s">
        <v>3115</v>
      </c>
      <c r="AJ13" s="3284"/>
      <c r="AK13" s="3278">
        <v>1</v>
      </c>
      <c r="AL13" s="3267">
        <v>82253558</v>
      </c>
      <c r="AM13" s="3267"/>
      <c r="AN13" s="3267" t="s">
        <v>3131</v>
      </c>
      <c r="AO13" s="3267"/>
      <c r="AP13" s="3267" t="s">
        <v>3245</v>
      </c>
      <c r="AQ13" s="3267" t="s">
        <v>3228</v>
      </c>
      <c r="AR13" s="3267">
        <v>2006</v>
      </c>
      <c r="AS13" s="3267">
        <v>1</v>
      </c>
      <c r="AT13" s="3267">
        <v>5</v>
      </c>
      <c r="AU13" s="3267"/>
      <c r="AV13" s="3267"/>
      <c r="AW13" s="3267" t="s">
        <v>2998</v>
      </c>
      <c r="AX13" s="3267"/>
      <c r="AY13" s="3269"/>
      <c r="AZ13" s="3267" t="s">
        <v>3312</v>
      </c>
      <c r="BA13" s="3267"/>
      <c r="BB13" s="3269"/>
      <c r="BC13" s="3267"/>
      <c r="BD13" s="3304"/>
      <c r="BE13" s="3267"/>
      <c r="BF13" s="3305"/>
      <c r="BG13" s="3284">
        <v>38707</v>
      </c>
      <c r="BH13" s="3267"/>
      <c r="BI13" s="3276" t="s">
        <v>3239</v>
      </c>
      <c r="BJ13" s="3284">
        <v>38707</v>
      </c>
      <c r="BK13" s="3303"/>
      <c r="BL13" s="3267" t="s">
        <v>3249</v>
      </c>
      <c r="BM13" s="3276" t="s">
        <v>2879</v>
      </c>
      <c r="BN13" s="3276" t="s">
        <v>2998</v>
      </c>
      <c r="BO13" s="3267" t="s">
        <v>3146</v>
      </c>
      <c r="BP13" s="3276"/>
      <c r="BQ13" s="3276" t="e">
        <v>#DIV/0!</v>
      </c>
      <c r="BR13" s="3276" t="e">
        <v>#DIV/0!</v>
      </c>
      <c r="BS13" s="3285"/>
      <c r="BT13" s="3285"/>
      <c r="BU13" s="3285"/>
    </row>
    <row r="14" spans="1:73" hidden="1">
      <c r="A14" s="3267" t="s">
        <v>3313</v>
      </c>
      <c r="B14" s="3267" t="s">
        <v>3314</v>
      </c>
      <c r="C14" s="3269" t="s">
        <v>3315</v>
      </c>
      <c r="D14" s="3269" t="s">
        <v>3316</v>
      </c>
      <c r="E14" s="3267" t="s">
        <v>2985</v>
      </c>
      <c r="F14" s="3308" t="s">
        <v>3317</v>
      </c>
      <c r="G14" s="3267"/>
      <c r="H14" s="3267" t="s">
        <v>3139</v>
      </c>
      <c r="I14" s="3268" t="s">
        <v>3318</v>
      </c>
      <c r="J14" s="3269" t="s">
        <v>3173</v>
      </c>
      <c r="K14" s="3267" t="s">
        <v>3319</v>
      </c>
      <c r="L14" s="3267">
        <v>40.78</v>
      </c>
      <c r="M14" s="3267">
        <v>2</v>
      </c>
      <c r="N14" s="3267" t="s">
        <v>3152</v>
      </c>
      <c r="O14" s="3267"/>
      <c r="P14" s="3267" t="s">
        <v>2963</v>
      </c>
      <c r="Q14" s="3271">
        <v>333600</v>
      </c>
      <c r="R14" s="3267">
        <v>8180</v>
      </c>
      <c r="S14" s="3272">
        <v>24.06</v>
      </c>
      <c r="T14" s="3273">
        <v>240600</v>
      </c>
      <c r="U14" s="3267">
        <v>5900</v>
      </c>
      <c r="V14" s="3289">
        <v>0.05</v>
      </c>
      <c r="W14" s="3272">
        <v>22.85</v>
      </c>
      <c r="X14" s="3275">
        <v>228500</v>
      </c>
      <c r="Y14" s="3276">
        <v>2006</v>
      </c>
      <c r="Z14" s="3276">
        <v>1</v>
      </c>
      <c r="AA14" s="3301">
        <v>9</v>
      </c>
      <c r="AB14" s="3267">
        <v>720</v>
      </c>
      <c r="AC14" s="3267" t="s">
        <v>3227</v>
      </c>
      <c r="AD14" s="3267"/>
      <c r="AE14" s="3276" t="s">
        <v>3176</v>
      </c>
      <c r="AF14" s="3268" t="s">
        <v>2966</v>
      </c>
      <c r="AG14" s="3279" t="s">
        <v>2967</v>
      </c>
      <c r="AH14" s="3267"/>
      <c r="AI14" s="3267" t="s">
        <v>3115</v>
      </c>
      <c r="AJ14" s="3303"/>
      <c r="AK14" s="3267" t="s">
        <v>3131</v>
      </c>
      <c r="AL14" s="3267">
        <v>82253558</v>
      </c>
      <c r="AM14" s="3276"/>
      <c r="AN14" s="3276" t="s">
        <v>3140</v>
      </c>
      <c r="AO14" s="3276" t="s">
        <v>2968</v>
      </c>
      <c r="AP14" s="3267" t="s">
        <v>3180</v>
      </c>
      <c r="AQ14" s="3267" t="s">
        <v>3228</v>
      </c>
      <c r="AR14" s="3267">
        <v>2006</v>
      </c>
      <c r="AS14" s="3267">
        <v>1</v>
      </c>
      <c r="AT14" s="3267">
        <v>9</v>
      </c>
      <c r="AU14" s="3276"/>
      <c r="AV14" s="3276"/>
      <c r="AW14" s="3267" t="s">
        <v>2997</v>
      </c>
      <c r="AX14" s="3267"/>
      <c r="AY14" s="3309"/>
      <c r="AZ14" s="3267" t="s">
        <v>3319</v>
      </c>
      <c r="BA14" s="3276"/>
      <c r="BB14" s="3291"/>
      <c r="BC14" s="3276"/>
      <c r="BD14" s="3292"/>
      <c r="BE14" s="3276"/>
      <c r="BF14" s="3281"/>
      <c r="BG14" s="3307">
        <v>38709</v>
      </c>
      <c r="BH14" s="3268"/>
      <c r="BI14" s="3268" t="s">
        <v>3239</v>
      </c>
      <c r="BJ14" s="3283">
        <v>38709</v>
      </c>
      <c r="BK14" s="3283"/>
      <c r="BL14" s="3267" t="s">
        <v>2998</v>
      </c>
      <c r="BM14" s="3276" t="s">
        <v>2879</v>
      </c>
      <c r="BN14" s="3276" t="s">
        <v>2999</v>
      </c>
      <c r="BO14" s="3276" t="s">
        <v>3320</v>
      </c>
      <c r="BP14" s="3276"/>
      <c r="BQ14" s="3276" t="e">
        <v>#DIV/0!</v>
      </c>
      <c r="BR14" s="3276" t="e">
        <v>#DIV/0!</v>
      </c>
      <c r="BS14" s="3285"/>
      <c r="BT14" s="3285"/>
      <c r="BU14" s="3285"/>
    </row>
    <row r="15" spans="1:73" hidden="1">
      <c r="A15" s="3267" t="s">
        <v>3321</v>
      </c>
      <c r="B15" s="3268" t="s">
        <v>3322</v>
      </c>
      <c r="C15" s="3269" t="s">
        <v>3323</v>
      </c>
      <c r="D15" s="3268">
        <v>13641083590</v>
      </c>
      <c r="E15" s="3268" t="s">
        <v>2985</v>
      </c>
      <c r="F15" s="3308" t="s">
        <v>3324</v>
      </c>
      <c r="G15" s="3268"/>
      <c r="H15" s="3268" t="s">
        <v>3325</v>
      </c>
      <c r="I15" s="3268"/>
      <c r="J15" s="3268" t="s">
        <v>3326</v>
      </c>
      <c r="K15" s="3268" t="s">
        <v>3327</v>
      </c>
      <c r="L15" s="3270">
        <v>89.37</v>
      </c>
      <c r="M15" s="3270">
        <v>20</v>
      </c>
      <c r="N15" s="3268" t="s">
        <v>3122</v>
      </c>
      <c r="O15" s="3270"/>
      <c r="P15" s="3268" t="s">
        <v>2963</v>
      </c>
      <c r="Q15" s="3271">
        <v>480000</v>
      </c>
      <c r="R15" s="3271">
        <v>5371</v>
      </c>
      <c r="S15" s="3272">
        <v>48.08</v>
      </c>
      <c r="T15" s="3273">
        <v>480800</v>
      </c>
      <c r="U15" s="3267">
        <v>5380</v>
      </c>
      <c r="V15" s="3274">
        <v>0.05</v>
      </c>
      <c r="W15" s="3272">
        <v>45.67</v>
      </c>
      <c r="X15" s="3273">
        <v>456700</v>
      </c>
      <c r="Y15" s="3276">
        <v>2006</v>
      </c>
      <c r="Z15" s="3276">
        <v>1</v>
      </c>
      <c r="AA15" s="3267">
        <v>4</v>
      </c>
      <c r="AB15" s="3267">
        <v>1440</v>
      </c>
      <c r="AC15" s="3267" t="s">
        <v>3227</v>
      </c>
      <c r="AD15" s="3268"/>
      <c r="AE15" s="3276" t="s">
        <v>3245</v>
      </c>
      <c r="AF15" s="3268" t="s">
        <v>2966</v>
      </c>
      <c r="AG15" s="3268" t="s">
        <v>2967</v>
      </c>
      <c r="AH15" s="3268"/>
      <c r="AI15" s="3267" t="s">
        <v>3295</v>
      </c>
      <c r="AJ15" s="3290"/>
      <c r="AK15" s="3278" t="s">
        <v>3131</v>
      </c>
      <c r="AL15" s="3276">
        <v>82253558</v>
      </c>
      <c r="AM15" s="3276"/>
      <c r="AN15" s="3279" t="s">
        <v>3099</v>
      </c>
      <c r="AO15" s="3276" t="s">
        <v>3328</v>
      </c>
      <c r="AP15" s="3276" t="s">
        <v>3245</v>
      </c>
      <c r="AQ15" s="3267" t="s">
        <v>3113</v>
      </c>
      <c r="AR15" s="3267"/>
      <c r="AS15" s="3267"/>
      <c r="AT15" s="3267"/>
      <c r="AU15" s="3267"/>
      <c r="AV15" s="3277"/>
      <c r="AW15" s="3267" t="s">
        <v>2997</v>
      </c>
      <c r="AX15" s="3268"/>
      <c r="AY15" s="3268"/>
      <c r="AZ15" s="3268" t="s">
        <v>3327</v>
      </c>
      <c r="BA15" s="3268"/>
      <c r="BB15" s="3280"/>
      <c r="BC15" s="3268"/>
      <c r="BD15" s="3268"/>
      <c r="BE15" s="3268"/>
      <c r="BF15" s="3281"/>
      <c r="BG15" s="3307"/>
      <c r="BH15" s="3268"/>
      <c r="BI15" s="3268" t="s">
        <v>3245</v>
      </c>
      <c r="BJ15" s="3283">
        <v>38715</v>
      </c>
      <c r="BK15" s="3284"/>
      <c r="BL15" s="3267" t="s">
        <v>3249</v>
      </c>
      <c r="BM15" s="3276" t="s">
        <v>2879</v>
      </c>
      <c r="BN15" s="3267" t="s">
        <v>3111</v>
      </c>
      <c r="BO15" s="3276" t="s">
        <v>3146</v>
      </c>
      <c r="BP15" s="3276"/>
      <c r="BQ15" s="3276" t="e">
        <v>#DIV/0!</v>
      </c>
      <c r="BR15" s="3276" t="e">
        <v>#DIV/0!</v>
      </c>
      <c r="BS15" s="3285"/>
      <c r="BT15" s="3285"/>
      <c r="BU15" s="3285"/>
    </row>
    <row r="16" spans="1:73" hidden="1">
      <c r="A16" s="3267" t="s">
        <v>3329</v>
      </c>
      <c r="B16" s="3267" t="s">
        <v>3330</v>
      </c>
      <c r="C16" s="3269" t="s">
        <v>3331</v>
      </c>
      <c r="D16" s="3268">
        <v>13501345123</v>
      </c>
      <c r="E16" s="3267" t="s">
        <v>2985</v>
      </c>
      <c r="F16" s="3267" t="s">
        <v>3332</v>
      </c>
      <c r="G16" s="3267"/>
      <c r="H16" s="3267" t="s">
        <v>3182</v>
      </c>
      <c r="I16" s="3267"/>
      <c r="J16" s="3267" t="s">
        <v>3333</v>
      </c>
      <c r="K16" s="3267" t="s">
        <v>3334</v>
      </c>
      <c r="L16" s="3267">
        <v>67.8</v>
      </c>
      <c r="M16" s="3267">
        <v>3</v>
      </c>
      <c r="N16" s="3268" t="s">
        <v>3122</v>
      </c>
      <c r="O16" s="3267"/>
      <c r="P16" s="3267" t="s">
        <v>2963</v>
      </c>
      <c r="Q16" s="3271">
        <v>510000</v>
      </c>
      <c r="R16" s="3267">
        <v>7522</v>
      </c>
      <c r="S16" s="3272">
        <v>40.68</v>
      </c>
      <c r="T16" s="3273">
        <v>406800</v>
      </c>
      <c r="U16" s="3267">
        <v>6000</v>
      </c>
      <c r="V16" s="3289">
        <v>0.05</v>
      </c>
      <c r="W16" s="3272">
        <v>38.64</v>
      </c>
      <c r="X16" s="3275">
        <v>386400</v>
      </c>
      <c r="Y16" s="3276">
        <v>2006</v>
      </c>
      <c r="Z16" s="3276">
        <v>1</v>
      </c>
      <c r="AA16" s="3267">
        <v>6</v>
      </c>
      <c r="AB16" s="3267">
        <v>1220</v>
      </c>
      <c r="AC16" s="3267" t="s">
        <v>3227</v>
      </c>
      <c r="AD16" s="3267"/>
      <c r="AE16" s="3276" t="s">
        <v>3245</v>
      </c>
      <c r="AF16" s="3267" t="s">
        <v>2966</v>
      </c>
      <c r="AG16" s="3279" t="s">
        <v>2967</v>
      </c>
      <c r="AH16" s="3267"/>
      <c r="AI16" s="3279" t="s">
        <v>3295</v>
      </c>
      <c r="AJ16" s="3303"/>
      <c r="AK16" s="3267" t="s">
        <v>3131</v>
      </c>
      <c r="AL16" s="3276">
        <v>82253558</v>
      </c>
      <c r="AM16" s="3267"/>
      <c r="AN16" s="3279" t="s">
        <v>3131</v>
      </c>
      <c r="AO16" s="3276"/>
      <c r="AP16" s="3276" t="s">
        <v>3245</v>
      </c>
      <c r="AQ16" s="3267" t="s">
        <v>3228</v>
      </c>
      <c r="AR16" s="3267">
        <v>2006</v>
      </c>
      <c r="AS16" s="3267">
        <v>1</v>
      </c>
      <c r="AT16" s="3267">
        <v>6</v>
      </c>
      <c r="AU16" s="3267"/>
      <c r="AV16" s="3267"/>
      <c r="AW16" s="3267" t="s">
        <v>3112</v>
      </c>
      <c r="AX16" s="3267"/>
      <c r="AY16" s="3269"/>
      <c r="AZ16" s="3267" t="s">
        <v>3334</v>
      </c>
      <c r="BA16" s="3267"/>
      <c r="BB16" s="3269"/>
      <c r="BC16" s="3267"/>
      <c r="BD16" s="3304"/>
      <c r="BE16" s="3267"/>
      <c r="BF16" s="3305"/>
      <c r="BG16" s="3284">
        <v>38712</v>
      </c>
      <c r="BH16" s="3267"/>
      <c r="BI16" s="3276" t="s">
        <v>3267</v>
      </c>
      <c r="BJ16" s="3284">
        <v>38712</v>
      </c>
      <c r="BK16" s="3303"/>
      <c r="BL16" s="3267" t="s">
        <v>3249</v>
      </c>
      <c r="BM16" s="3276" t="s">
        <v>2879</v>
      </c>
      <c r="BN16" s="3276" t="s">
        <v>3111</v>
      </c>
      <c r="BO16" s="3267" t="s">
        <v>3146</v>
      </c>
      <c r="BP16" s="3276"/>
      <c r="BQ16" s="3276" t="e">
        <v>#DIV/0!</v>
      </c>
      <c r="BR16" s="3276" t="e">
        <v>#DIV/0!</v>
      </c>
      <c r="BS16" s="3285"/>
      <c r="BT16" s="3285"/>
      <c r="BU16" s="3285"/>
    </row>
    <row r="17" spans="1:73" hidden="1">
      <c r="A17" s="3267" t="s">
        <v>3335</v>
      </c>
      <c r="B17" s="3267" t="s">
        <v>3336</v>
      </c>
      <c r="C17" s="3267" t="s">
        <v>3337</v>
      </c>
      <c r="D17" s="3267" t="s">
        <v>3338</v>
      </c>
      <c r="E17" s="3267" t="s">
        <v>2985</v>
      </c>
      <c r="F17" s="3267" t="s">
        <v>3261</v>
      </c>
      <c r="G17" s="3267" t="s">
        <v>3262</v>
      </c>
      <c r="H17" s="3267" t="s">
        <v>3339</v>
      </c>
      <c r="I17" s="3267"/>
      <c r="J17" s="3267" t="s">
        <v>3340</v>
      </c>
      <c r="K17" s="3267" t="s">
        <v>3341</v>
      </c>
      <c r="L17" s="3267">
        <v>61.86</v>
      </c>
      <c r="M17" s="3267" t="s">
        <v>3155</v>
      </c>
      <c r="N17" s="3267" t="s">
        <v>3122</v>
      </c>
      <c r="O17" s="3267"/>
      <c r="P17" s="3267" t="s">
        <v>2963</v>
      </c>
      <c r="Q17" s="3267">
        <v>420000</v>
      </c>
      <c r="R17" s="3267">
        <v>6790</v>
      </c>
      <c r="S17" s="3272">
        <v>37.869999999999997</v>
      </c>
      <c r="T17" s="3273">
        <v>378700</v>
      </c>
      <c r="U17" s="3267">
        <v>6122</v>
      </c>
      <c r="V17" s="3289">
        <v>0.05</v>
      </c>
      <c r="W17" s="3272">
        <v>35.97</v>
      </c>
      <c r="X17" s="3273">
        <v>359700</v>
      </c>
      <c r="Y17" s="3267">
        <v>2006</v>
      </c>
      <c r="Z17" s="3267">
        <v>1</v>
      </c>
      <c r="AA17" s="3267">
        <v>12</v>
      </c>
      <c r="AB17" s="3267">
        <v>1135</v>
      </c>
      <c r="AC17" s="3267" t="s">
        <v>3227</v>
      </c>
      <c r="AD17" s="3267"/>
      <c r="AE17" s="3267" t="s">
        <v>3342</v>
      </c>
      <c r="AF17" s="3267" t="s">
        <v>2966</v>
      </c>
      <c r="AG17" s="3267" t="s">
        <v>2967</v>
      </c>
      <c r="AH17" s="3267" t="s">
        <v>3262</v>
      </c>
      <c r="AI17" s="3267" t="s">
        <v>3115</v>
      </c>
      <c r="AJ17" s="3303" t="s">
        <v>3262</v>
      </c>
      <c r="AK17" s="3267" t="s">
        <v>3131</v>
      </c>
      <c r="AL17" s="3267">
        <v>82253558</v>
      </c>
      <c r="AM17" s="3267" t="s">
        <v>3262</v>
      </c>
      <c r="AN17" s="3267" t="s">
        <v>3140</v>
      </c>
      <c r="AO17" s="3267" t="s">
        <v>3343</v>
      </c>
      <c r="AP17" s="3267" t="s">
        <v>3180</v>
      </c>
      <c r="AQ17" s="3267" t="s">
        <v>3113</v>
      </c>
      <c r="AR17" s="3267" t="s">
        <v>3262</v>
      </c>
      <c r="AS17" s="3267" t="s">
        <v>3262</v>
      </c>
      <c r="AT17" s="3267" t="s">
        <v>3262</v>
      </c>
      <c r="AU17" s="3267" t="s">
        <v>3262</v>
      </c>
      <c r="AV17" s="3267" t="s">
        <v>3262</v>
      </c>
      <c r="AW17" s="3267" t="s">
        <v>3119</v>
      </c>
      <c r="AX17" s="3267" t="s">
        <v>3262</v>
      </c>
      <c r="AY17" s="3269" t="s">
        <v>3262</v>
      </c>
      <c r="AZ17" s="3267" t="s">
        <v>3341</v>
      </c>
      <c r="BA17" s="3267" t="s">
        <v>3262</v>
      </c>
      <c r="BB17" s="3269" t="s">
        <v>3262</v>
      </c>
      <c r="BC17" s="3267" t="s">
        <v>3262</v>
      </c>
      <c r="BD17" s="3304" t="s">
        <v>3262</v>
      </c>
      <c r="BE17" s="3267">
        <v>67379669</v>
      </c>
      <c r="BF17" s="3305" t="s">
        <v>3262</v>
      </c>
      <c r="BG17" s="3284">
        <v>38712</v>
      </c>
      <c r="BH17" s="3267" t="s">
        <v>3262</v>
      </c>
      <c r="BI17" s="3267" t="s">
        <v>3344</v>
      </c>
      <c r="BJ17" s="3303">
        <v>38716</v>
      </c>
      <c r="BK17" s="3303" t="s">
        <v>3262</v>
      </c>
      <c r="BL17" s="3267" t="s">
        <v>2998</v>
      </c>
      <c r="BM17" s="3267" t="s">
        <v>3345</v>
      </c>
      <c r="BN17" s="3267" t="s">
        <v>2999</v>
      </c>
      <c r="BO17" s="3267" t="s">
        <v>3146</v>
      </c>
      <c r="BP17" s="3267" t="s">
        <v>3262</v>
      </c>
      <c r="BQ17" s="3267" t="e">
        <v>#DIV/0!</v>
      </c>
      <c r="BR17" s="3267" t="e">
        <v>#DIV/0!</v>
      </c>
      <c r="BS17" s="3285"/>
      <c r="BT17" s="3285"/>
      <c r="BU17" s="3285"/>
    </row>
    <row r="18" spans="1:73" hidden="1">
      <c r="A18" s="3267" t="s">
        <v>3346</v>
      </c>
      <c r="B18" s="3267" t="s">
        <v>3347</v>
      </c>
      <c r="C18" s="3267" t="s">
        <v>3348</v>
      </c>
      <c r="D18" s="3267" t="s">
        <v>3349</v>
      </c>
      <c r="E18" s="3267" t="s">
        <v>2985</v>
      </c>
      <c r="F18" s="3267" t="s">
        <v>3350</v>
      </c>
      <c r="G18" s="3267"/>
      <c r="H18" s="3267" t="s">
        <v>3351</v>
      </c>
      <c r="I18" s="3267"/>
      <c r="J18" s="3267" t="s">
        <v>3352</v>
      </c>
      <c r="K18" s="3267" t="s">
        <v>3353</v>
      </c>
      <c r="L18" s="3270">
        <v>102.72</v>
      </c>
      <c r="M18" s="3267">
        <v>1</v>
      </c>
      <c r="N18" s="3267" t="s">
        <v>2989</v>
      </c>
      <c r="O18" s="3267">
        <v>85.17</v>
      </c>
      <c r="P18" s="3267" t="s">
        <v>2963</v>
      </c>
      <c r="Q18" s="3267">
        <v>550000</v>
      </c>
      <c r="R18" s="3310">
        <v>5354</v>
      </c>
      <c r="S18" s="3311">
        <v>55.34</v>
      </c>
      <c r="T18" s="3312">
        <v>553400</v>
      </c>
      <c r="U18" s="3267">
        <v>5388</v>
      </c>
      <c r="V18" s="3289">
        <v>0.05</v>
      </c>
      <c r="W18" s="3272">
        <v>52.57</v>
      </c>
      <c r="X18" s="3312">
        <v>525700</v>
      </c>
      <c r="Y18" s="3267">
        <v>2006</v>
      </c>
      <c r="Z18" s="3294">
        <v>3</v>
      </c>
      <c r="AA18" s="3294">
        <v>7</v>
      </c>
      <c r="AB18" s="3295">
        <v>1500</v>
      </c>
      <c r="AC18" s="3267" t="s">
        <v>3227</v>
      </c>
      <c r="AD18" s="3267"/>
      <c r="AE18" s="3267" t="s">
        <v>3344</v>
      </c>
      <c r="AF18" s="3267" t="s">
        <v>2966</v>
      </c>
      <c r="AG18" s="3267" t="s">
        <v>2967</v>
      </c>
      <c r="AH18" s="3267" t="s">
        <v>2968</v>
      </c>
      <c r="AI18" s="3267" t="s">
        <v>3115</v>
      </c>
      <c r="AJ18" s="3267"/>
      <c r="AK18" s="3267" t="s">
        <v>3114</v>
      </c>
      <c r="AL18" s="3267">
        <v>82253558</v>
      </c>
      <c r="AM18" s="3267"/>
      <c r="AN18" s="3267" t="s">
        <v>3140</v>
      </c>
      <c r="AO18" s="3267"/>
      <c r="AP18" s="3267" t="s">
        <v>3344</v>
      </c>
      <c r="AQ18" s="3267" t="s">
        <v>3113</v>
      </c>
      <c r="AR18" s="3267"/>
      <c r="AS18" s="3267"/>
      <c r="AT18" s="3267"/>
      <c r="AU18" s="3267"/>
      <c r="AV18" s="3267" t="s">
        <v>2968</v>
      </c>
      <c r="AW18" s="3267" t="s">
        <v>3119</v>
      </c>
      <c r="AX18" s="3267"/>
      <c r="AY18" s="3267"/>
      <c r="AZ18" s="3267" t="s">
        <v>3353</v>
      </c>
      <c r="BA18" s="3267"/>
      <c r="BB18" s="3267"/>
      <c r="BC18" s="3267"/>
      <c r="BD18" s="3267"/>
      <c r="BE18" s="3267" t="s">
        <v>3354</v>
      </c>
      <c r="BF18" s="3267"/>
      <c r="BG18" s="3284">
        <v>38715</v>
      </c>
      <c r="BH18" s="3267"/>
      <c r="BI18" s="3267" t="s">
        <v>3145</v>
      </c>
      <c r="BJ18" s="3284">
        <v>38728</v>
      </c>
      <c r="BK18" s="3267"/>
      <c r="BL18" s="3267" t="s">
        <v>2998</v>
      </c>
      <c r="BM18" s="3267" t="s">
        <v>2879</v>
      </c>
      <c r="BN18" s="3267" t="s">
        <v>2999</v>
      </c>
      <c r="BO18" s="3267" t="s">
        <v>3146</v>
      </c>
      <c r="BP18" s="3267"/>
      <c r="BQ18" s="3294">
        <v>6498</v>
      </c>
      <c r="BR18" s="3294">
        <v>6458</v>
      </c>
      <c r="BS18" s="3285"/>
      <c r="BT18" s="3285"/>
      <c r="BU18" s="3285"/>
    </row>
    <row r="19" spans="1:73" hidden="1">
      <c r="A19" s="3267" t="s">
        <v>3355</v>
      </c>
      <c r="B19" s="3267" t="s">
        <v>3356</v>
      </c>
      <c r="C19" s="3267" t="s">
        <v>3357</v>
      </c>
      <c r="D19" s="3267" t="s">
        <v>3358</v>
      </c>
      <c r="E19" s="3267" t="s">
        <v>2985</v>
      </c>
      <c r="F19" s="3267" t="s">
        <v>3359</v>
      </c>
      <c r="G19" s="3267"/>
      <c r="H19" s="3267" t="s">
        <v>3263</v>
      </c>
      <c r="I19" s="3267" t="s">
        <v>3318</v>
      </c>
      <c r="J19" s="3267" t="s">
        <v>3360</v>
      </c>
      <c r="K19" s="3267" t="s">
        <v>3361</v>
      </c>
      <c r="L19" s="3267">
        <v>62.64</v>
      </c>
      <c r="M19" s="3267">
        <v>6</v>
      </c>
      <c r="N19" s="3267" t="s">
        <v>3122</v>
      </c>
      <c r="O19" s="3267"/>
      <c r="P19" s="3267" t="s">
        <v>2963</v>
      </c>
      <c r="Q19" s="3267">
        <v>350000</v>
      </c>
      <c r="R19" s="3267">
        <v>5587</v>
      </c>
      <c r="S19" s="3272">
        <v>29.31</v>
      </c>
      <c r="T19" s="3273">
        <v>293100</v>
      </c>
      <c r="U19" s="3267">
        <v>4680</v>
      </c>
      <c r="V19" s="3289">
        <v>0.05</v>
      </c>
      <c r="W19" s="3272">
        <v>27.84</v>
      </c>
      <c r="X19" s="3273">
        <v>278400</v>
      </c>
      <c r="Y19" s="3267">
        <v>2006</v>
      </c>
      <c r="Z19" s="3267">
        <v>1</v>
      </c>
      <c r="AA19" s="3267">
        <v>16</v>
      </c>
      <c r="AB19" s="3267">
        <v>875</v>
      </c>
      <c r="AC19" s="3267" t="s">
        <v>3227</v>
      </c>
      <c r="AD19" s="3267"/>
      <c r="AE19" s="3267" t="s">
        <v>3245</v>
      </c>
      <c r="AF19" s="3267" t="s">
        <v>2966</v>
      </c>
      <c r="AG19" s="3267" t="s">
        <v>2967</v>
      </c>
      <c r="AH19" s="3267"/>
      <c r="AI19" s="3267" t="s">
        <v>3176</v>
      </c>
      <c r="AJ19" s="3303"/>
      <c r="AK19" s="3267">
        <v>1</v>
      </c>
      <c r="AL19" s="3267">
        <v>82253558</v>
      </c>
      <c r="AM19" s="3267"/>
      <c r="AN19" s="3267" t="s">
        <v>3114</v>
      </c>
      <c r="AO19" s="3267"/>
      <c r="AP19" s="3267" t="s">
        <v>3344</v>
      </c>
      <c r="AQ19" s="3267" t="s">
        <v>3228</v>
      </c>
      <c r="AR19" s="3267">
        <v>2006</v>
      </c>
      <c r="AS19" s="3267">
        <v>1</v>
      </c>
      <c r="AT19" s="3267">
        <v>16</v>
      </c>
      <c r="AU19" s="3267"/>
      <c r="AV19" s="3267"/>
      <c r="AW19" s="3267" t="s">
        <v>2997</v>
      </c>
      <c r="AX19" s="3267"/>
      <c r="AY19" s="3269"/>
      <c r="AZ19" s="3267" t="s">
        <v>3361</v>
      </c>
      <c r="BA19" s="3267"/>
      <c r="BB19" s="3269"/>
      <c r="BC19" s="3267"/>
      <c r="BD19" s="3304"/>
      <c r="BE19" s="3267"/>
      <c r="BF19" s="3305"/>
      <c r="BG19" s="3284">
        <v>38715</v>
      </c>
      <c r="BH19" s="3267"/>
      <c r="BI19" s="3267" t="s">
        <v>3145</v>
      </c>
      <c r="BJ19" s="3303">
        <v>38715</v>
      </c>
      <c r="BK19" s="3303"/>
      <c r="BL19" s="3267" t="s">
        <v>2998</v>
      </c>
      <c r="BM19" s="3267" t="s">
        <v>2879</v>
      </c>
      <c r="BN19" s="3267" t="s">
        <v>3111</v>
      </c>
      <c r="BO19" s="3267" t="s">
        <v>3146</v>
      </c>
      <c r="BP19" s="3267"/>
      <c r="BQ19" s="3267"/>
      <c r="BR19" s="3267"/>
      <c r="BS19" s="3285"/>
      <c r="BT19" s="3285"/>
      <c r="BU19" s="3285"/>
    </row>
    <row r="20" spans="1:73" hidden="1">
      <c r="A20" s="3267" t="s">
        <v>3362</v>
      </c>
      <c r="B20" s="3267" t="s">
        <v>3363</v>
      </c>
      <c r="C20" s="3269" t="s">
        <v>3364</v>
      </c>
      <c r="D20" s="3267">
        <v>13488805068</v>
      </c>
      <c r="E20" s="3267" t="s">
        <v>2985</v>
      </c>
      <c r="F20" s="3267" t="s">
        <v>3365</v>
      </c>
      <c r="G20" s="3267"/>
      <c r="H20" s="3267" t="s">
        <v>3366</v>
      </c>
      <c r="I20" s="3267"/>
      <c r="J20" s="3267" t="s">
        <v>3367</v>
      </c>
      <c r="K20" s="3268" t="s">
        <v>3368</v>
      </c>
      <c r="L20" s="3267">
        <v>48.98</v>
      </c>
      <c r="M20" s="3267">
        <v>6</v>
      </c>
      <c r="N20" s="3267" t="s">
        <v>3152</v>
      </c>
      <c r="O20" s="3267"/>
      <c r="P20" s="3267" t="s">
        <v>2963</v>
      </c>
      <c r="Q20" s="3267">
        <v>315000</v>
      </c>
      <c r="R20" s="3267">
        <v>6431</v>
      </c>
      <c r="S20" s="3272">
        <v>27.14</v>
      </c>
      <c r="T20" s="3273">
        <v>271400</v>
      </c>
      <c r="U20" s="3267">
        <v>5542</v>
      </c>
      <c r="V20" s="3274">
        <v>0.05</v>
      </c>
      <c r="W20" s="3272">
        <v>25.78</v>
      </c>
      <c r="X20" s="3275">
        <v>257800</v>
      </c>
      <c r="Y20" s="3267">
        <v>2006</v>
      </c>
      <c r="Z20" s="3267">
        <v>1</v>
      </c>
      <c r="AA20" s="3276">
        <v>4</v>
      </c>
      <c r="AB20" s="3267">
        <v>810</v>
      </c>
      <c r="AC20" s="3267" t="s">
        <v>3227</v>
      </c>
      <c r="AD20" s="3267"/>
      <c r="AE20" s="3276" t="s">
        <v>2991</v>
      </c>
      <c r="AF20" s="3267" t="s">
        <v>2966</v>
      </c>
      <c r="AG20" s="3267" t="s">
        <v>2967</v>
      </c>
      <c r="AH20" s="3267"/>
      <c r="AI20" s="3267" t="s">
        <v>3115</v>
      </c>
      <c r="AJ20" s="3284"/>
      <c r="AK20" s="3278">
        <v>1</v>
      </c>
      <c r="AL20" s="3267">
        <v>82253558</v>
      </c>
      <c r="AM20" s="3267"/>
      <c r="AN20" s="3267" t="s">
        <v>3131</v>
      </c>
      <c r="AO20" s="3267" t="s">
        <v>2968</v>
      </c>
      <c r="AP20" s="3267" t="s">
        <v>3180</v>
      </c>
      <c r="AQ20" s="3267" t="s">
        <v>3113</v>
      </c>
      <c r="AR20" s="3267"/>
      <c r="AS20" s="3267"/>
      <c r="AT20" s="3267"/>
      <c r="AU20" s="3267"/>
      <c r="AV20" s="3267"/>
      <c r="AW20" s="3267" t="s">
        <v>2997</v>
      </c>
      <c r="AX20" s="3267"/>
      <c r="AY20" s="3269"/>
      <c r="AZ20" s="3267" t="s">
        <v>3368</v>
      </c>
      <c r="BA20" s="3267"/>
      <c r="BB20" s="3267"/>
      <c r="BC20" s="3267"/>
      <c r="BD20" s="3267"/>
      <c r="BE20" s="3267"/>
      <c r="BF20" s="3267"/>
      <c r="BG20" s="3313">
        <v>38713</v>
      </c>
      <c r="BH20" s="3267"/>
      <c r="BI20" s="3276" t="s">
        <v>3239</v>
      </c>
      <c r="BJ20" s="3283">
        <v>38713</v>
      </c>
      <c r="BK20" s="3283"/>
      <c r="BL20" s="3267" t="s">
        <v>2998</v>
      </c>
      <c r="BM20" s="3267" t="s">
        <v>2879</v>
      </c>
      <c r="BN20" s="3267" t="s">
        <v>2999</v>
      </c>
      <c r="BO20" s="3267" t="s">
        <v>3000</v>
      </c>
      <c r="BP20" s="3267"/>
      <c r="BQ20" s="3276" t="e">
        <v>#DIV/0!</v>
      </c>
      <c r="BR20" s="3276" t="e">
        <v>#DIV/0!</v>
      </c>
      <c r="BS20" s="3285"/>
      <c r="BT20" s="3285"/>
      <c r="BU20" s="3285"/>
    </row>
    <row r="21" spans="1:73" hidden="1">
      <c r="A21" s="3267" t="s">
        <v>3369</v>
      </c>
      <c r="B21" s="3267" t="s">
        <v>3370</v>
      </c>
      <c r="C21" s="3267" t="s">
        <v>3371</v>
      </c>
      <c r="D21" s="3267">
        <v>13381055472</v>
      </c>
      <c r="E21" s="3267" t="s">
        <v>2985</v>
      </c>
      <c r="F21" s="3267" t="s">
        <v>3372</v>
      </c>
      <c r="G21" s="3267"/>
      <c r="H21" s="3267" t="s">
        <v>3373</v>
      </c>
      <c r="I21" s="3267" t="s">
        <v>3318</v>
      </c>
      <c r="J21" s="3267" t="s">
        <v>3151</v>
      </c>
      <c r="K21" s="3267" t="s">
        <v>3374</v>
      </c>
      <c r="L21" s="3267">
        <v>39.89</v>
      </c>
      <c r="M21" s="3267">
        <v>5</v>
      </c>
      <c r="N21" s="3267" t="s">
        <v>3152</v>
      </c>
      <c r="O21" s="3267"/>
      <c r="P21" s="3267" t="s">
        <v>2963</v>
      </c>
      <c r="Q21" s="3267">
        <v>290000</v>
      </c>
      <c r="R21" s="3267">
        <v>7270</v>
      </c>
      <c r="S21" s="3272">
        <v>21.06</v>
      </c>
      <c r="T21" s="3273">
        <v>210600</v>
      </c>
      <c r="U21" s="3267">
        <v>5280</v>
      </c>
      <c r="V21" s="3289">
        <v>0.05</v>
      </c>
      <c r="W21" s="3272">
        <v>20</v>
      </c>
      <c r="X21" s="3273">
        <v>200000</v>
      </c>
      <c r="Y21" s="3267">
        <v>2006</v>
      </c>
      <c r="Z21" s="3267">
        <v>1</v>
      </c>
      <c r="AA21" s="3267">
        <v>13</v>
      </c>
      <c r="AB21" s="3267">
        <v>630</v>
      </c>
      <c r="AC21" s="3267" t="s">
        <v>3227</v>
      </c>
      <c r="AD21" s="3267"/>
      <c r="AE21" s="3267" t="s">
        <v>3245</v>
      </c>
      <c r="AF21" s="3267" t="s">
        <v>2966</v>
      </c>
      <c r="AG21" s="3267" t="s">
        <v>2967</v>
      </c>
      <c r="AH21" s="3267"/>
      <c r="AI21" s="3267" t="s">
        <v>3295</v>
      </c>
      <c r="AJ21" s="3303"/>
      <c r="AK21" s="3267" t="s">
        <v>3131</v>
      </c>
      <c r="AL21" s="3267">
        <v>82253558</v>
      </c>
      <c r="AM21" s="3267"/>
      <c r="AN21" s="3267" t="s">
        <v>3140</v>
      </c>
      <c r="AO21" s="3267"/>
      <c r="AP21" s="3267" t="s">
        <v>3344</v>
      </c>
      <c r="AQ21" s="3267" t="s">
        <v>3228</v>
      </c>
      <c r="AR21" s="3267">
        <v>2006</v>
      </c>
      <c r="AS21" s="3267">
        <v>1</v>
      </c>
      <c r="AT21" s="3267">
        <v>13</v>
      </c>
      <c r="AU21" s="3267"/>
      <c r="AV21" s="3267" t="s">
        <v>2968</v>
      </c>
      <c r="AW21" s="3267" t="s">
        <v>2997</v>
      </c>
      <c r="AX21" s="3267" t="s">
        <v>2968</v>
      </c>
      <c r="AY21" s="3269"/>
      <c r="AZ21" s="3267" t="s">
        <v>3374</v>
      </c>
      <c r="BA21" s="3267"/>
      <c r="BB21" s="3269"/>
      <c r="BC21" s="3267"/>
      <c r="BD21" s="3304"/>
      <c r="BE21" s="3267"/>
      <c r="BF21" s="3305"/>
      <c r="BG21" s="3284"/>
      <c r="BH21" s="3267"/>
      <c r="BI21" s="3267" t="s">
        <v>3145</v>
      </c>
      <c r="BJ21" s="3303">
        <v>38713</v>
      </c>
      <c r="BK21" s="3303"/>
      <c r="BL21" s="3267" t="s">
        <v>2998</v>
      </c>
      <c r="BM21" s="3267" t="s">
        <v>2879</v>
      </c>
      <c r="BN21" s="3267" t="s">
        <v>3111</v>
      </c>
      <c r="BO21" s="3267" t="s">
        <v>3146</v>
      </c>
      <c r="BP21" s="3267"/>
      <c r="BQ21" s="3267" t="e">
        <v>#DIV/0!</v>
      </c>
      <c r="BR21" s="3267" t="e">
        <v>#DIV/0!</v>
      </c>
      <c r="BS21" s="3285"/>
      <c r="BT21" s="3285"/>
      <c r="BU21" s="3285"/>
    </row>
    <row r="22" spans="1:73" hidden="1">
      <c r="A22" s="3267" t="s">
        <v>3375</v>
      </c>
      <c r="B22" s="3267" t="s">
        <v>3376</v>
      </c>
      <c r="C22" s="3269" t="s">
        <v>3377</v>
      </c>
      <c r="D22" s="3267"/>
      <c r="E22" s="3267" t="s">
        <v>2985</v>
      </c>
      <c r="F22" s="3267" t="s">
        <v>3378</v>
      </c>
      <c r="G22" s="3267"/>
      <c r="H22" s="3267" t="s">
        <v>3379</v>
      </c>
      <c r="I22" s="3267"/>
      <c r="J22" s="3267" t="s">
        <v>3380</v>
      </c>
      <c r="K22" s="3268" t="s">
        <v>3381</v>
      </c>
      <c r="L22" s="3267">
        <v>87.9</v>
      </c>
      <c r="M22" s="3267">
        <v>3</v>
      </c>
      <c r="N22" s="3267" t="s">
        <v>3125</v>
      </c>
      <c r="O22" s="3267"/>
      <c r="P22" s="3267" t="s">
        <v>2963</v>
      </c>
      <c r="Q22" s="3267">
        <v>670000</v>
      </c>
      <c r="R22" s="3267">
        <v>7622</v>
      </c>
      <c r="S22" s="3272">
        <v>52.3</v>
      </c>
      <c r="T22" s="3273">
        <v>523000</v>
      </c>
      <c r="U22" s="3267">
        <v>5950</v>
      </c>
      <c r="V22" s="3274">
        <v>0.05</v>
      </c>
      <c r="W22" s="3272">
        <v>49.68</v>
      </c>
      <c r="X22" s="3275">
        <v>496800</v>
      </c>
      <c r="Y22" s="3267">
        <v>2006</v>
      </c>
      <c r="Z22" s="3267">
        <v>1</v>
      </c>
      <c r="AA22" s="3276">
        <v>5</v>
      </c>
      <c r="AB22" s="3267">
        <v>1500</v>
      </c>
      <c r="AC22" s="3267" t="s">
        <v>3227</v>
      </c>
      <c r="AD22" s="3267"/>
      <c r="AE22" s="3276" t="s">
        <v>3295</v>
      </c>
      <c r="AF22" s="3267" t="s">
        <v>2966</v>
      </c>
      <c r="AG22" s="3267" t="s">
        <v>2967</v>
      </c>
      <c r="AH22" s="3267"/>
      <c r="AI22" s="3267" t="s">
        <v>3115</v>
      </c>
      <c r="AJ22" s="3303"/>
      <c r="AK22" s="3267" t="s">
        <v>3131</v>
      </c>
      <c r="AL22" s="3267">
        <v>82253558</v>
      </c>
      <c r="AM22" s="3267"/>
      <c r="AN22" s="3267" t="s">
        <v>3131</v>
      </c>
      <c r="AO22" s="3267" t="s">
        <v>2968</v>
      </c>
      <c r="AP22" s="3267" t="s">
        <v>3180</v>
      </c>
      <c r="AQ22" s="3267" t="s">
        <v>3228</v>
      </c>
      <c r="AR22" s="3267">
        <v>2006</v>
      </c>
      <c r="AS22" s="3267">
        <v>1</v>
      </c>
      <c r="AT22" s="3267">
        <v>5</v>
      </c>
      <c r="AU22" s="3267"/>
      <c r="AV22" s="3267"/>
      <c r="AW22" s="3267" t="s">
        <v>2997</v>
      </c>
      <c r="AX22" s="3267"/>
      <c r="AY22" s="3269"/>
      <c r="AZ22" s="3267" t="s">
        <v>3381</v>
      </c>
      <c r="BA22" s="3267"/>
      <c r="BB22" s="3267"/>
      <c r="BC22" s="3267"/>
      <c r="BD22" s="3267"/>
      <c r="BE22" s="3267">
        <v>13120010991</v>
      </c>
      <c r="BF22" s="3267"/>
      <c r="BG22" s="3307">
        <v>38715</v>
      </c>
      <c r="BH22" s="3267"/>
      <c r="BI22" s="3267" t="s">
        <v>3267</v>
      </c>
      <c r="BJ22" s="3283">
        <v>38715</v>
      </c>
      <c r="BK22" s="3283"/>
      <c r="BL22" s="3267" t="s">
        <v>2998</v>
      </c>
      <c r="BM22" s="3267" t="s">
        <v>2879</v>
      </c>
      <c r="BN22" s="3267" t="s">
        <v>2999</v>
      </c>
      <c r="BO22" s="3267" t="s">
        <v>3000</v>
      </c>
      <c r="BP22" s="3267"/>
      <c r="BQ22" s="3276" t="e">
        <v>#DIV/0!</v>
      </c>
      <c r="BR22" s="3276" t="e">
        <v>#DIV/0!</v>
      </c>
      <c r="BS22" s="3285"/>
      <c r="BT22" s="3285"/>
      <c r="BU22" s="3285"/>
    </row>
    <row r="23" spans="1:73" hidden="1">
      <c r="A23" s="3267" t="s">
        <v>3382</v>
      </c>
      <c r="B23" s="3267" t="s">
        <v>3383</v>
      </c>
      <c r="C23" s="3269" t="s">
        <v>3384</v>
      </c>
      <c r="D23" s="3267">
        <v>13651015306</v>
      </c>
      <c r="E23" s="3267" t="s">
        <v>2985</v>
      </c>
      <c r="F23" s="3267" t="s">
        <v>3385</v>
      </c>
      <c r="G23" s="3267"/>
      <c r="H23" s="3267" t="s">
        <v>3130</v>
      </c>
      <c r="I23" s="3267"/>
      <c r="J23" s="3267" t="s">
        <v>3386</v>
      </c>
      <c r="K23" s="3268" t="s">
        <v>3387</v>
      </c>
      <c r="L23" s="3267">
        <v>96.07</v>
      </c>
      <c r="M23" s="3267">
        <v>18</v>
      </c>
      <c r="N23" s="3267" t="s">
        <v>3122</v>
      </c>
      <c r="O23" s="3267"/>
      <c r="P23" s="3267" t="s">
        <v>2963</v>
      </c>
      <c r="Q23" s="3267">
        <v>625000</v>
      </c>
      <c r="R23" s="3267">
        <v>6506</v>
      </c>
      <c r="S23" s="3272">
        <v>59.4</v>
      </c>
      <c r="T23" s="3273">
        <v>594000</v>
      </c>
      <c r="U23" s="3267">
        <v>6183</v>
      </c>
      <c r="V23" s="3274">
        <v>0.05</v>
      </c>
      <c r="W23" s="3272">
        <v>56.43</v>
      </c>
      <c r="X23" s="3275">
        <v>564300</v>
      </c>
      <c r="Y23" s="3267">
        <v>2006</v>
      </c>
      <c r="Z23" s="3267">
        <v>1</v>
      </c>
      <c r="AA23" s="3276">
        <v>11</v>
      </c>
      <c r="AB23" s="3267">
        <v>1500</v>
      </c>
      <c r="AC23" s="3267" t="s">
        <v>3227</v>
      </c>
      <c r="AD23" s="3267"/>
      <c r="AE23" s="3267" t="s">
        <v>3176</v>
      </c>
      <c r="AF23" s="3267" t="s">
        <v>2966</v>
      </c>
      <c r="AG23" s="3267" t="s">
        <v>2967</v>
      </c>
      <c r="AH23" s="3267"/>
      <c r="AI23" s="3267" t="s">
        <v>3115</v>
      </c>
      <c r="AJ23" s="3303"/>
      <c r="AK23" s="3267" t="s">
        <v>3131</v>
      </c>
      <c r="AL23" s="3267">
        <v>82253558</v>
      </c>
      <c r="AM23" s="3267"/>
      <c r="AN23" s="3267" t="s">
        <v>3140</v>
      </c>
      <c r="AO23" s="3267" t="s">
        <v>2968</v>
      </c>
      <c r="AP23" s="3267" t="s">
        <v>3180</v>
      </c>
      <c r="AQ23" s="3267" t="s">
        <v>3228</v>
      </c>
      <c r="AR23" s="3267">
        <v>2006</v>
      </c>
      <c r="AS23" s="3267">
        <v>1</v>
      </c>
      <c r="AT23" s="3267">
        <v>11</v>
      </c>
      <c r="AU23" s="3267"/>
      <c r="AV23" s="3267"/>
      <c r="AW23" s="3267" t="s">
        <v>2997</v>
      </c>
      <c r="AX23" s="3267"/>
      <c r="AY23" s="3269"/>
      <c r="AZ23" s="3267" t="s">
        <v>3387</v>
      </c>
      <c r="BA23" s="3267"/>
      <c r="BB23" s="3267"/>
      <c r="BC23" s="3267"/>
      <c r="BD23" s="3267"/>
      <c r="BE23" s="3267"/>
      <c r="BF23" s="3267"/>
      <c r="BG23" s="3313">
        <v>38713</v>
      </c>
      <c r="BH23" s="3267"/>
      <c r="BI23" s="3276" t="s">
        <v>3239</v>
      </c>
      <c r="BJ23" s="3283">
        <v>38713</v>
      </c>
      <c r="BK23" s="3283"/>
      <c r="BL23" s="3267" t="s">
        <v>2998</v>
      </c>
      <c r="BM23" s="3267" t="s">
        <v>2879</v>
      </c>
      <c r="BN23" s="3267" t="s">
        <v>2999</v>
      </c>
      <c r="BO23" s="3267" t="s">
        <v>3000</v>
      </c>
      <c r="BP23" s="3267"/>
      <c r="BQ23" s="3276" t="e">
        <v>#DIV/0!</v>
      </c>
      <c r="BR23" s="3276" t="e">
        <v>#DIV/0!</v>
      </c>
      <c r="BS23" s="3285"/>
      <c r="BT23" s="3285"/>
      <c r="BU23" s="3285"/>
    </row>
    <row r="24" spans="1:73" hidden="1">
      <c r="A24" s="3267" t="s">
        <v>3388</v>
      </c>
      <c r="B24" s="3267" t="s">
        <v>3389</v>
      </c>
      <c r="C24" s="3267" t="s">
        <v>3390</v>
      </c>
      <c r="D24" s="3267">
        <v>13691128368</v>
      </c>
      <c r="E24" s="3267" t="s">
        <v>2985</v>
      </c>
      <c r="F24" s="3267" t="s">
        <v>3391</v>
      </c>
      <c r="G24" s="3267"/>
      <c r="H24" s="3267" t="s">
        <v>3392</v>
      </c>
      <c r="I24" s="3267"/>
      <c r="J24" s="3267" t="s">
        <v>3393</v>
      </c>
      <c r="K24" s="3267" t="s">
        <v>3394</v>
      </c>
      <c r="L24" s="3267">
        <v>112.92</v>
      </c>
      <c r="M24" s="3267">
        <v>21</v>
      </c>
      <c r="N24" s="3267" t="s">
        <v>3395</v>
      </c>
      <c r="O24" s="3267"/>
      <c r="P24" s="3267" t="s">
        <v>2963</v>
      </c>
      <c r="Q24" s="3267">
        <v>703000</v>
      </c>
      <c r="R24" s="3267">
        <v>6226</v>
      </c>
      <c r="S24" s="3272">
        <v>66.010000000000005</v>
      </c>
      <c r="T24" s="3273">
        <v>660100</v>
      </c>
      <c r="U24" s="3267">
        <v>5846</v>
      </c>
      <c r="V24" s="3289">
        <v>0.05</v>
      </c>
      <c r="W24" s="3272">
        <v>62.7</v>
      </c>
      <c r="X24" s="3273">
        <v>627000</v>
      </c>
      <c r="Y24" s="3267">
        <v>2006</v>
      </c>
      <c r="Z24" s="3267">
        <v>1</v>
      </c>
      <c r="AA24" s="3267">
        <v>12</v>
      </c>
      <c r="AB24" s="3267">
        <v>1500</v>
      </c>
      <c r="AC24" s="3267" t="s">
        <v>3227</v>
      </c>
      <c r="AD24" s="3267"/>
      <c r="AE24" s="3267" t="s">
        <v>3396</v>
      </c>
      <c r="AF24" s="3267" t="s">
        <v>2966</v>
      </c>
      <c r="AG24" s="3267" t="s">
        <v>2967</v>
      </c>
      <c r="AH24" s="3267"/>
      <c r="AI24" s="3267" t="s">
        <v>3115</v>
      </c>
      <c r="AJ24" s="3303"/>
      <c r="AK24" s="3267" t="s">
        <v>3131</v>
      </c>
      <c r="AL24" s="3267">
        <v>82253558</v>
      </c>
      <c r="AM24" s="3267"/>
      <c r="AN24" s="3267" t="s">
        <v>3140</v>
      </c>
      <c r="AO24" s="3267"/>
      <c r="AP24" s="3267" t="s">
        <v>3180</v>
      </c>
      <c r="AQ24" s="3267" t="s">
        <v>3228</v>
      </c>
      <c r="AR24" s="3267"/>
      <c r="AS24" s="3267"/>
      <c r="AT24" s="3267"/>
      <c r="AU24" s="3267"/>
      <c r="AV24" s="3267"/>
      <c r="AW24" s="3267" t="s">
        <v>2997</v>
      </c>
      <c r="AX24" s="3267"/>
      <c r="AY24" s="3269"/>
      <c r="AZ24" s="3267" t="s">
        <v>3394</v>
      </c>
      <c r="BA24" s="3267"/>
      <c r="BB24" s="3269"/>
      <c r="BC24" s="3267"/>
      <c r="BD24" s="3304"/>
      <c r="BE24" s="3267"/>
      <c r="BF24" s="3305"/>
      <c r="BG24" s="3284">
        <v>38715</v>
      </c>
      <c r="BH24" s="3267"/>
      <c r="BI24" s="3267" t="s">
        <v>3295</v>
      </c>
      <c r="BJ24" s="3303">
        <v>38715</v>
      </c>
      <c r="BK24" s="3303"/>
      <c r="BL24" s="3267" t="s">
        <v>3249</v>
      </c>
      <c r="BM24" s="3267" t="s">
        <v>2879</v>
      </c>
      <c r="BN24" s="3267" t="s">
        <v>2999</v>
      </c>
      <c r="BO24" s="3267" t="s">
        <v>3146</v>
      </c>
      <c r="BP24" s="3267"/>
      <c r="BQ24" s="3267" t="e">
        <v>#DIV/0!</v>
      </c>
      <c r="BR24" s="3267" t="e">
        <v>#DIV/0!</v>
      </c>
      <c r="BS24" s="3285"/>
      <c r="BT24" s="3285"/>
      <c r="BU24" s="3285"/>
    </row>
    <row r="25" spans="1:73" hidden="1">
      <c r="A25" s="3267" t="s">
        <v>3397</v>
      </c>
      <c r="B25" s="3267" t="s">
        <v>3398</v>
      </c>
      <c r="C25" s="3269" t="s">
        <v>3399</v>
      </c>
      <c r="D25" s="3269" t="s">
        <v>3400</v>
      </c>
      <c r="E25" s="3268" t="s">
        <v>2985</v>
      </c>
      <c r="F25" s="3268" t="s">
        <v>3401</v>
      </c>
      <c r="G25" s="3267"/>
      <c r="H25" s="3268" t="s">
        <v>3402</v>
      </c>
      <c r="I25" s="3268"/>
      <c r="J25" s="3267" t="s">
        <v>3403</v>
      </c>
      <c r="K25" s="3267" t="s">
        <v>3404</v>
      </c>
      <c r="L25" s="3267">
        <v>49.13</v>
      </c>
      <c r="M25" s="3267">
        <v>6</v>
      </c>
      <c r="N25" s="3267" t="s">
        <v>3152</v>
      </c>
      <c r="O25" s="3267"/>
      <c r="P25" s="3267" t="s">
        <v>2963</v>
      </c>
      <c r="Q25" s="3271">
        <v>325000</v>
      </c>
      <c r="R25" s="3267">
        <v>6615</v>
      </c>
      <c r="S25" s="3272">
        <v>25.54</v>
      </c>
      <c r="T25" s="3273">
        <v>255400</v>
      </c>
      <c r="U25" s="3267">
        <v>5200</v>
      </c>
      <c r="V25" s="3289">
        <v>0.05</v>
      </c>
      <c r="W25" s="3272">
        <v>24.26</v>
      </c>
      <c r="X25" s="3275">
        <v>242600.00000000003</v>
      </c>
      <c r="Y25" s="3276">
        <v>2006</v>
      </c>
      <c r="Z25" s="3276">
        <v>1</v>
      </c>
      <c r="AA25" s="3276">
        <v>12</v>
      </c>
      <c r="AB25" s="3267">
        <v>765</v>
      </c>
      <c r="AC25" s="3267" t="s">
        <v>3227</v>
      </c>
      <c r="AD25" s="3267"/>
      <c r="AE25" s="3276" t="s">
        <v>3245</v>
      </c>
      <c r="AF25" s="3268" t="s">
        <v>2966</v>
      </c>
      <c r="AG25" s="3279" t="s">
        <v>2967</v>
      </c>
      <c r="AH25" s="3267"/>
      <c r="AI25" s="3279" t="s">
        <v>3176</v>
      </c>
      <c r="AJ25" s="3303"/>
      <c r="AK25" s="3278">
        <v>1</v>
      </c>
      <c r="AL25" s="3267">
        <v>82253558</v>
      </c>
      <c r="AM25" s="3276"/>
      <c r="AN25" s="3279" t="s">
        <v>3140</v>
      </c>
      <c r="AO25" s="3267" t="s">
        <v>3405</v>
      </c>
      <c r="AP25" s="3268" t="s">
        <v>3344</v>
      </c>
      <c r="AQ25" s="3267" t="s">
        <v>3113</v>
      </c>
      <c r="AR25" s="3276"/>
      <c r="AS25" s="3276"/>
      <c r="AT25" s="3276"/>
      <c r="AU25" s="3276"/>
      <c r="AV25" s="3276"/>
      <c r="AW25" s="3276" t="s">
        <v>2997</v>
      </c>
      <c r="AX25" s="3276"/>
      <c r="AY25" s="3291"/>
      <c r="AZ25" s="3267" t="s">
        <v>3404</v>
      </c>
      <c r="BA25" s="3296"/>
      <c r="BB25" s="3297"/>
      <c r="BC25" s="3296"/>
      <c r="BD25" s="3298"/>
      <c r="BE25" s="3276" t="s">
        <v>3406</v>
      </c>
      <c r="BF25" s="3281"/>
      <c r="BG25" s="3293">
        <v>38683</v>
      </c>
      <c r="BH25" s="3267" t="s">
        <v>2998</v>
      </c>
      <c r="BI25" s="3267" t="s">
        <v>3344</v>
      </c>
      <c r="BJ25" s="3283">
        <v>38726</v>
      </c>
      <c r="BK25" s="3283"/>
      <c r="BL25" s="3267" t="s">
        <v>3249</v>
      </c>
      <c r="BM25" s="3276" t="s">
        <v>2879</v>
      </c>
      <c r="BN25" s="3276" t="s">
        <v>2999</v>
      </c>
      <c r="BO25" s="3276" t="s">
        <v>3146</v>
      </c>
      <c r="BP25" s="3276"/>
      <c r="BQ25" s="3276" t="e">
        <v>#DIV/0!</v>
      </c>
      <c r="BR25" s="3276" t="e">
        <v>#DIV/0!</v>
      </c>
      <c r="BS25" s="3285"/>
      <c r="BT25" s="3285"/>
      <c r="BU25" s="3285"/>
    </row>
    <row r="26" spans="1:73" hidden="1">
      <c r="A26" s="3267" t="s">
        <v>3407</v>
      </c>
      <c r="B26" s="3267" t="s">
        <v>3408</v>
      </c>
      <c r="C26" s="3269" t="s">
        <v>3409</v>
      </c>
      <c r="D26" s="3267">
        <v>86058433</v>
      </c>
      <c r="E26" s="3267" t="s">
        <v>2985</v>
      </c>
      <c r="F26" s="3267" t="s">
        <v>3410</v>
      </c>
      <c r="G26" s="3267"/>
      <c r="H26" s="3267" t="s">
        <v>3411</v>
      </c>
      <c r="I26" s="3267" t="s">
        <v>3412</v>
      </c>
      <c r="J26" s="3267" t="s">
        <v>3413</v>
      </c>
      <c r="K26" s="3268" t="s">
        <v>3414</v>
      </c>
      <c r="L26" s="3267">
        <v>49.24</v>
      </c>
      <c r="M26" s="3267">
        <v>16</v>
      </c>
      <c r="N26" s="3267" t="s">
        <v>3122</v>
      </c>
      <c r="O26" s="3267"/>
      <c r="P26" s="3267" t="s">
        <v>2963</v>
      </c>
      <c r="Q26" s="3267">
        <v>350000</v>
      </c>
      <c r="R26" s="3267">
        <v>7108</v>
      </c>
      <c r="S26" s="3272">
        <v>30.52</v>
      </c>
      <c r="T26" s="3273">
        <v>305200</v>
      </c>
      <c r="U26" s="3267">
        <v>6200</v>
      </c>
      <c r="V26" s="3274">
        <v>0.2</v>
      </c>
      <c r="W26" s="3272">
        <v>24.41</v>
      </c>
      <c r="X26" s="3275">
        <v>244100</v>
      </c>
      <c r="Y26" s="3267">
        <v>2006</v>
      </c>
      <c r="Z26" s="3267">
        <v>1</v>
      </c>
      <c r="AA26" s="3276">
        <v>5</v>
      </c>
      <c r="AB26" s="3267">
        <v>915</v>
      </c>
      <c r="AC26" s="3267" t="s">
        <v>3110</v>
      </c>
      <c r="AD26" s="3267"/>
      <c r="AE26" s="3276" t="s">
        <v>3295</v>
      </c>
      <c r="AF26" s="3267" t="s">
        <v>2966</v>
      </c>
      <c r="AG26" s="3267" t="s">
        <v>2967</v>
      </c>
      <c r="AH26" s="3267"/>
      <c r="AI26" s="3267" t="s">
        <v>3115</v>
      </c>
      <c r="AJ26" s="3284"/>
      <c r="AK26" s="3267" t="s">
        <v>3131</v>
      </c>
      <c r="AL26" s="3267">
        <v>82253558</v>
      </c>
      <c r="AM26" s="3267"/>
      <c r="AN26" s="3267" t="s">
        <v>3131</v>
      </c>
      <c r="AO26" s="3267" t="s">
        <v>2968</v>
      </c>
      <c r="AP26" s="3267" t="s">
        <v>3180</v>
      </c>
      <c r="AQ26" s="3267" t="s">
        <v>3113</v>
      </c>
      <c r="AR26" s="3267"/>
      <c r="AS26" s="3267"/>
      <c r="AT26" s="3267"/>
      <c r="AU26" s="3267"/>
      <c r="AV26" s="3267"/>
      <c r="AW26" s="3267" t="s">
        <v>2997</v>
      </c>
      <c r="AX26" s="3267"/>
      <c r="AY26" s="3269"/>
      <c r="AZ26" s="3267" t="s">
        <v>3414</v>
      </c>
      <c r="BA26" s="3267"/>
      <c r="BB26" s="3267"/>
      <c r="BC26" s="3267"/>
      <c r="BD26" s="3267"/>
      <c r="BE26" s="3267" t="s">
        <v>3415</v>
      </c>
      <c r="BF26" s="3267"/>
      <c r="BG26" s="3307">
        <v>38711</v>
      </c>
      <c r="BH26" s="3267"/>
      <c r="BI26" s="3267" t="s">
        <v>3295</v>
      </c>
      <c r="BJ26" s="3283"/>
      <c r="BK26" s="3283"/>
      <c r="BL26" s="3267" t="s">
        <v>2998</v>
      </c>
      <c r="BM26" s="3267" t="s">
        <v>3416</v>
      </c>
      <c r="BN26" s="3267" t="s">
        <v>3111</v>
      </c>
      <c r="BO26" s="3267" t="s">
        <v>3000</v>
      </c>
      <c r="BP26" s="3267"/>
      <c r="BQ26" s="3276" t="e">
        <v>#DIV/0!</v>
      </c>
      <c r="BR26" s="3276" t="e">
        <v>#DIV/0!</v>
      </c>
      <c r="BS26" s="3285"/>
      <c r="BT26" s="3285"/>
      <c r="BU26" s="3285"/>
    </row>
    <row r="27" spans="1:73" hidden="1">
      <c r="A27" s="3267" t="s">
        <v>3417</v>
      </c>
      <c r="B27" s="3267" t="s">
        <v>3418</v>
      </c>
      <c r="C27" s="3269" t="s">
        <v>3419</v>
      </c>
      <c r="D27" s="3268"/>
      <c r="E27" s="3267" t="s">
        <v>2985</v>
      </c>
      <c r="F27" s="3267" t="s">
        <v>3420</v>
      </c>
      <c r="G27" s="3267"/>
      <c r="H27" s="3270" t="s">
        <v>3421</v>
      </c>
      <c r="I27" s="3268"/>
      <c r="J27" s="3270" t="s">
        <v>3422</v>
      </c>
      <c r="K27" s="3267" t="s">
        <v>3423</v>
      </c>
      <c r="L27" s="3286">
        <v>86.25</v>
      </c>
      <c r="M27" s="3270">
        <v>4</v>
      </c>
      <c r="N27" s="3267" t="s">
        <v>3122</v>
      </c>
      <c r="O27" s="3267"/>
      <c r="P27" s="3267" t="s">
        <v>2963</v>
      </c>
      <c r="Q27" s="3287">
        <v>545000</v>
      </c>
      <c r="R27" s="3267">
        <v>6319</v>
      </c>
      <c r="S27" s="3272">
        <v>50.56</v>
      </c>
      <c r="T27" s="3273">
        <v>505600</v>
      </c>
      <c r="U27" s="3287">
        <v>5863</v>
      </c>
      <c r="V27" s="3289">
        <v>0.05</v>
      </c>
      <c r="W27" s="3272">
        <v>48.03</v>
      </c>
      <c r="X27" s="3275">
        <v>480300</v>
      </c>
      <c r="Y27" s="3276">
        <v>2006</v>
      </c>
      <c r="Z27" s="3267">
        <v>1</v>
      </c>
      <c r="AA27" s="3276">
        <v>6</v>
      </c>
      <c r="AB27" s="3267">
        <v>1500</v>
      </c>
      <c r="AC27" s="3267" t="s">
        <v>3227</v>
      </c>
      <c r="AD27" s="3267"/>
      <c r="AE27" s="3276" t="s">
        <v>3424</v>
      </c>
      <c r="AF27" s="3267" t="s">
        <v>2966</v>
      </c>
      <c r="AG27" s="3267" t="s">
        <v>2967</v>
      </c>
      <c r="AH27" s="3267"/>
      <c r="AI27" s="3267" t="s">
        <v>3115</v>
      </c>
      <c r="AJ27" s="3277"/>
      <c r="AK27" s="3278" t="s">
        <v>3131</v>
      </c>
      <c r="AL27" s="3267">
        <v>82253558</v>
      </c>
      <c r="AM27" s="3267"/>
      <c r="AN27" s="3279" t="s">
        <v>3131</v>
      </c>
      <c r="AO27" s="3267"/>
      <c r="AP27" s="3267" t="s">
        <v>3180</v>
      </c>
      <c r="AQ27" s="3267" t="s">
        <v>3113</v>
      </c>
      <c r="AR27" s="3267"/>
      <c r="AS27" s="3267"/>
      <c r="AT27" s="3267"/>
      <c r="AU27" s="3267"/>
      <c r="AV27" s="3267"/>
      <c r="AW27" s="3267" t="s">
        <v>3112</v>
      </c>
      <c r="AX27" s="3267"/>
      <c r="AY27" s="3279"/>
      <c r="AZ27" s="3267" t="s">
        <v>3423</v>
      </c>
      <c r="BA27" s="3267"/>
      <c r="BB27" s="3267"/>
      <c r="BC27" s="3267"/>
      <c r="BD27" s="3267"/>
      <c r="BE27" s="3267"/>
      <c r="BF27" s="3281"/>
      <c r="BG27" s="3290">
        <v>38716</v>
      </c>
      <c r="BH27" s="3268"/>
      <c r="BI27" s="3267" t="s">
        <v>3295</v>
      </c>
      <c r="BJ27" s="3283">
        <v>38716</v>
      </c>
      <c r="BK27" s="3284"/>
      <c r="BL27" s="3267" t="s">
        <v>2998</v>
      </c>
      <c r="BM27" s="3267" t="s">
        <v>2879</v>
      </c>
      <c r="BN27" s="3276" t="s">
        <v>2999</v>
      </c>
      <c r="BO27" s="3267" t="s">
        <v>3146</v>
      </c>
      <c r="BP27" s="3267"/>
      <c r="BQ27" s="3276"/>
      <c r="BR27" s="3276"/>
      <c r="BS27" s="3285"/>
      <c r="BT27" s="3285"/>
      <c r="BU27" s="3285"/>
    </row>
    <row r="28" spans="1:73" hidden="1">
      <c r="A28" s="3267" t="s">
        <v>3425</v>
      </c>
      <c r="B28" s="3267" t="s">
        <v>3426</v>
      </c>
      <c r="C28" s="3269" t="s">
        <v>3427</v>
      </c>
      <c r="D28" s="3269" t="s">
        <v>3428</v>
      </c>
      <c r="E28" s="3268" t="s">
        <v>2985</v>
      </c>
      <c r="F28" s="3268" t="s">
        <v>3429</v>
      </c>
      <c r="G28" s="3267"/>
      <c r="H28" s="3267" t="s">
        <v>3430</v>
      </c>
      <c r="I28" s="3268" t="s">
        <v>3431</v>
      </c>
      <c r="J28" s="3267" t="s">
        <v>3432</v>
      </c>
      <c r="K28" s="3267" t="s">
        <v>3433</v>
      </c>
      <c r="L28" s="3267">
        <v>64.05</v>
      </c>
      <c r="M28" s="3267">
        <v>4</v>
      </c>
      <c r="N28" s="3267" t="s">
        <v>3122</v>
      </c>
      <c r="O28" s="3267"/>
      <c r="P28" s="3267" t="s">
        <v>2963</v>
      </c>
      <c r="Q28" s="3271">
        <v>420000</v>
      </c>
      <c r="R28" s="3267">
        <v>6557</v>
      </c>
      <c r="S28" s="3272">
        <v>37.53</v>
      </c>
      <c r="T28" s="3273">
        <v>375300</v>
      </c>
      <c r="U28" s="3267">
        <v>5860</v>
      </c>
      <c r="V28" s="3289">
        <v>0.2</v>
      </c>
      <c r="W28" s="3272">
        <v>30.02</v>
      </c>
      <c r="X28" s="3275">
        <v>300200</v>
      </c>
      <c r="Y28" s="3276">
        <v>2006</v>
      </c>
      <c r="Z28" s="3276">
        <v>1</v>
      </c>
      <c r="AA28" s="3276">
        <v>5</v>
      </c>
      <c r="AB28" s="3267">
        <v>1125</v>
      </c>
      <c r="AC28" s="3267" t="s">
        <v>3110</v>
      </c>
      <c r="AD28" s="3267"/>
      <c r="AE28" s="3279" t="s">
        <v>3245</v>
      </c>
      <c r="AF28" s="3268" t="s">
        <v>2966</v>
      </c>
      <c r="AG28" s="3279" t="s">
        <v>2967</v>
      </c>
      <c r="AH28" s="3267"/>
      <c r="AI28" s="3279" t="s">
        <v>3176</v>
      </c>
      <c r="AJ28" s="3303"/>
      <c r="AK28" s="3278">
        <v>1</v>
      </c>
      <c r="AL28" s="3276">
        <v>82253558</v>
      </c>
      <c r="AM28" s="3276"/>
      <c r="AN28" s="3279"/>
      <c r="AO28" s="3267" t="s">
        <v>3434</v>
      </c>
      <c r="AP28" s="3279" t="s">
        <v>3344</v>
      </c>
      <c r="AQ28" s="3276" t="s">
        <v>3113</v>
      </c>
      <c r="AR28" s="3276"/>
      <c r="AS28" s="3276"/>
      <c r="AT28" s="3276"/>
      <c r="AU28" s="3276"/>
      <c r="AV28" s="3276"/>
      <c r="AW28" s="3276" t="s">
        <v>2997</v>
      </c>
      <c r="AX28" s="3276"/>
      <c r="AY28" s="3291"/>
      <c r="AZ28" s="3267" t="s">
        <v>3433</v>
      </c>
      <c r="BA28" s="3296"/>
      <c r="BB28" s="3297"/>
      <c r="BC28" s="3296"/>
      <c r="BD28" s="3298"/>
      <c r="BE28" s="3276"/>
      <c r="BF28" s="3281"/>
      <c r="BG28" s="3293">
        <v>38665</v>
      </c>
      <c r="BH28" s="3267"/>
      <c r="BI28" s="3276" t="s">
        <v>3245</v>
      </c>
      <c r="BJ28" s="3283"/>
      <c r="BK28" s="3283"/>
      <c r="BL28" s="3267" t="s">
        <v>2998</v>
      </c>
      <c r="BM28" s="3276" t="s">
        <v>2879</v>
      </c>
      <c r="BN28" s="3276" t="s">
        <v>3111</v>
      </c>
      <c r="BO28" s="3276" t="s">
        <v>3146</v>
      </c>
      <c r="BP28" s="3276"/>
      <c r="BQ28" s="3276"/>
      <c r="BR28" s="3276"/>
      <c r="BS28" s="3285"/>
      <c r="BT28" s="3285"/>
      <c r="BU28" s="3285"/>
    </row>
    <row r="29" spans="1:73" hidden="1">
      <c r="A29" s="3267" t="s">
        <v>3435</v>
      </c>
      <c r="B29" s="3267" t="s">
        <v>3418</v>
      </c>
      <c r="C29" s="3269" t="s">
        <v>3419</v>
      </c>
      <c r="D29" s="3268"/>
      <c r="E29" s="3267" t="s">
        <v>2985</v>
      </c>
      <c r="F29" s="3267" t="s">
        <v>3420</v>
      </c>
      <c r="G29" s="3267"/>
      <c r="H29" s="3270" t="s">
        <v>3421</v>
      </c>
      <c r="I29" s="3268" t="s">
        <v>3436</v>
      </c>
      <c r="J29" s="3270" t="s">
        <v>3437</v>
      </c>
      <c r="K29" s="3267" t="s">
        <v>3423</v>
      </c>
      <c r="L29" s="3286">
        <v>86.25</v>
      </c>
      <c r="M29" s="3270">
        <v>4</v>
      </c>
      <c r="N29" s="3267" t="s">
        <v>3122</v>
      </c>
      <c r="O29" s="3267"/>
      <c r="P29" s="3267" t="s">
        <v>2963</v>
      </c>
      <c r="Q29" s="3287">
        <v>545000</v>
      </c>
      <c r="R29" s="3267">
        <v>6319</v>
      </c>
      <c r="S29" s="3272">
        <v>50.56</v>
      </c>
      <c r="T29" s="3273">
        <v>505600</v>
      </c>
      <c r="U29" s="3287">
        <v>5863</v>
      </c>
      <c r="V29" s="3289">
        <v>0.05</v>
      </c>
      <c r="W29" s="3272">
        <v>48.03</v>
      </c>
      <c r="X29" s="3275">
        <v>480300</v>
      </c>
      <c r="Y29" s="3276">
        <v>2006</v>
      </c>
      <c r="Z29" s="3267">
        <v>1</v>
      </c>
      <c r="AA29" s="3276">
        <v>5</v>
      </c>
      <c r="AB29" s="3267">
        <v>1500</v>
      </c>
      <c r="AC29" s="3267" t="s">
        <v>3227</v>
      </c>
      <c r="AD29" s="3267"/>
      <c r="AE29" s="3268" t="s">
        <v>3304</v>
      </c>
      <c r="AF29" s="3267" t="s">
        <v>2966</v>
      </c>
      <c r="AG29" s="3267" t="s">
        <v>2967</v>
      </c>
      <c r="AH29" s="3267"/>
      <c r="AI29" s="3267" t="s">
        <v>2992</v>
      </c>
      <c r="AJ29" s="3270"/>
      <c r="AK29" s="3278" t="s">
        <v>3131</v>
      </c>
      <c r="AL29" s="3276">
        <v>67641700</v>
      </c>
      <c r="AM29" s="3267"/>
      <c r="AN29" s="3279" t="s">
        <v>3131</v>
      </c>
      <c r="AO29" s="3267"/>
      <c r="AP29" s="3267" t="s">
        <v>3180</v>
      </c>
      <c r="AQ29" s="3267" t="s">
        <v>3113</v>
      </c>
      <c r="AR29" s="3267"/>
      <c r="AS29" s="3267"/>
      <c r="AT29" s="3267"/>
      <c r="AU29" s="3267"/>
      <c r="AV29" s="3267"/>
      <c r="AW29" s="3267" t="s">
        <v>3112</v>
      </c>
      <c r="AX29" s="3267"/>
      <c r="AY29" s="3279"/>
      <c r="AZ29" s="3267" t="s">
        <v>3423</v>
      </c>
      <c r="BA29" s="3267"/>
      <c r="BB29" s="3267"/>
      <c r="BC29" s="3267"/>
      <c r="BD29" s="3267"/>
      <c r="BE29" s="3267"/>
      <c r="BF29" s="3281"/>
      <c r="BG29" s="3290">
        <v>38716</v>
      </c>
      <c r="BH29" s="3268"/>
      <c r="BI29" s="3276" t="s">
        <v>3424</v>
      </c>
      <c r="BJ29" s="3283">
        <v>38716</v>
      </c>
      <c r="BK29" s="3284"/>
      <c r="BL29" s="3267" t="s">
        <v>2998</v>
      </c>
      <c r="BM29" s="3267" t="s">
        <v>2879</v>
      </c>
      <c r="BN29" s="3276" t="s">
        <v>2999</v>
      </c>
      <c r="BO29" s="3267" t="s">
        <v>3146</v>
      </c>
      <c r="BP29" s="3267"/>
      <c r="BQ29" s="3276"/>
      <c r="BR29" s="3276"/>
      <c r="BS29" s="3285"/>
      <c r="BT29" s="3285"/>
      <c r="BU29" s="3285"/>
    </row>
    <row r="30" spans="1:73" hidden="1">
      <c r="A30" s="3267" t="s">
        <v>3438</v>
      </c>
      <c r="B30" s="3268" t="s">
        <v>3439</v>
      </c>
      <c r="C30" s="3269" t="s">
        <v>3440</v>
      </c>
      <c r="D30" s="3269" t="s">
        <v>3441</v>
      </c>
      <c r="E30" s="3268" t="s">
        <v>2985</v>
      </c>
      <c r="F30" s="3268" t="s">
        <v>3442</v>
      </c>
      <c r="G30" s="3268"/>
      <c r="H30" s="3268" t="s">
        <v>3139</v>
      </c>
      <c r="I30" s="3268" t="s">
        <v>3318</v>
      </c>
      <c r="J30" s="3268" t="s">
        <v>3443</v>
      </c>
      <c r="K30" s="3268" t="s">
        <v>3439</v>
      </c>
      <c r="L30" s="3270">
        <v>62.13</v>
      </c>
      <c r="M30" s="3270">
        <v>9</v>
      </c>
      <c r="N30" s="3268" t="s">
        <v>3122</v>
      </c>
      <c r="O30" s="3270"/>
      <c r="P30" s="3268" t="s">
        <v>2963</v>
      </c>
      <c r="Q30" s="3271">
        <v>425000</v>
      </c>
      <c r="R30" s="3271">
        <v>6840</v>
      </c>
      <c r="S30" s="3272">
        <v>41.19</v>
      </c>
      <c r="T30" s="3273">
        <v>411900</v>
      </c>
      <c r="U30" s="3267">
        <v>6631</v>
      </c>
      <c r="V30" s="3289">
        <v>0.05</v>
      </c>
      <c r="W30" s="3272">
        <v>39.130000000000003</v>
      </c>
      <c r="X30" s="3273">
        <v>391300</v>
      </c>
      <c r="Y30" s="3276">
        <v>2006</v>
      </c>
      <c r="Z30" s="3276">
        <v>1</v>
      </c>
      <c r="AA30" s="3276">
        <v>26</v>
      </c>
      <c r="AB30" s="3267">
        <v>1235</v>
      </c>
      <c r="AC30" s="3267" t="s">
        <v>3444</v>
      </c>
      <c r="AD30" s="3268"/>
      <c r="AE30" s="3268" t="s">
        <v>3238</v>
      </c>
      <c r="AF30" s="3268" t="s">
        <v>2966</v>
      </c>
      <c r="AG30" s="3268" t="s">
        <v>2967</v>
      </c>
      <c r="AH30" s="3268"/>
      <c r="AI30" s="3268" t="s">
        <v>3295</v>
      </c>
      <c r="AJ30" s="3290"/>
      <c r="AK30" s="3278" t="s">
        <v>3131</v>
      </c>
      <c r="AL30" s="3276">
        <v>67641700</v>
      </c>
      <c r="AM30" s="3276"/>
      <c r="AN30" s="3267" t="s">
        <v>2994</v>
      </c>
      <c r="AO30" s="3276"/>
      <c r="AP30" s="3267" t="s">
        <v>3305</v>
      </c>
      <c r="AQ30" s="3267" t="s">
        <v>3228</v>
      </c>
      <c r="AR30" s="3267"/>
      <c r="AS30" s="3267"/>
      <c r="AT30" s="3267"/>
      <c r="AU30" s="3267"/>
      <c r="AV30" s="3277"/>
      <c r="AW30" s="3267" t="s">
        <v>3112</v>
      </c>
      <c r="AX30" s="3268"/>
      <c r="AY30" s="3268"/>
      <c r="AZ30" s="3268" t="s">
        <v>3445</v>
      </c>
      <c r="BA30" s="3268"/>
      <c r="BB30" s="3280"/>
      <c r="BC30" s="3268"/>
      <c r="BD30" s="3268"/>
      <c r="BE30" s="3268"/>
      <c r="BF30" s="3281"/>
      <c r="BG30" s="3313">
        <v>38626</v>
      </c>
      <c r="BH30" s="3268"/>
      <c r="BI30" s="3314" t="s">
        <v>3238</v>
      </c>
      <c r="BJ30" s="3283">
        <v>38652</v>
      </c>
      <c r="BK30" s="3284"/>
      <c r="BL30" s="3267" t="s">
        <v>2998</v>
      </c>
      <c r="BM30" s="3267" t="s">
        <v>2879</v>
      </c>
      <c r="BN30" s="3276" t="s">
        <v>2999</v>
      </c>
      <c r="BO30" s="3267" t="s">
        <v>3446</v>
      </c>
      <c r="BP30" s="3276"/>
      <c r="BQ30" s="3276"/>
      <c r="BR30" s="3276"/>
      <c r="BS30" s="3285"/>
      <c r="BT30" s="3285"/>
      <c r="BU30" s="3285"/>
    </row>
    <row r="31" spans="1:73" hidden="1">
      <c r="A31" s="3267" t="s">
        <v>3447</v>
      </c>
      <c r="B31" s="3267" t="s">
        <v>3448</v>
      </c>
      <c r="C31" s="3269" t="s">
        <v>3449</v>
      </c>
      <c r="D31" s="3267">
        <v>13501162600</v>
      </c>
      <c r="E31" s="3267" t="s">
        <v>2985</v>
      </c>
      <c r="F31" s="3267" t="s">
        <v>3450</v>
      </c>
      <c r="G31" s="3267"/>
      <c r="H31" s="3267" t="s">
        <v>3225</v>
      </c>
      <c r="I31" s="3267"/>
      <c r="J31" s="3267" t="s">
        <v>3451</v>
      </c>
      <c r="K31" s="3268" t="s">
        <v>3448</v>
      </c>
      <c r="L31" s="3267">
        <v>90.17</v>
      </c>
      <c r="M31" s="3267">
        <v>4</v>
      </c>
      <c r="N31" s="3267" t="s">
        <v>3122</v>
      </c>
      <c r="O31" s="3267"/>
      <c r="P31" s="3267" t="s">
        <v>2963</v>
      </c>
      <c r="Q31" s="3267">
        <v>590000</v>
      </c>
      <c r="R31" s="3267">
        <v>6543</v>
      </c>
      <c r="S31" s="3272">
        <v>51.91</v>
      </c>
      <c r="T31" s="3273">
        <v>519100</v>
      </c>
      <c r="U31" s="3267">
        <v>5758</v>
      </c>
      <c r="V31" s="3274">
        <v>0.05</v>
      </c>
      <c r="W31" s="3272">
        <v>49.31</v>
      </c>
      <c r="X31" s="3275">
        <v>493100</v>
      </c>
      <c r="Y31" s="3267">
        <v>2005</v>
      </c>
      <c r="Z31" s="3267">
        <v>11</v>
      </c>
      <c r="AA31" s="3276">
        <v>21</v>
      </c>
      <c r="AB31" s="3267">
        <v>1500</v>
      </c>
      <c r="AC31" s="3267" t="s">
        <v>3227</v>
      </c>
      <c r="AD31" s="3267"/>
      <c r="AE31" s="3276" t="s">
        <v>2992</v>
      </c>
      <c r="AF31" s="3267" t="s">
        <v>2966</v>
      </c>
      <c r="AG31" s="3267" t="s">
        <v>2967</v>
      </c>
      <c r="AH31" s="3267"/>
      <c r="AI31" s="3267" t="s">
        <v>2992</v>
      </c>
      <c r="AJ31" s="3303"/>
      <c r="AK31" s="3267" t="s">
        <v>3137</v>
      </c>
      <c r="AL31" s="3267">
        <v>67641700</v>
      </c>
      <c r="AM31" s="3267"/>
      <c r="AN31" s="3267" t="s">
        <v>2994</v>
      </c>
      <c r="AO31" s="3267" t="s">
        <v>2968</v>
      </c>
      <c r="AP31" s="3267" t="s">
        <v>2992</v>
      </c>
      <c r="AQ31" s="3276" t="s">
        <v>2996</v>
      </c>
      <c r="AR31" s="3267"/>
      <c r="AS31" s="3267"/>
      <c r="AT31" s="3267"/>
      <c r="AU31" s="3267"/>
      <c r="AV31" s="3267"/>
      <c r="AW31" s="3267" t="s">
        <v>2997</v>
      </c>
      <c r="AX31" s="3267"/>
      <c r="AY31" s="3269"/>
      <c r="AZ31" s="3267" t="s">
        <v>3452</v>
      </c>
      <c r="BA31" s="3267"/>
      <c r="BB31" s="3267"/>
      <c r="BC31" s="3267"/>
      <c r="BD31" s="3267"/>
      <c r="BE31" s="3267"/>
      <c r="BF31" s="3267"/>
      <c r="BG31" s="3307">
        <v>38671</v>
      </c>
      <c r="BH31" s="3267"/>
      <c r="BI31" s="3267" t="s">
        <v>2992</v>
      </c>
      <c r="BJ31" s="3283">
        <v>38671</v>
      </c>
      <c r="BK31" s="3283"/>
      <c r="BL31" s="3267" t="s">
        <v>2998</v>
      </c>
      <c r="BM31" s="3267" t="s">
        <v>2879</v>
      </c>
      <c r="BN31" s="3267" t="s">
        <v>3111</v>
      </c>
      <c r="BO31" s="3267" t="s">
        <v>3000</v>
      </c>
      <c r="BP31" s="3267"/>
      <c r="BQ31" s="3276" t="e">
        <v>#DIV/0!</v>
      </c>
      <c r="BR31" s="3276" t="e">
        <v>#DIV/0!</v>
      </c>
      <c r="BS31" s="3285"/>
      <c r="BT31" s="3285"/>
      <c r="BU31" s="3285"/>
    </row>
    <row r="32" spans="1:73" hidden="1">
      <c r="A32" s="3267" t="s">
        <v>3453</v>
      </c>
      <c r="B32" s="3267" t="s">
        <v>3454</v>
      </c>
      <c r="C32" s="3269" t="s">
        <v>3455</v>
      </c>
      <c r="D32" s="3269" t="s">
        <v>3456</v>
      </c>
      <c r="E32" s="3268" t="s">
        <v>2985</v>
      </c>
      <c r="F32" s="3268" t="s">
        <v>3457</v>
      </c>
      <c r="G32" s="3267"/>
      <c r="H32" s="3268" t="s">
        <v>3379</v>
      </c>
      <c r="I32" s="3268" t="s">
        <v>3458</v>
      </c>
      <c r="J32" s="3267" t="s">
        <v>3437</v>
      </c>
      <c r="K32" s="3267" t="s">
        <v>3459</v>
      </c>
      <c r="L32" s="3267">
        <v>51.35</v>
      </c>
      <c r="M32" s="3267">
        <v>4</v>
      </c>
      <c r="N32" s="3267" t="s">
        <v>3122</v>
      </c>
      <c r="O32" s="3267"/>
      <c r="P32" s="3267" t="s">
        <v>2963</v>
      </c>
      <c r="Q32" s="3271">
        <v>349000</v>
      </c>
      <c r="R32" s="3267">
        <v>6796</v>
      </c>
      <c r="S32" s="3272">
        <v>30.13</v>
      </c>
      <c r="T32" s="3273">
        <v>301300</v>
      </c>
      <c r="U32" s="3267">
        <v>5869</v>
      </c>
      <c r="V32" s="3289">
        <v>0.05</v>
      </c>
      <c r="W32" s="3272">
        <v>28.62</v>
      </c>
      <c r="X32" s="3275">
        <v>286200</v>
      </c>
      <c r="Y32" s="3276">
        <v>2006</v>
      </c>
      <c r="Z32" s="3276">
        <v>2</v>
      </c>
      <c r="AA32" s="3294">
        <v>21</v>
      </c>
      <c r="AB32" s="3267">
        <v>900</v>
      </c>
      <c r="AC32" s="3267" t="s">
        <v>3227</v>
      </c>
      <c r="AD32" s="3267"/>
      <c r="AE32" s="3268" t="s">
        <v>3305</v>
      </c>
      <c r="AF32" s="3268" t="s">
        <v>2966</v>
      </c>
      <c r="AG32" s="3279" t="s">
        <v>2967</v>
      </c>
      <c r="AH32" s="3267"/>
      <c r="AI32" s="3279" t="s">
        <v>2992</v>
      </c>
      <c r="AJ32" s="3284"/>
      <c r="AK32" s="3278">
        <v>2</v>
      </c>
      <c r="AL32" s="3276">
        <v>67641700</v>
      </c>
      <c r="AM32" s="3276"/>
      <c r="AN32" s="3279" t="s">
        <v>3114</v>
      </c>
      <c r="AO32" s="3267"/>
      <c r="AP32" s="3279" t="s">
        <v>3305</v>
      </c>
      <c r="AQ32" s="3267" t="s">
        <v>3228</v>
      </c>
      <c r="AR32" s="3276"/>
      <c r="AS32" s="3276"/>
      <c r="AT32" s="3276"/>
      <c r="AU32" s="3276"/>
      <c r="AV32" s="3276"/>
      <c r="AW32" s="3276" t="s">
        <v>2997</v>
      </c>
      <c r="AX32" s="3276"/>
      <c r="AY32" s="3291"/>
      <c r="AZ32" s="3267" t="s">
        <v>3459</v>
      </c>
      <c r="BA32" s="3296"/>
      <c r="BB32" s="3297"/>
      <c r="BC32" s="3296"/>
      <c r="BD32" s="3298"/>
      <c r="BE32" s="3276"/>
      <c r="BF32" s="3281"/>
      <c r="BG32" s="3293">
        <v>38679</v>
      </c>
      <c r="BH32" s="3267" t="s">
        <v>2998</v>
      </c>
      <c r="BI32" s="3314" t="s">
        <v>3305</v>
      </c>
      <c r="BJ32" s="3283">
        <v>38679</v>
      </c>
      <c r="BK32" s="3283"/>
      <c r="BL32" s="3267" t="s">
        <v>3249</v>
      </c>
      <c r="BM32" s="3276" t="s">
        <v>2879</v>
      </c>
      <c r="BN32" s="3276" t="s">
        <v>3111</v>
      </c>
      <c r="BO32" s="3276" t="s">
        <v>3146</v>
      </c>
      <c r="BP32" s="3276"/>
      <c r="BQ32" s="3276" t="e">
        <v>#DIV/0!</v>
      </c>
      <c r="BR32" s="3276" t="e">
        <v>#DIV/0!</v>
      </c>
      <c r="BS32" s="3285"/>
      <c r="BT32" s="3285"/>
      <c r="BU32" s="3285"/>
    </row>
    <row r="33" spans="1:73" hidden="1">
      <c r="A33" s="3267" t="s">
        <v>3460</v>
      </c>
      <c r="B33" s="3267" t="s">
        <v>3461</v>
      </c>
      <c r="C33" s="3269" t="s">
        <v>3462</v>
      </c>
      <c r="D33" s="3267">
        <v>13611069433</v>
      </c>
      <c r="E33" s="3267" t="s">
        <v>2985</v>
      </c>
      <c r="F33" s="3267" t="s">
        <v>3463</v>
      </c>
      <c r="G33" s="3267"/>
      <c r="H33" s="3267"/>
      <c r="I33" s="3267" t="s">
        <v>3254</v>
      </c>
      <c r="J33" s="3267" t="s">
        <v>3464</v>
      </c>
      <c r="K33" s="3268" t="s">
        <v>3465</v>
      </c>
      <c r="L33" s="3267">
        <v>74.36</v>
      </c>
      <c r="M33" s="3267">
        <v>1</v>
      </c>
      <c r="N33" s="3267" t="s">
        <v>3122</v>
      </c>
      <c r="O33" s="3267"/>
      <c r="P33" s="3267" t="s">
        <v>2963</v>
      </c>
      <c r="Q33" s="3267">
        <v>468700</v>
      </c>
      <c r="R33" s="3267">
        <v>6303</v>
      </c>
      <c r="S33" s="3272">
        <v>44.3</v>
      </c>
      <c r="T33" s="3273">
        <v>443000</v>
      </c>
      <c r="U33" s="3267">
        <v>5958</v>
      </c>
      <c r="V33" s="3274">
        <v>0.05</v>
      </c>
      <c r="W33" s="3272">
        <v>42.08</v>
      </c>
      <c r="X33" s="3275">
        <v>420800</v>
      </c>
      <c r="Y33" s="3267">
        <v>2006</v>
      </c>
      <c r="Z33" s="3267">
        <v>1</v>
      </c>
      <c r="AA33" s="3276">
        <v>11</v>
      </c>
      <c r="AB33" s="3267">
        <v>1325</v>
      </c>
      <c r="AC33" s="3267" t="s">
        <v>3227</v>
      </c>
      <c r="AD33" s="3267"/>
      <c r="AE33" s="3276" t="s">
        <v>2991</v>
      </c>
      <c r="AF33" s="3267" t="s">
        <v>2966</v>
      </c>
      <c r="AG33" s="3267" t="s">
        <v>2967</v>
      </c>
      <c r="AH33" s="3267"/>
      <c r="AI33" s="3267" t="s">
        <v>3115</v>
      </c>
      <c r="AJ33" s="3303"/>
      <c r="AK33" s="3267" t="s">
        <v>3131</v>
      </c>
      <c r="AL33" s="3267">
        <v>82253558</v>
      </c>
      <c r="AM33" s="3267"/>
      <c r="AN33" s="3267" t="s">
        <v>3140</v>
      </c>
      <c r="AO33" s="3267" t="s">
        <v>2968</v>
      </c>
      <c r="AP33" s="3267" t="s">
        <v>3180</v>
      </c>
      <c r="AQ33" s="3267" t="s">
        <v>3228</v>
      </c>
      <c r="AR33" s="3276">
        <v>2006</v>
      </c>
      <c r="AS33" s="3276">
        <v>1</v>
      </c>
      <c r="AT33" s="3276">
        <v>11</v>
      </c>
      <c r="AU33" s="3267"/>
      <c r="AV33" s="3267"/>
      <c r="AW33" s="3267" t="s">
        <v>2997</v>
      </c>
      <c r="AX33" s="3267"/>
      <c r="AY33" s="3269"/>
      <c r="AZ33" s="3267" t="s">
        <v>3465</v>
      </c>
      <c r="BA33" s="3267"/>
      <c r="BB33" s="3267"/>
      <c r="BC33" s="3267"/>
      <c r="BD33" s="3267"/>
      <c r="BE33" s="3267" t="s">
        <v>3466</v>
      </c>
      <c r="BF33" s="3267"/>
      <c r="BG33" s="3307">
        <v>38667</v>
      </c>
      <c r="BH33" s="3267"/>
      <c r="BI33" s="3267" t="s">
        <v>2991</v>
      </c>
      <c r="BJ33" s="3283">
        <v>38686</v>
      </c>
      <c r="BK33" s="3283"/>
      <c r="BL33" s="3267" t="s">
        <v>2998</v>
      </c>
      <c r="BM33" s="3267" t="s">
        <v>2879</v>
      </c>
      <c r="BN33" s="3267" t="s">
        <v>2999</v>
      </c>
      <c r="BO33" s="3267" t="s">
        <v>3000</v>
      </c>
      <c r="BP33" s="3267"/>
      <c r="BQ33" s="3276" t="e">
        <v>#DIV/0!</v>
      </c>
      <c r="BR33" s="3276" t="e">
        <v>#DIV/0!</v>
      </c>
      <c r="BS33" s="3285"/>
      <c r="BT33" s="3285"/>
      <c r="BU33" s="3285"/>
    </row>
    <row r="34" spans="1:73" hidden="1">
      <c r="A34" s="3267" t="s">
        <v>3467</v>
      </c>
      <c r="B34" s="3267" t="s">
        <v>3468</v>
      </c>
      <c r="C34" s="3269" t="s">
        <v>3469</v>
      </c>
      <c r="D34" s="3268">
        <v>13126620276</v>
      </c>
      <c r="E34" s="3267" t="s">
        <v>2985</v>
      </c>
      <c r="F34" s="3267" t="s">
        <v>3470</v>
      </c>
      <c r="G34" s="3267"/>
      <c r="H34" s="3270" t="s">
        <v>3139</v>
      </c>
      <c r="I34" s="3268"/>
      <c r="J34" s="3270" t="s">
        <v>3471</v>
      </c>
      <c r="K34" s="3267" t="s">
        <v>3472</v>
      </c>
      <c r="L34" s="3286">
        <v>75.03</v>
      </c>
      <c r="M34" s="3270">
        <v>18</v>
      </c>
      <c r="N34" s="3267" t="s">
        <v>3122</v>
      </c>
      <c r="O34" s="3267">
        <v>61.68</v>
      </c>
      <c r="P34" s="3267" t="s">
        <v>2963</v>
      </c>
      <c r="Q34" s="3287">
        <v>480000</v>
      </c>
      <c r="R34" s="3267">
        <v>6397</v>
      </c>
      <c r="S34" s="3272">
        <v>30.01</v>
      </c>
      <c r="T34" s="3273">
        <v>300100</v>
      </c>
      <c r="U34" s="3287">
        <v>4000</v>
      </c>
      <c r="V34" s="3289">
        <v>0.05</v>
      </c>
      <c r="W34" s="3272">
        <v>28.5</v>
      </c>
      <c r="X34" s="3273">
        <v>285000</v>
      </c>
      <c r="Y34" s="3276">
        <v>2006</v>
      </c>
      <c r="Z34" s="3276">
        <v>1</v>
      </c>
      <c r="AA34" s="3267">
        <v>6</v>
      </c>
      <c r="AB34" s="3267">
        <v>900</v>
      </c>
      <c r="AC34" s="3267" t="s">
        <v>3227</v>
      </c>
      <c r="AD34" s="3267"/>
      <c r="AE34" s="3267" t="s">
        <v>3304</v>
      </c>
      <c r="AF34" s="3267" t="s">
        <v>2966</v>
      </c>
      <c r="AG34" s="3267" t="s">
        <v>3473</v>
      </c>
      <c r="AH34" s="3267"/>
      <c r="AI34" s="3276" t="s">
        <v>3295</v>
      </c>
      <c r="AJ34" s="3277"/>
      <c r="AK34" s="3278" t="s">
        <v>3131</v>
      </c>
      <c r="AL34" s="3267">
        <v>67641700</v>
      </c>
      <c r="AM34" s="3267"/>
      <c r="AN34" s="3279" t="s">
        <v>3131</v>
      </c>
      <c r="AO34" s="3267"/>
      <c r="AP34" s="3267" t="s">
        <v>3342</v>
      </c>
      <c r="AQ34" s="3267" t="s">
        <v>3228</v>
      </c>
      <c r="AR34" s="3267"/>
      <c r="AS34" s="3267"/>
      <c r="AT34" s="3267"/>
      <c r="AU34" s="3267"/>
      <c r="AV34" s="3267"/>
      <c r="AW34" s="3267" t="s">
        <v>2998</v>
      </c>
      <c r="AX34" s="3267"/>
      <c r="AY34" s="3279"/>
      <c r="AZ34" s="3267"/>
      <c r="BA34" s="3267"/>
      <c r="BB34" s="3267"/>
      <c r="BC34" s="3267"/>
      <c r="BD34" s="3267"/>
      <c r="BE34" s="3267"/>
      <c r="BF34" s="3267"/>
      <c r="BG34" s="3290">
        <v>38688</v>
      </c>
      <c r="BH34" s="3267"/>
      <c r="BI34" s="3268" t="s">
        <v>3424</v>
      </c>
      <c r="BJ34" s="3284">
        <v>38688</v>
      </c>
      <c r="BK34" s="3284"/>
      <c r="BL34" s="3267"/>
      <c r="BM34" s="3267" t="s">
        <v>3345</v>
      </c>
      <c r="BN34" s="3267" t="s">
        <v>2999</v>
      </c>
      <c r="BO34" s="3267" t="s">
        <v>3146</v>
      </c>
      <c r="BP34" s="3267"/>
      <c r="BQ34" s="3267">
        <v>4866</v>
      </c>
      <c r="BR34" s="3267">
        <v>7782</v>
      </c>
      <c r="BS34" s="3285"/>
      <c r="BT34" s="3285"/>
      <c r="BU34" s="3285"/>
    </row>
    <row r="35" spans="1:73" hidden="1">
      <c r="A35" s="3267" t="s">
        <v>3474</v>
      </c>
      <c r="B35" s="3267" t="s">
        <v>3475</v>
      </c>
      <c r="C35" s="3269" t="s">
        <v>3476</v>
      </c>
      <c r="D35" s="3269">
        <v>13366923756</v>
      </c>
      <c r="E35" s="3268" t="s">
        <v>2985</v>
      </c>
      <c r="F35" s="3268" t="s">
        <v>3309</v>
      </c>
      <c r="G35" s="3267"/>
      <c r="H35" s="3268" t="s">
        <v>3477</v>
      </c>
      <c r="I35" s="3268"/>
      <c r="J35" s="3267" t="s">
        <v>3478</v>
      </c>
      <c r="K35" s="3267" t="s">
        <v>3479</v>
      </c>
      <c r="L35" s="3267">
        <v>70.58</v>
      </c>
      <c r="M35" s="3267">
        <v>10</v>
      </c>
      <c r="N35" s="3267" t="s">
        <v>3152</v>
      </c>
      <c r="O35" s="3267"/>
      <c r="P35" s="3267" t="s">
        <v>2963</v>
      </c>
      <c r="Q35" s="3271">
        <v>480000</v>
      </c>
      <c r="R35" s="3267">
        <v>6801</v>
      </c>
      <c r="S35" s="3272">
        <v>38.11</v>
      </c>
      <c r="T35" s="3273">
        <v>381100</v>
      </c>
      <c r="U35" s="3267">
        <v>5400</v>
      </c>
      <c r="V35" s="3289">
        <v>0.05</v>
      </c>
      <c r="W35" s="3272">
        <v>36.200000000000003</v>
      </c>
      <c r="X35" s="3275">
        <v>362000</v>
      </c>
      <c r="Y35" s="3276">
        <v>2006</v>
      </c>
      <c r="Z35" s="3276">
        <v>1</v>
      </c>
      <c r="AA35" s="3276">
        <v>5</v>
      </c>
      <c r="AB35" s="3267">
        <v>1140</v>
      </c>
      <c r="AC35" s="3267" t="s">
        <v>3480</v>
      </c>
      <c r="AD35" s="3267"/>
      <c r="AE35" s="3268" t="s">
        <v>3180</v>
      </c>
      <c r="AF35" s="3268" t="s">
        <v>2966</v>
      </c>
      <c r="AG35" s="3279" t="s">
        <v>2967</v>
      </c>
      <c r="AH35" s="3267"/>
      <c r="AI35" s="3279" t="s">
        <v>2992</v>
      </c>
      <c r="AJ35" s="3284"/>
      <c r="AK35" s="3278">
        <v>1</v>
      </c>
      <c r="AL35" s="3276">
        <v>67641700</v>
      </c>
      <c r="AM35" s="3276"/>
      <c r="AN35" s="3279" t="s">
        <v>3131</v>
      </c>
      <c r="AO35" s="3267"/>
      <c r="AP35" s="3279" t="s">
        <v>3305</v>
      </c>
      <c r="AQ35" s="3267" t="s">
        <v>3228</v>
      </c>
      <c r="AR35" s="3276"/>
      <c r="AS35" s="3276"/>
      <c r="AT35" s="3276"/>
      <c r="AU35" s="3276"/>
      <c r="AV35" s="3276"/>
      <c r="AW35" s="3276" t="s">
        <v>2997</v>
      </c>
      <c r="AX35" s="3276"/>
      <c r="AY35" s="3291"/>
      <c r="AZ35" s="3267" t="s">
        <v>3479</v>
      </c>
      <c r="BA35" s="3296"/>
      <c r="BB35" s="3297"/>
      <c r="BC35" s="3296"/>
      <c r="BD35" s="3298"/>
      <c r="BE35" s="3276"/>
      <c r="BF35" s="3281"/>
      <c r="BG35" s="3293"/>
      <c r="BH35" s="3267" t="s">
        <v>2998</v>
      </c>
      <c r="BI35" s="3314" t="s">
        <v>3305</v>
      </c>
      <c r="BJ35" s="3283">
        <v>38691</v>
      </c>
      <c r="BK35" s="3283"/>
      <c r="BL35" s="3267" t="s">
        <v>3249</v>
      </c>
      <c r="BM35" s="3276" t="s">
        <v>2879</v>
      </c>
      <c r="BN35" s="3276" t="s">
        <v>2999</v>
      </c>
      <c r="BO35" s="3276" t="s">
        <v>3146</v>
      </c>
      <c r="BP35" s="3276"/>
      <c r="BQ35" s="3276" t="e">
        <v>#DIV/0!</v>
      </c>
      <c r="BR35" s="3276" t="e">
        <v>#DIV/0!</v>
      </c>
      <c r="BS35" s="3285"/>
      <c r="BT35" s="3285"/>
      <c r="BU35" s="3285"/>
    </row>
    <row r="36" spans="1:73" hidden="1">
      <c r="A36" s="3267" t="s">
        <v>3481</v>
      </c>
      <c r="B36" s="3267" t="s">
        <v>3482</v>
      </c>
      <c r="C36" s="3267" t="s">
        <v>3483</v>
      </c>
      <c r="D36" s="3267">
        <v>13810099556</v>
      </c>
      <c r="E36" s="3267" t="s">
        <v>2985</v>
      </c>
      <c r="F36" s="3267" t="s">
        <v>3484</v>
      </c>
      <c r="G36" s="3267"/>
      <c r="H36" s="3267" t="s">
        <v>3263</v>
      </c>
      <c r="I36" s="3267"/>
      <c r="J36" s="3267" t="s">
        <v>3485</v>
      </c>
      <c r="K36" s="3267" t="s">
        <v>3482</v>
      </c>
      <c r="L36" s="3267">
        <v>73.489999999999995</v>
      </c>
      <c r="M36" s="3267">
        <v>12</v>
      </c>
      <c r="N36" s="3267" t="s">
        <v>3486</v>
      </c>
      <c r="O36" s="3267"/>
      <c r="P36" s="3267" t="s">
        <v>2963</v>
      </c>
      <c r="Q36" s="3267">
        <v>527000</v>
      </c>
      <c r="R36" s="3267">
        <v>7171</v>
      </c>
      <c r="S36" s="3272">
        <v>43.91</v>
      </c>
      <c r="T36" s="3273">
        <v>439099.99999999994</v>
      </c>
      <c r="U36" s="3267">
        <v>5976</v>
      </c>
      <c r="V36" s="3274">
        <v>0.05</v>
      </c>
      <c r="W36" s="3272">
        <v>41.71</v>
      </c>
      <c r="X36" s="3275">
        <v>417100</v>
      </c>
      <c r="Y36" s="3267">
        <v>2006</v>
      </c>
      <c r="Z36" s="3267">
        <v>1</v>
      </c>
      <c r="AA36" s="3267">
        <v>4</v>
      </c>
      <c r="AB36" s="3267">
        <v>1315</v>
      </c>
      <c r="AC36" s="3267" t="s">
        <v>3227</v>
      </c>
      <c r="AD36" s="3267"/>
      <c r="AE36" s="3267" t="s">
        <v>3304</v>
      </c>
      <c r="AF36" s="3267" t="s">
        <v>2966</v>
      </c>
      <c r="AG36" s="3267" t="s">
        <v>2967</v>
      </c>
      <c r="AH36" s="3267"/>
      <c r="AI36" s="3267" t="s">
        <v>3295</v>
      </c>
      <c r="AJ36" s="3267"/>
      <c r="AK36" s="3267" t="s">
        <v>3131</v>
      </c>
      <c r="AL36" s="3267">
        <v>67641700</v>
      </c>
      <c r="AM36" s="3267" t="s">
        <v>2968</v>
      </c>
      <c r="AN36" s="3267" t="s">
        <v>3131</v>
      </c>
      <c r="AO36" s="3267"/>
      <c r="AP36" s="3267" t="s">
        <v>3305</v>
      </c>
      <c r="AQ36" s="3267" t="s">
        <v>3113</v>
      </c>
      <c r="AR36" s="3267"/>
      <c r="AS36" s="3267"/>
      <c r="AT36" s="3267"/>
      <c r="AU36" s="3267"/>
      <c r="AV36" s="3267"/>
      <c r="AW36" s="3267" t="s">
        <v>3112</v>
      </c>
      <c r="AX36" s="3267"/>
      <c r="AY36" s="3269"/>
      <c r="AZ36" s="3267"/>
      <c r="BA36" s="3267"/>
      <c r="BB36" s="3269"/>
      <c r="BC36" s="3267"/>
      <c r="BD36" s="3304"/>
      <c r="BE36" s="3267"/>
      <c r="BF36" s="3305"/>
      <c r="BG36" s="3284">
        <v>38691</v>
      </c>
      <c r="BH36" s="3267"/>
      <c r="BI36" s="3267" t="s">
        <v>3487</v>
      </c>
      <c r="BJ36" s="3303">
        <v>38693</v>
      </c>
      <c r="BK36" s="3303"/>
      <c r="BL36" s="3267" t="s">
        <v>2998</v>
      </c>
      <c r="BM36" s="3267" t="s">
        <v>3345</v>
      </c>
      <c r="BN36" s="3267" t="s">
        <v>2999</v>
      </c>
      <c r="BO36" s="3267" t="s">
        <v>3000</v>
      </c>
      <c r="BP36" s="3267"/>
      <c r="BQ36" s="3267"/>
      <c r="BR36" s="3267"/>
      <c r="BS36" s="3285"/>
      <c r="BT36" s="3285"/>
      <c r="BU36" s="3285"/>
    </row>
    <row r="37" spans="1:73" hidden="1">
      <c r="A37" s="3267" t="s">
        <v>3488</v>
      </c>
      <c r="B37" s="3267" t="s">
        <v>3489</v>
      </c>
      <c r="C37" s="3269" t="s">
        <v>3490</v>
      </c>
      <c r="D37" s="3269" t="s">
        <v>3491</v>
      </c>
      <c r="E37" s="3268" t="s">
        <v>2985</v>
      </c>
      <c r="F37" s="3268" t="s">
        <v>3492</v>
      </c>
      <c r="G37" s="3267"/>
      <c r="H37" s="3268" t="s">
        <v>3139</v>
      </c>
      <c r="I37" s="3268" t="s">
        <v>3458</v>
      </c>
      <c r="J37" s="3267" t="s">
        <v>3493</v>
      </c>
      <c r="K37" s="3267" t="s">
        <v>3494</v>
      </c>
      <c r="L37" s="3267">
        <v>115.11</v>
      </c>
      <c r="M37" s="3267">
        <v>12</v>
      </c>
      <c r="N37" s="3267" t="s">
        <v>3129</v>
      </c>
      <c r="O37" s="3267"/>
      <c r="P37" s="3267" t="s">
        <v>3495</v>
      </c>
      <c r="Q37" s="3271">
        <v>750000</v>
      </c>
      <c r="R37" s="3267">
        <v>6516</v>
      </c>
      <c r="S37" s="3272">
        <v>66.760000000000005</v>
      </c>
      <c r="T37" s="3273">
        <v>667600</v>
      </c>
      <c r="U37" s="3267">
        <v>5800</v>
      </c>
      <c r="V37" s="3289">
        <v>0.05</v>
      </c>
      <c r="W37" s="3272">
        <v>63.42</v>
      </c>
      <c r="X37" s="3275">
        <v>634200</v>
      </c>
      <c r="Y37" s="3276">
        <v>2006</v>
      </c>
      <c r="Z37" s="3276">
        <v>1</v>
      </c>
      <c r="AA37" s="3276">
        <v>11</v>
      </c>
      <c r="AB37" s="3267">
        <v>1500</v>
      </c>
      <c r="AC37" s="3267" t="s">
        <v>3227</v>
      </c>
      <c r="AD37" s="3267"/>
      <c r="AE37" s="3268" t="s">
        <v>3180</v>
      </c>
      <c r="AF37" s="3268" t="s">
        <v>2966</v>
      </c>
      <c r="AG37" s="3279" t="s">
        <v>2967</v>
      </c>
      <c r="AH37" s="3267"/>
      <c r="AI37" s="3279" t="s">
        <v>2992</v>
      </c>
      <c r="AJ37" s="3303"/>
      <c r="AK37" s="3278">
        <v>1</v>
      </c>
      <c r="AL37" s="3276">
        <v>67641700</v>
      </c>
      <c r="AM37" s="3276"/>
      <c r="AN37" s="3279" t="s">
        <v>3140</v>
      </c>
      <c r="AO37" s="3267"/>
      <c r="AP37" s="3279" t="s">
        <v>3305</v>
      </c>
      <c r="AQ37" s="3267" t="s">
        <v>3228</v>
      </c>
      <c r="AR37" s="3276"/>
      <c r="AS37" s="3276"/>
      <c r="AT37" s="3276"/>
      <c r="AU37" s="3276"/>
      <c r="AV37" s="3276"/>
      <c r="AW37" s="3276" t="s">
        <v>3112</v>
      </c>
      <c r="AX37" s="3276"/>
      <c r="AY37" s="3291"/>
      <c r="AZ37" s="3267" t="s">
        <v>3494</v>
      </c>
      <c r="BA37" s="3296"/>
      <c r="BB37" s="3297"/>
      <c r="BC37" s="3296"/>
      <c r="BD37" s="3298"/>
      <c r="BE37" s="3276"/>
      <c r="BF37" s="3281"/>
      <c r="BG37" s="3293" t="s">
        <v>3496</v>
      </c>
      <c r="BH37" s="3267" t="s">
        <v>2998</v>
      </c>
      <c r="BI37" s="3314" t="s">
        <v>3305</v>
      </c>
      <c r="BJ37" s="3283">
        <v>38692</v>
      </c>
      <c r="BK37" s="3283"/>
      <c r="BL37" s="3267" t="s">
        <v>3249</v>
      </c>
      <c r="BM37" s="3276" t="s">
        <v>2879</v>
      </c>
      <c r="BN37" s="3276" t="s">
        <v>2999</v>
      </c>
      <c r="BO37" s="3276" t="s">
        <v>3146</v>
      </c>
      <c r="BP37" s="3276"/>
      <c r="BQ37" s="3276" t="e">
        <v>#DIV/0!</v>
      </c>
      <c r="BR37" s="3276" t="e">
        <v>#DIV/0!</v>
      </c>
      <c r="BS37" s="3285"/>
      <c r="BT37" s="3285"/>
      <c r="BU37" s="3285"/>
    </row>
    <row r="38" spans="1:73" hidden="1">
      <c r="A38" s="3267" t="s">
        <v>3497</v>
      </c>
      <c r="B38" s="3267" t="s">
        <v>3498</v>
      </c>
      <c r="C38" s="3267" t="s">
        <v>3499</v>
      </c>
      <c r="D38" s="3267">
        <v>13801282688</v>
      </c>
      <c r="E38" s="3267" t="s">
        <v>2985</v>
      </c>
      <c r="F38" s="3267" t="s">
        <v>3324</v>
      </c>
      <c r="G38" s="3267"/>
      <c r="H38" s="3267" t="s">
        <v>3500</v>
      </c>
      <c r="I38" s="3267"/>
      <c r="J38" s="3267" t="s">
        <v>3501</v>
      </c>
      <c r="K38" s="3267" t="s">
        <v>3502</v>
      </c>
      <c r="L38" s="3267">
        <v>91.77</v>
      </c>
      <c r="M38" s="3267">
        <v>16</v>
      </c>
      <c r="N38" s="3267" t="s">
        <v>3122</v>
      </c>
      <c r="O38" s="3267"/>
      <c r="P38" s="3267" t="s">
        <v>2963</v>
      </c>
      <c r="Q38" s="3267">
        <v>540000</v>
      </c>
      <c r="R38" s="3267">
        <v>5884</v>
      </c>
      <c r="S38" s="3272">
        <v>49.37</v>
      </c>
      <c r="T38" s="3273">
        <v>493700</v>
      </c>
      <c r="U38" s="3267">
        <v>5380</v>
      </c>
      <c r="V38" s="3289">
        <v>0.05</v>
      </c>
      <c r="W38" s="3272">
        <v>46.9</v>
      </c>
      <c r="X38" s="3273">
        <v>469000</v>
      </c>
      <c r="Y38" s="3267">
        <v>2006</v>
      </c>
      <c r="Z38" s="3267">
        <v>1</v>
      </c>
      <c r="AA38" s="3267">
        <v>16</v>
      </c>
      <c r="AB38" s="3267">
        <v>1480</v>
      </c>
      <c r="AC38" s="3267" t="s">
        <v>3227</v>
      </c>
      <c r="AD38" s="3267"/>
      <c r="AE38" s="3267" t="s">
        <v>3245</v>
      </c>
      <c r="AF38" s="3267" t="s">
        <v>2966</v>
      </c>
      <c r="AG38" s="3267" t="s">
        <v>2967</v>
      </c>
      <c r="AH38" s="3267"/>
      <c r="AI38" s="3267" t="s">
        <v>2992</v>
      </c>
      <c r="AJ38" s="3303"/>
      <c r="AK38" s="3267">
        <v>1</v>
      </c>
      <c r="AL38" s="3267">
        <v>67641700</v>
      </c>
      <c r="AM38" s="3267"/>
      <c r="AN38" s="3267" t="s">
        <v>3114</v>
      </c>
      <c r="AO38" s="3267" t="s">
        <v>2968</v>
      </c>
      <c r="AP38" s="3267" t="s">
        <v>3305</v>
      </c>
      <c r="AQ38" s="3267" t="s">
        <v>3113</v>
      </c>
      <c r="AR38" s="3267"/>
      <c r="AS38" s="3267"/>
      <c r="AT38" s="3267"/>
      <c r="AU38" s="3267"/>
      <c r="AV38" s="3267"/>
      <c r="AW38" s="3267" t="s">
        <v>3112</v>
      </c>
      <c r="AX38" s="3267"/>
      <c r="AY38" s="3269"/>
      <c r="AZ38" s="3267" t="s">
        <v>3502</v>
      </c>
      <c r="BA38" s="3267"/>
      <c r="BB38" s="3269"/>
      <c r="BC38" s="3267"/>
      <c r="BD38" s="3304"/>
      <c r="BE38" s="3267"/>
      <c r="BF38" s="3305"/>
      <c r="BG38" s="3284">
        <v>38684</v>
      </c>
      <c r="BH38" s="3267" t="s">
        <v>2998</v>
      </c>
      <c r="BI38" s="3267" t="s">
        <v>3305</v>
      </c>
      <c r="BJ38" s="3303">
        <v>38695</v>
      </c>
      <c r="BK38" s="3303"/>
      <c r="BL38" s="3267" t="s">
        <v>3249</v>
      </c>
      <c r="BM38" s="3267" t="s">
        <v>2879</v>
      </c>
      <c r="BN38" s="3267" t="s">
        <v>3111</v>
      </c>
      <c r="BO38" s="3267" t="s">
        <v>3446</v>
      </c>
      <c r="BP38" s="3267"/>
      <c r="BQ38" s="3267" t="e">
        <v>#DIV/0!</v>
      </c>
      <c r="BR38" s="3267" t="e">
        <v>#DIV/0!</v>
      </c>
      <c r="BS38" s="3285"/>
      <c r="BT38" s="3285"/>
      <c r="BU38" s="3285"/>
    </row>
    <row r="39" spans="1:73" hidden="1">
      <c r="A39" s="3267" t="s">
        <v>3503</v>
      </c>
      <c r="B39" s="3267" t="s">
        <v>3504</v>
      </c>
      <c r="C39" s="3267" t="s">
        <v>3505</v>
      </c>
      <c r="D39" s="3267">
        <v>13621266615</v>
      </c>
      <c r="E39" s="3267" t="s">
        <v>2985</v>
      </c>
      <c r="F39" s="3267" t="s">
        <v>3279</v>
      </c>
      <c r="G39" s="3267"/>
      <c r="H39" s="3267" t="s">
        <v>3310</v>
      </c>
      <c r="I39" s="3267" t="s">
        <v>3188</v>
      </c>
      <c r="J39" s="3267" t="s">
        <v>3126</v>
      </c>
      <c r="K39" s="3267" t="s">
        <v>3504</v>
      </c>
      <c r="L39" s="3267">
        <v>106.08</v>
      </c>
      <c r="M39" s="3267">
        <v>6</v>
      </c>
      <c r="N39" s="3267" t="s">
        <v>3303</v>
      </c>
      <c r="O39" s="3267"/>
      <c r="P39" s="3267" t="s">
        <v>2963</v>
      </c>
      <c r="Q39" s="3267">
        <v>500000</v>
      </c>
      <c r="R39" s="3267">
        <v>4713</v>
      </c>
      <c r="S39" s="3272">
        <v>53.04</v>
      </c>
      <c r="T39" s="3273">
        <v>530400</v>
      </c>
      <c r="U39" s="3267">
        <v>5000</v>
      </c>
      <c r="V39" s="3289">
        <v>0.05</v>
      </c>
      <c r="W39" s="3272">
        <v>50.38</v>
      </c>
      <c r="X39" s="3273">
        <v>503800</v>
      </c>
      <c r="Y39" s="3267">
        <v>2006</v>
      </c>
      <c r="Z39" s="3267">
        <v>1</v>
      </c>
      <c r="AA39" s="3267">
        <v>12</v>
      </c>
      <c r="AB39" s="3267">
        <v>1500</v>
      </c>
      <c r="AC39" s="3267" t="s">
        <v>3227</v>
      </c>
      <c r="AD39" s="3267"/>
      <c r="AE39" s="3267" t="s">
        <v>3245</v>
      </c>
      <c r="AF39" s="3267" t="s">
        <v>2966</v>
      </c>
      <c r="AG39" s="3267" t="s">
        <v>2967</v>
      </c>
      <c r="AH39" s="3267"/>
      <c r="AI39" s="3267" t="s">
        <v>2992</v>
      </c>
      <c r="AJ39" s="3303"/>
      <c r="AK39" s="3267">
        <v>1</v>
      </c>
      <c r="AL39" s="3267">
        <v>67641700</v>
      </c>
      <c r="AM39" s="3267"/>
      <c r="AN39" s="3267" t="s">
        <v>3140</v>
      </c>
      <c r="AO39" s="3267"/>
      <c r="AP39" s="3267" t="s">
        <v>3305</v>
      </c>
      <c r="AQ39" s="3267" t="s">
        <v>3228</v>
      </c>
      <c r="AR39" s="3267"/>
      <c r="AS39" s="3267"/>
      <c r="AT39" s="3267"/>
      <c r="AU39" s="3267"/>
      <c r="AV39" s="3267"/>
      <c r="AW39" s="3267" t="s">
        <v>3112</v>
      </c>
      <c r="AX39" s="3267"/>
      <c r="AY39" s="3269"/>
      <c r="AZ39" s="3267" t="s">
        <v>3506</v>
      </c>
      <c r="BA39" s="3267"/>
      <c r="BB39" s="3269"/>
      <c r="BC39" s="3267"/>
      <c r="BD39" s="3304"/>
      <c r="BE39" s="3267"/>
      <c r="BF39" s="3305"/>
      <c r="BG39" s="3284">
        <v>38690</v>
      </c>
      <c r="BH39" s="3267" t="s">
        <v>2998</v>
      </c>
      <c r="BI39" s="3267" t="s">
        <v>3305</v>
      </c>
      <c r="BJ39" s="3303">
        <v>38700</v>
      </c>
      <c r="BK39" s="3303"/>
      <c r="BL39" s="3267" t="s">
        <v>3249</v>
      </c>
      <c r="BM39" s="3267" t="s">
        <v>2879</v>
      </c>
      <c r="BN39" s="3267" t="s">
        <v>3111</v>
      </c>
      <c r="BO39" s="3267" t="s">
        <v>3446</v>
      </c>
      <c r="BP39" s="3267"/>
      <c r="BQ39" s="3267" t="e">
        <v>#DIV/0!</v>
      </c>
      <c r="BR39" s="3267" t="e">
        <v>#DIV/0!</v>
      </c>
      <c r="BS39" s="3285"/>
      <c r="BT39" s="3285"/>
      <c r="BU39" s="3285"/>
    </row>
    <row r="40" spans="1:73" hidden="1">
      <c r="A40" s="3267" t="s">
        <v>3507</v>
      </c>
      <c r="B40" s="3267" t="s">
        <v>3508</v>
      </c>
      <c r="C40" s="3269" t="s">
        <v>3509</v>
      </c>
      <c r="D40" s="3269" t="s">
        <v>3510</v>
      </c>
      <c r="E40" s="3267" t="s">
        <v>2985</v>
      </c>
      <c r="F40" s="3267" t="s">
        <v>3511</v>
      </c>
      <c r="G40" s="3267"/>
      <c r="H40" s="3267" t="s">
        <v>3139</v>
      </c>
      <c r="I40" s="3267" t="s">
        <v>3188</v>
      </c>
      <c r="J40" s="3269" t="s">
        <v>3512</v>
      </c>
      <c r="K40" s="3267" t="s">
        <v>3513</v>
      </c>
      <c r="L40" s="3267">
        <v>64.72</v>
      </c>
      <c r="M40" s="3267">
        <v>5</v>
      </c>
      <c r="N40" s="3267" t="s">
        <v>3122</v>
      </c>
      <c r="O40" s="3267"/>
      <c r="P40" s="3267" t="s">
        <v>2963</v>
      </c>
      <c r="Q40" s="3271">
        <v>520000</v>
      </c>
      <c r="R40" s="3267">
        <v>8035</v>
      </c>
      <c r="S40" s="3272">
        <v>43.13</v>
      </c>
      <c r="T40" s="3273">
        <v>431300</v>
      </c>
      <c r="U40" s="3267">
        <v>6665</v>
      </c>
      <c r="V40" s="3289">
        <v>0.05</v>
      </c>
      <c r="W40" s="3272">
        <v>40.97</v>
      </c>
      <c r="X40" s="3273">
        <v>409700</v>
      </c>
      <c r="Y40" s="3267">
        <v>2006</v>
      </c>
      <c r="Z40" s="3267">
        <v>1</v>
      </c>
      <c r="AA40" s="3276">
        <v>11</v>
      </c>
      <c r="AB40" s="3267">
        <v>1290</v>
      </c>
      <c r="AC40" s="3267" t="s">
        <v>3227</v>
      </c>
      <c r="AD40" s="3267"/>
      <c r="AE40" s="3267" t="s">
        <v>3304</v>
      </c>
      <c r="AF40" s="3267" t="s">
        <v>2966</v>
      </c>
      <c r="AG40" s="3267" t="s">
        <v>2967</v>
      </c>
      <c r="AH40" s="3267"/>
      <c r="AI40" s="3267" t="s">
        <v>2992</v>
      </c>
      <c r="AJ40" s="3303"/>
      <c r="AK40" s="3278" t="s">
        <v>3131</v>
      </c>
      <c r="AL40" s="3267">
        <v>67641700</v>
      </c>
      <c r="AM40" s="3276"/>
      <c r="AN40" s="3276" t="s">
        <v>3140</v>
      </c>
      <c r="AO40" s="3276"/>
      <c r="AP40" s="3276" t="s">
        <v>3342</v>
      </c>
      <c r="AQ40" s="3267" t="s">
        <v>3228</v>
      </c>
      <c r="AR40" s="3276">
        <v>2006</v>
      </c>
      <c r="AS40" s="3276">
        <v>1</v>
      </c>
      <c r="AT40" s="3276">
        <v>11</v>
      </c>
      <c r="AU40" s="3276"/>
      <c r="AV40" s="3276"/>
      <c r="AW40" s="3267" t="s">
        <v>3119</v>
      </c>
      <c r="AX40" s="3276"/>
      <c r="AY40" s="3291"/>
      <c r="AZ40" s="3276" t="s">
        <v>3513</v>
      </c>
      <c r="BA40" s="3276"/>
      <c r="BB40" s="3291"/>
      <c r="BC40" s="3276"/>
      <c r="BD40" s="3292"/>
      <c r="BE40" s="3276"/>
      <c r="BF40" s="3281"/>
      <c r="BG40" s="3284">
        <v>38700</v>
      </c>
      <c r="BH40" s="3276"/>
      <c r="BI40" s="3276" t="s">
        <v>2991</v>
      </c>
      <c r="BJ40" s="3307">
        <v>38700</v>
      </c>
      <c r="BK40" s="3283"/>
      <c r="BL40" s="3267" t="s">
        <v>2998</v>
      </c>
      <c r="BM40" s="3267" t="s">
        <v>2879</v>
      </c>
      <c r="BN40" s="3276" t="s">
        <v>2999</v>
      </c>
      <c r="BO40" s="3267" t="s">
        <v>3146</v>
      </c>
      <c r="BP40" s="3276"/>
      <c r="BQ40" s="3276" t="e">
        <v>#DIV/0!</v>
      </c>
      <c r="BR40" s="3276" t="e">
        <v>#DIV/0!</v>
      </c>
      <c r="BS40" s="3285"/>
      <c r="BT40" s="3285"/>
      <c r="BU40" s="3285"/>
    </row>
    <row r="41" spans="1:73" hidden="1">
      <c r="A41" s="3267" t="s">
        <v>3514</v>
      </c>
      <c r="B41" s="3267" t="s">
        <v>3515</v>
      </c>
      <c r="C41" s="3269" t="s">
        <v>3516</v>
      </c>
      <c r="D41" s="3269">
        <v>13701301947</v>
      </c>
      <c r="E41" s="3268" t="s">
        <v>2985</v>
      </c>
      <c r="F41" s="3268" t="s">
        <v>3517</v>
      </c>
      <c r="G41" s="3267"/>
      <c r="H41" s="3268" t="s">
        <v>3518</v>
      </c>
      <c r="I41" s="3268" t="s">
        <v>3519</v>
      </c>
      <c r="J41" s="3267" t="s">
        <v>3126</v>
      </c>
      <c r="K41" s="3267" t="s">
        <v>3520</v>
      </c>
      <c r="L41" s="3267">
        <v>65.400000000000006</v>
      </c>
      <c r="M41" s="3267">
        <v>6</v>
      </c>
      <c r="N41" s="3267" t="s">
        <v>3122</v>
      </c>
      <c r="O41" s="3267"/>
      <c r="P41" s="3267" t="s">
        <v>2963</v>
      </c>
      <c r="Q41" s="3271">
        <v>360000</v>
      </c>
      <c r="R41" s="3267">
        <v>5505</v>
      </c>
      <c r="S41" s="3272">
        <v>32.700000000000003</v>
      </c>
      <c r="T41" s="3273">
        <v>327000</v>
      </c>
      <c r="U41" s="3267">
        <v>5000</v>
      </c>
      <c r="V41" s="3289">
        <v>0.05</v>
      </c>
      <c r="W41" s="3272">
        <v>31.06</v>
      </c>
      <c r="X41" s="3275">
        <v>310600</v>
      </c>
      <c r="Y41" s="3276">
        <v>2006</v>
      </c>
      <c r="Z41" s="3276">
        <v>1</v>
      </c>
      <c r="AA41" s="3276">
        <v>4</v>
      </c>
      <c r="AB41" s="3267">
        <v>980</v>
      </c>
      <c r="AC41" s="3267" t="s">
        <v>3521</v>
      </c>
      <c r="AD41" s="3267"/>
      <c r="AE41" s="3279" t="s">
        <v>3245</v>
      </c>
      <c r="AF41" s="3268" t="s">
        <v>2966</v>
      </c>
      <c r="AG41" s="3279" t="s">
        <v>2967</v>
      </c>
      <c r="AH41" s="3267"/>
      <c r="AI41" s="3279" t="s">
        <v>2992</v>
      </c>
      <c r="AJ41" s="3284"/>
      <c r="AK41" s="3278">
        <v>1</v>
      </c>
      <c r="AL41" s="3276">
        <v>67641700</v>
      </c>
      <c r="AM41" s="3276"/>
      <c r="AN41" s="3279" t="s">
        <v>3131</v>
      </c>
      <c r="AO41" s="3267"/>
      <c r="AP41" s="3279" t="s">
        <v>3305</v>
      </c>
      <c r="AQ41" s="3267" t="s">
        <v>3228</v>
      </c>
      <c r="AR41" s="3276"/>
      <c r="AS41" s="3276"/>
      <c r="AT41" s="3276"/>
      <c r="AU41" s="3276"/>
      <c r="AV41" s="3276"/>
      <c r="AW41" s="3276" t="s">
        <v>3112</v>
      </c>
      <c r="AX41" s="3276"/>
      <c r="AY41" s="3291"/>
      <c r="AZ41" s="3267" t="s">
        <v>3520</v>
      </c>
      <c r="BA41" s="3296"/>
      <c r="BB41" s="3297"/>
      <c r="BC41" s="3296"/>
      <c r="BD41" s="3298"/>
      <c r="BE41" s="3276"/>
      <c r="BF41" s="3281"/>
      <c r="BG41" s="3283">
        <v>38685</v>
      </c>
      <c r="BH41" s="3267" t="s">
        <v>2998</v>
      </c>
      <c r="BI41" s="3314" t="s">
        <v>3305</v>
      </c>
      <c r="BJ41" s="3283">
        <v>38706</v>
      </c>
      <c r="BK41" s="3283"/>
      <c r="BL41" s="3267" t="s">
        <v>3249</v>
      </c>
      <c r="BM41" s="3276" t="s">
        <v>2879</v>
      </c>
      <c r="BN41" s="3276" t="s">
        <v>3111</v>
      </c>
      <c r="BO41" s="3276" t="s">
        <v>3446</v>
      </c>
      <c r="BP41" s="3276"/>
      <c r="BQ41" s="3276" t="e">
        <v>#DIV/0!</v>
      </c>
      <c r="BR41" s="3276" t="e">
        <v>#DIV/0!</v>
      </c>
      <c r="BS41" s="3285"/>
      <c r="BT41" s="3285"/>
      <c r="BU41" s="3285"/>
    </row>
    <row r="42" spans="1:73" hidden="1">
      <c r="A42" s="3267" t="s">
        <v>3522</v>
      </c>
      <c r="B42" s="3268" t="s">
        <v>3523</v>
      </c>
      <c r="C42" s="3269" t="s">
        <v>3524</v>
      </c>
      <c r="D42" s="3268">
        <v>13488658242</v>
      </c>
      <c r="E42" s="3268" t="s">
        <v>2985</v>
      </c>
      <c r="F42" s="3268" t="s">
        <v>3525</v>
      </c>
      <c r="G42" s="3268"/>
      <c r="H42" s="3268" t="s">
        <v>3526</v>
      </c>
      <c r="I42" s="3268" t="s">
        <v>3527</v>
      </c>
      <c r="J42" s="3268" t="s">
        <v>3528</v>
      </c>
      <c r="K42" s="3268" t="s">
        <v>3529</v>
      </c>
      <c r="L42" s="3270">
        <v>57.07</v>
      </c>
      <c r="M42" s="3270">
        <v>2</v>
      </c>
      <c r="N42" s="3267" t="s">
        <v>3122</v>
      </c>
      <c r="O42" s="3270"/>
      <c r="P42" s="3268" t="s">
        <v>2963</v>
      </c>
      <c r="Q42" s="3271">
        <v>390000</v>
      </c>
      <c r="R42" s="3267">
        <v>6834</v>
      </c>
      <c r="S42" s="3272">
        <v>35.880000000000003</v>
      </c>
      <c r="T42" s="3273">
        <v>358800</v>
      </c>
      <c r="U42" s="3267">
        <v>6288</v>
      </c>
      <c r="V42" s="3289">
        <v>0.05</v>
      </c>
      <c r="W42" s="3272">
        <v>34.08</v>
      </c>
      <c r="X42" s="3275">
        <v>340800</v>
      </c>
      <c r="Y42" s="3276">
        <v>2006</v>
      </c>
      <c r="Z42" s="3276">
        <v>1</v>
      </c>
      <c r="AA42" s="3276">
        <v>19</v>
      </c>
      <c r="AB42" s="3267">
        <v>1075</v>
      </c>
      <c r="AC42" s="3267" t="s">
        <v>3480</v>
      </c>
      <c r="AD42" s="3268"/>
      <c r="AE42" s="3268" t="s">
        <v>3238</v>
      </c>
      <c r="AF42" s="3268" t="s">
        <v>2966</v>
      </c>
      <c r="AG42" s="3268" t="s">
        <v>2967</v>
      </c>
      <c r="AH42" s="3268"/>
      <c r="AI42" s="3267" t="s">
        <v>2992</v>
      </c>
      <c r="AJ42" s="3290"/>
      <c r="AK42" s="3278" t="s">
        <v>3131</v>
      </c>
      <c r="AL42" s="3276">
        <v>67641700</v>
      </c>
      <c r="AM42" s="3276"/>
      <c r="AN42" s="3279" t="s">
        <v>3114</v>
      </c>
      <c r="AO42" s="3267"/>
      <c r="AP42" s="3279" t="s">
        <v>3305</v>
      </c>
      <c r="AQ42" s="3267" t="s">
        <v>3228</v>
      </c>
      <c r="AR42" s="3267"/>
      <c r="AS42" s="3267"/>
      <c r="AT42" s="3267"/>
      <c r="AU42" s="3267"/>
      <c r="AV42" s="3277"/>
      <c r="AW42" s="3267" t="s">
        <v>2997</v>
      </c>
      <c r="AX42" s="3276"/>
      <c r="AY42" s="3291"/>
      <c r="AZ42" s="3267" t="s">
        <v>3529</v>
      </c>
      <c r="BA42" s="3296"/>
      <c r="BB42" s="3297"/>
      <c r="BC42" s="3296"/>
      <c r="BD42" s="3298"/>
      <c r="BE42" s="3276"/>
      <c r="BF42" s="3281"/>
      <c r="BG42" s="3293">
        <v>38706</v>
      </c>
      <c r="BH42" s="3267"/>
      <c r="BI42" s="3276" t="s">
        <v>3238</v>
      </c>
      <c r="BJ42" s="3283">
        <v>38707</v>
      </c>
      <c r="BK42" s="3284"/>
      <c r="BL42" s="3267" t="s">
        <v>3249</v>
      </c>
      <c r="BM42" s="3267" t="s">
        <v>2879</v>
      </c>
      <c r="BN42" s="3276" t="s">
        <v>2999</v>
      </c>
      <c r="BO42" s="3267" t="s">
        <v>3146</v>
      </c>
      <c r="BP42" s="3276"/>
      <c r="BQ42" s="3276" t="e">
        <v>#DIV/0!</v>
      </c>
      <c r="BR42" s="3276" t="e">
        <v>#DIV/0!</v>
      </c>
      <c r="BS42" s="3285"/>
      <c r="BT42" s="3285"/>
      <c r="BU42" s="3285"/>
    </row>
    <row r="43" spans="1:73" hidden="1">
      <c r="A43" s="3267" t="s">
        <v>3530</v>
      </c>
      <c r="B43" s="3267" t="s">
        <v>3531</v>
      </c>
      <c r="C43" s="3267" t="s">
        <v>3532</v>
      </c>
      <c r="D43" s="3267">
        <v>13718662707</v>
      </c>
      <c r="E43" s="3267" t="s">
        <v>2985</v>
      </c>
      <c r="F43" s="3267" t="s">
        <v>3533</v>
      </c>
      <c r="G43" s="3267"/>
      <c r="H43" s="3267" t="s">
        <v>3130</v>
      </c>
      <c r="I43" s="3267" t="s">
        <v>3534</v>
      </c>
      <c r="J43" s="3267">
        <v>708</v>
      </c>
      <c r="K43" s="3267" t="s">
        <v>3531</v>
      </c>
      <c r="L43" s="3267">
        <v>45.43</v>
      </c>
      <c r="M43" s="3267">
        <v>7</v>
      </c>
      <c r="N43" s="3267" t="s">
        <v>3535</v>
      </c>
      <c r="O43" s="3267"/>
      <c r="P43" s="3267" t="s">
        <v>2963</v>
      </c>
      <c r="Q43" s="3267">
        <v>349000</v>
      </c>
      <c r="R43" s="3267">
        <v>7682</v>
      </c>
      <c r="S43" s="3272">
        <v>30.56</v>
      </c>
      <c r="T43" s="3273">
        <v>305600</v>
      </c>
      <c r="U43" s="3267">
        <v>6729</v>
      </c>
      <c r="V43" s="3289">
        <v>0.05</v>
      </c>
      <c r="W43" s="3272">
        <v>29.03</v>
      </c>
      <c r="X43" s="3273">
        <v>290300</v>
      </c>
      <c r="Y43" s="3267">
        <v>2006</v>
      </c>
      <c r="Z43" s="3267">
        <v>1</v>
      </c>
      <c r="AA43" s="3267">
        <v>13</v>
      </c>
      <c r="AB43" s="3267">
        <v>915</v>
      </c>
      <c r="AC43" s="3267" t="s">
        <v>3227</v>
      </c>
      <c r="AD43" s="3267"/>
      <c r="AE43" s="3267" t="s">
        <v>3304</v>
      </c>
      <c r="AF43" s="3267" t="s">
        <v>2966</v>
      </c>
      <c r="AG43" s="3267" t="s">
        <v>2967</v>
      </c>
      <c r="AH43" s="3267"/>
      <c r="AI43" s="3267" t="s">
        <v>2992</v>
      </c>
      <c r="AJ43" s="3303"/>
      <c r="AK43" s="3267" t="s">
        <v>3131</v>
      </c>
      <c r="AL43" s="3267">
        <v>67641700</v>
      </c>
      <c r="AM43" s="3267"/>
      <c r="AN43" s="3267" t="s">
        <v>3140</v>
      </c>
      <c r="AO43" s="3267"/>
      <c r="AP43" s="3267" t="s">
        <v>3342</v>
      </c>
      <c r="AQ43" s="3267" t="s">
        <v>3113</v>
      </c>
      <c r="AR43" s="3267"/>
      <c r="AS43" s="3267"/>
      <c r="AT43" s="3267"/>
      <c r="AU43" s="3267"/>
      <c r="AV43" s="3267"/>
      <c r="AW43" s="3267" t="s">
        <v>3119</v>
      </c>
      <c r="AX43" s="3267"/>
      <c r="AY43" s="3269"/>
      <c r="AZ43" s="3267" t="s">
        <v>3536</v>
      </c>
      <c r="BA43" s="3267"/>
      <c r="BB43" s="3269"/>
      <c r="BC43" s="3267"/>
      <c r="BD43" s="3304"/>
      <c r="BE43" s="3267">
        <v>13901384880</v>
      </c>
      <c r="BF43" s="3305"/>
      <c r="BG43" s="3284">
        <v>38696</v>
      </c>
      <c r="BH43" s="3267"/>
      <c r="BI43" s="3267" t="s">
        <v>3537</v>
      </c>
      <c r="BJ43" s="3303">
        <v>38708</v>
      </c>
      <c r="BK43" s="3303"/>
      <c r="BL43" s="3267" t="s">
        <v>2998</v>
      </c>
      <c r="BM43" s="3267" t="s">
        <v>2879</v>
      </c>
      <c r="BN43" s="3267" t="s">
        <v>2999</v>
      </c>
      <c r="BO43" s="3267" t="s">
        <v>3538</v>
      </c>
      <c r="BP43" s="3267"/>
      <c r="BQ43" s="3267" t="e">
        <v>#DIV/0!</v>
      </c>
      <c r="BR43" s="3267" t="e">
        <v>#DIV/0!</v>
      </c>
      <c r="BS43" s="3285"/>
      <c r="BT43" s="3285"/>
      <c r="BU43" s="3285"/>
    </row>
    <row r="44" spans="1:73" hidden="1">
      <c r="A44" s="3268" t="s">
        <v>3539</v>
      </c>
      <c r="B44" s="3267" t="s">
        <v>3540</v>
      </c>
      <c r="C44" s="3267" t="s">
        <v>3541</v>
      </c>
      <c r="D44" s="3267">
        <v>13910056953</v>
      </c>
      <c r="E44" s="3267" t="s">
        <v>2985</v>
      </c>
      <c r="F44" s="3267" t="s">
        <v>3542</v>
      </c>
      <c r="G44" s="3267"/>
      <c r="H44" s="3267" t="s">
        <v>3097</v>
      </c>
      <c r="I44" s="3267" t="s">
        <v>3543</v>
      </c>
      <c r="J44" s="3267" t="s">
        <v>3544</v>
      </c>
      <c r="K44" s="3267" t="s">
        <v>3540</v>
      </c>
      <c r="L44" s="3267">
        <v>71.650000000000006</v>
      </c>
      <c r="M44" s="3267">
        <v>24</v>
      </c>
      <c r="N44" s="3267" t="s">
        <v>3122</v>
      </c>
      <c r="O44" s="3267"/>
      <c r="P44" s="3267" t="s">
        <v>2963</v>
      </c>
      <c r="Q44" s="3267">
        <v>370000</v>
      </c>
      <c r="R44" s="3267">
        <v>5164</v>
      </c>
      <c r="S44" s="3272">
        <v>41.27</v>
      </c>
      <c r="T44" s="3273">
        <v>412700</v>
      </c>
      <c r="U44" s="3267">
        <v>5760</v>
      </c>
      <c r="V44" s="3289">
        <v>0.05</v>
      </c>
      <c r="W44" s="3272">
        <v>39.200000000000003</v>
      </c>
      <c r="X44" s="3275">
        <v>392000</v>
      </c>
      <c r="Y44" s="3276">
        <v>2006</v>
      </c>
      <c r="Z44" s="3276">
        <v>1</v>
      </c>
      <c r="AA44" s="3276">
        <v>10</v>
      </c>
      <c r="AB44" s="3267">
        <v>1235</v>
      </c>
      <c r="AC44" s="3267" t="s">
        <v>3227</v>
      </c>
      <c r="AD44" s="3267"/>
      <c r="AE44" s="3267" t="s">
        <v>3245</v>
      </c>
      <c r="AF44" s="3267" t="s">
        <v>2966</v>
      </c>
      <c r="AG44" s="3267" t="s">
        <v>2967</v>
      </c>
      <c r="AH44" s="3267"/>
      <c r="AI44" s="3279" t="s">
        <v>2992</v>
      </c>
      <c r="AJ44" s="3303"/>
      <c r="AK44" s="3278">
        <v>1</v>
      </c>
      <c r="AL44" s="3276">
        <v>67641700</v>
      </c>
      <c r="AM44" s="3267"/>
      <c r="AN44" s="3267" t="s">
        <v>3140</v>
      </c>
      <c r="AO44" s="3267"/>
      <c r="AP44" s="3279" t="s">
        <v>3305</v>
      </c>
      <c r="AQ44" s="3267" t="s">
        <v>3228</v>
      </c>
      <c r="AR44" s="3267"/>
      <c r="AS44" s="3267"/>
      <c r="AT44" s="3267"/>
      <c r="AU44" s="3267"/>
      <c r="AV44" s="3267"/>
      <c r="AW44" s="3267" t="s">
        <v>3112</v>
      </c>
      <c r="AX44" s="3267"/>
      <c r="AY44" s="3269"/>
      <c r="AZ44" s="3267" t="s">
        <v>3545</v>
      </c>
      <c r="BA44" s="3267"/>
      <c r="BB44" s="3269"/>
      <c r="BC44" s="3267"/>
      <c r="BD44" s="3304"/>
      <c r="BE44" s="3267"/>
      <c r="BF44" s="3305"/>
      <c r="BG44" s="3284">
        <v>38691</v>
      </c>
      <c r="BH44" s="3267" t="s">
        <v>2998</v>
      </c>
      <c r="BI44" s="3314" t="s">
        <v>3305</v>
      </c>
      <c r="BJ44" s="3303">
        <v>38707</v>
      </c>
      <c r="BK44" s="3303"/>
      <c r="BL44" s="3267" t="s">
        <v>3249</v>
      </c>
      <c r="BM44" s="3267" t="s">
        <v>2879</v>
      </c>
      <c r="BN44" s="3267" t="s">
        <v>3111</v>
      </c>
      <c r="BO44" s="3267" t="s">
        <v>3146</v>
      </c>
      <c r="BP44" s="3267"/>
      <c r="BQ44" s="3276" t="e">
        <v>#DIV/0!</v>
      </c>
      <c r="BR44" s="3276" t="e">
        <v>#DIV/0!</v>
      </c>
      <c r="BS44" s="3285"/>
      <c r="BT44" s="3285"/>
      <c r="BU44" s="3285"/>
    </row>
    <row r="45" spans="1:73" hidden="1">
      <c r="A45" s="3267" t="s">
        <v>3546</v>
      </c>
      <c r="B45" s="3267" t="s">
        <v>3547</v>
      </c>
      <c r="C45" s="3269" t="s">
        <v>3548</v>
      </c>
      <c r="D45" s="3269">
        <v>13611015329</v>
      </c>
      <c r="E45" s="3268" t="s">
        <v>2985</v>
      </c>
      <c r="F45" s="3268" t="s">
        <v>3549</v>
      </c>
      <c r="G45" s="3267"/>
      <c r="H45" s="3268" t="s">
        <v>3118</v>
      </c>
      <c r="I45" s="3267" t="s">
        <v>3318</v>
      </c>
      <c r="J45" s="3267" t="s">
        <v>3550</v>
      </c>
      <c r="K45" s="3267" t="s">
        <v>3551</v>
      </c>
      <c r="L45" s="3267">
        <v>58.74</v>
      </c>
      <c r="M45" s="3267">
        <v>3</v>
      </c>
      <c r="N45" s="3267" t="s">
        <v>3122</v>
      </c>
      <c r="O45" s="3267"/>
      <c r="P45" s="3267" t="s">
        <v>2963</v>
      </c>
      <c r="Q45" s="3271">
        <v>230000</v>
      </c>
      <c r="R45" s="3267">
        <v>3916</v>
      </c>
      <c r="S45" s="3272">
        <v>17.62</v>
      </c>
      <c r="T45" s="3273">
        <v>176200</v>
      </c>
      <c r="U45" s="3267">
        <v>3000</v>
      </c>
      <c r="V45" s="3289">
        <v>0.05</v>
      </c>
      <c r="W45" s="3272">
        <v>16.73</v>
      </c>
      <c r="X45" s="3275">
        <v>167300</v>
      </c>
      <c r="Y45" s="3276">
        <v>2005</v>
      </c>
      <c r="Z45" s="3276">
        <v>12</v>
      </c>
      <c r="AA45" s="3276">
        <v>29</v>
      </c>
      <c r="AB45" s="3267">
        <v>525</v>
      </c>
      <c r="AC45" s="3267" t="s">
        <v>3227</v>
      </c>
      <c r="AD45" s="3267"/>
      <c r="AE45" s="3279" t="s">
        <v>3180</v>
      </c>
      <c r="AF45" s="3268" t="s">
        <v>2966</v>
      </c>
      <c r="AG45" s="3279" t="s">
        <v>2967</v>
      </c>
      <c r="AH45" s="3267"/>
      <c r="AI45" s="3279" t="s">
        <v>2992</v>
      </c>
      <c r="AJ45" s="3284" t="s">
        <v>2968</v>
      </c>
      <c r="AK45" s="3278" t="s">
        <v>3120</v>
      </c>
      <c r="AL45" s="3276">
        <v>67641700</v>
      </c>
      <c r="AM45" s="3276"/>
      <c r="AN45" s="3279" t="s">
        <v>3099</v>
      </c>
      <c r="AO45" s="3267"/>
      <c r="AP45" s="3279" t="s">
        <v>3305</v>
      </c>
      <c r="AQ45" s="3276" t="s">
        <v>3113</v>
      </c>
      <c r="AR45" s="3276"/>
      <c r="AS45" s="3276"/>
      <c r="AT45" s="3276"/>
      <c r="AU45" s="3276"/>
      <c r="AV45" s="3276"/>
      <c r="AW45" s="3276" t="s">
        <v>3552</v>
      </c>
      <c r="AX45" s="3276" t="s">
        <v>2968</v>
      </c>
      <c r="AY45" s="3291"/>
      <c r="AZ45" s="3267" t="s">
        <v>3551</v>
      </c>
      <c r="BA45" s="3296"/>
      <c r="BB45" s="3297"/>
      <c r="BC45" s="3296"/>
      <c r="BD45" s="3298"/>
      <c r="BE45" s="3276"/>
      <c r="BF45" s="3281"/>
      <c r="BG45" s="3293">
        <v>38706</v>
      </c>
      <c r="BH45" s="3267" t="s">
        <v>2998</v>
      </c>
      <c r="BI45" s="3314" t="s">
        <v>3305</v>
      </c>
      <c r="BJ45" s="3283">
        <v>38709</v>
      </c>
      <c r="BK45" s="3283"/>
      <c r="BL45" s="3267" t="s">
        <v>3249</v>
      </c>
      <c r="BM45" s="3276" t="s">
        <v>2879</v>
      </c>
      <c r="BN45" s="3276" t="s">
        <v>2999</v>
      </c>
      <c r="BO45" s="3276" t="s">
        <v>3146</v>
      </c>
      <c r="BP45" s="3276"/>
      <c r="BQ45" s="3276" t="e">
        <v>#DIV/0!</v>
      </c>
      <c r="BR45" s="3276" t="e">
        <v>#DIV/0!</v>
      </c>
      <c r="BS45" s="3285"/>
      <c r="BT45" s="3285"/>
      <c r="BU45" s="3285"/>
    </row>
    <row r="46" spans="1:73" hidden="1">
      <c r="A46" s="3267" t="s">
        <v>3553</v>
      </c>
      <c r="B46" s="3267" t="s">
        <v>3554</v>
      </c>
      <c r="C46" s="3269" t="s">
        <v>3555</v>
      </c>
      <c r="D46" s="3269" t="s">
        <v>3556</v>
      </c>
      <c r="E46" s="3268" t="s">
        <v>2985</v>
      </c>
      <c r="F46" s="3268" t="s">
        <v>3557</v>
      </c>
      <c r="G46" s="3267"/>
      <c r="H46" s="3268" t="s">
        <v>3182</v>
      </c>
      <c r="I46" s="3268"/>
      <c r="J46" s="3267" t="s">
        <v>3558</v>
      </c>
      <c r="K46" s="3267" t="s">
        <v>3559</v>
      </c>
      <c r="L46" s="3267">
        <v>80.069999999999993</v>
      </c>
      <c r="M46" s="3267">
        <v>18</v>
      </c>
      <c r="N46" s="3267" t="s">
        <v>3122</v>
      </c>
      <c r="O46" s="3267"/>
      <c r="P46" s="3267" t="s">
        <v>2963</v>
      </c>
      <c r="Q46" s="3271">
        <v>500000</v>
      </c>
      <c r="R46" s="3267">
        <v>6245</v>
      </c>
      <c r="S46" s="3272">
        <v>43.23</v>
      </c>
      <c r="T46" s="3273">
        <v>432300</v>
      </c>
      <c r="U46" s="3267">
        <v>5400</v>
      </c>
      <c r="V46" s="3289">
        <v>0.05</v>
      </c>
      <c r="W46" s="3272">
        <v>41.06</v>
      </c>
      <c r="X46" s="3275">
        <v>410600</v>
      </c>
      <c r="Y46" s="3276">
        <v>2006</v>
      </c>
      <c r="Z46" s="3276">
        <v>1</v>
      </c>
      <c r="AA46" s="3276">
        <v>5</v>
      </c>
      <c r="AB46" s="3267">
        <v>1295</v>
      </c>
      <c r="AC46" s="3267" t="s">
        <v>3480</v>
      </c>
      <c r="AD46" s="3267"/>
      <c r="AE46" s="3279" t="s">
        <v>3245</v>
      </c>
      <c r="AF46" s="3268" t="s">
        <v>2966</v>
      </c>
      <c r="AG46" s="3279" t="s">
        <v>2967</v>
      </c>
      <c r="AH46" s="3267"/>
      <c r="AI46" s="3279" t="s">
        <v>2992</v>
      </c>
      <c r="AJ46" s="3284"/>
      <c r="AK46" s="3278">
        <v>1</v>
      </c>
      <c r="AL46" s="3276">
        <v>67641700</v>
      </c>
      <c r="AM46" s="3276"/>
      <c r="AN46" s="3279" t="s">
        <v>3131</v>
      </c>
      <c r="AO46" s="3276"/>
      <c r="AP46" s="3279" t="s">
        <v>3305</v>
      </c>
      <c r="AQ46" s="3267" t="s">
        <v>3228</v>
      </c>
      <c r="AR46" s="3276"/>
      <c r="AS46" s="3276"/>
      <c r="AT46" s="3276"/>
      <c r="AU46" s="3276"/>
      <c r="AV46" s="3276"/>
      <c r="AW46" s="3276" t="s">
        <v>2997</v>
      </c>
      <c r="AX46" s="3276"/>
      <c r="AY46" s="3291"/>
      <c r="AZ46" s="3267" t="s">
        <v>3559</v>
      </c>
      <c r="BA46" s="3296"/>
      <c r="BB46" s="3297"/>
      <c r="BC46" s="3296"/>
      <c r="BD46" s="3298"/>
      <c r="BE46" s="3276">
        <v>13911668699</v>
      </c>
      <c r="BF46" s="3281"/>
      <c r="BG46" s="3293">
        <v>38708</v>
      </c>
      <c r="BH46" s="3267" t="s">
        <v>2998</v>
      </c>
      <c r="BI46" s="3314" t="s">
        <v>3305</v>
      </c>
      <c r="BJ46" s="3283">
        <v>38709</v>
      </c>
      <c r="BK46" s="3283"/>
      <c r="BL46" s="3267" t="s">
        <v>3249</v>
      </c>
      <c r="BM46" s="3276" t="s">
        <v>2879</v>
      </c>
      <c r="BN46" s="3276" t="s">
        <v>3111</v>
      </c>
      <c r="BO46" s="3276" t="s">
        <v>3000</v>
      </c>
      <c r="BP46" s="3276"/>
      <c r="BQ46" s="3276" t="e">
        <v>#DIV/0!</v>
      </c>
      <c r="BR46" s="3276" t="e">
        <v>#DIV/0!</v>
      </c>
      <c r="BS46" s="3285"/>
      <c r="BT46" s="3285"/>
      <c r="BU46" s="3285"/>
    </row>
    <row r="47" spans="1:73" hidden="1">
      <c r="A47" s="3267" t="s">
        <v>3560</v>
      </c>
      <c r="B47" s="3267" t="s">
        <v>3561</v>
      </c>
      <c r="C47" s="3269" t="s">
        <v>3562</v>
      </c>
      <c r="D47" s="3269">
        <v>13601360910</v>
      </c>
      <c r="E47" s="3268" t="s">
        <v>2985</v>
      </c>
      <c r="F47" s="3268" t="s">
        <v>3563</v>
      </c>
      <c r="G47" s="3267"/>
      <c r="H47" s="3268" t="s">
        <v>3564</v>
      </c>
      <c r="I47" s="3268"/>
      <c r="J47" s="3267" t="s">
        <v>3565</v>
      </c>
      <c r="K47" s="3267" t="s">
        <v>3561</v>
      </c>
      <c r="L47" s="3267">
        <v>102.51</v>
      </c>
      <c r="M47" s="3267">
        <v>20</v>
      </c>
      <c r="N47" s="3267" t="s">
        <v>3395</v>
      </c>
      <c r="O47" s="3267">
        <v>82.11</v>
      </c>
      <c r="P47" s="3267" t="s">
        <v>2963</v>
      </c>
      <c r="Q47" s="3271">
        <v>404920</v>
      </c>
      <c r="R47" s="3267">
        <v>3950</v>
      </c>
      <c r="S47" s="3272">
        <v>40.49</v>
      </c>
      <c r="T47" s="3273">
        <v>404900</v>
      </c>
      <c r="U47" s="3267">
        <v>3950</v>
      </c>
      <c r="V47" s="3289">
        <v>0.05</v>
      </c>
      <c r="W47" s="3272">
        <v>38.46</v>
      </c>
      <c r="X47" s="3275">
        <v>384600</v>
      </c>
      <c r="Y47" s="3276">
        <v>2006</v>
      </c>
      <c r="Z47" s="3276">
        <v>1</v>
      </c>
      <c r="AA47" s="3276">
        <v>10</v>
      </c>
      <c r="AB47" s="3267">
        <v>1210</v>
      </c>
      <c r="AC47" s="3267" t="s">
        <v>3227</v>
      </c>
      <c r="AD47" s="3267"/>
      <c r="AE47" s="3279" t="s">
        <v>3245</v>
      </c>
      <c r="AF47" s="3268" t="s">
        <v>2966</v>
      </c>
      <c r="AG47" s="3279" t="s">
        <v>3473</v>
      </c>
      <c r="AH47" s="3267"/>
      <c r="AI47" s="3279" t="s">
        <v>2992</v>
      </c>
      <c r="AJ47" s="3303"/>
      <c r="AK47" s="3278">
        <v>1</v>
      </c>
      <c r="AL47" s="3276">
        <v>67641700</v>
      </c>
      <c r="AM47" s="3276"/>
      <c r="AN47" s="3279" t="s">
        <v>3140</v>
      </c>
      <c r="AO47" s="3276"/>
      <c r="AP47" s="3279" t="s">
        <v>3305</v>
      </c>
      <c r="AQ47" s="3267" t="s">
        <v>3228</v>
      </c>
      <c r="AR47" s="3276"/>
      <c r="AS47" s="3276"/>
      <c r="AT47" s="3276"/>
      <c r="AU47" s="3276"/>
      <c r="AV47" s="3276"/>
      <c r="AW47" s="3276" t="s">
        <v>3119</v>
      </c>
      <c r="AX47" s="3276"/>
      <c r="AY47" s="3291"/>
      <c r="AZ47" s="3267" t="s">
        <v>3566</v>
      </c>
      <c r="BA47" s="3296"/>
      <c r="BB47" s="3297"/>
      <c r="BC47" s="3296"/>
      <c r="BD47" s="3298"/>
      <c r="BE47" s="3276">
        <v>13601260241</v>
      </c>
      <c r="BF47" s="3281"/>
      <c r="BG47" s="3293"/>
      <c r="BH47" s="3267" t="s">
        <v>2998</v>
      </c>
      <c r="BI47" s="3314" t="s">
        <v>3305</v>
      </c>
      <c r="BJ47" s="3283">
        <v>38709</v>
      </c>
      <c r="BK47" s="3283"/>
      <c r="BL47" s="3267" t="s">
        <v>3249</v>
      </c>
      <c r="BM47" s="3276" t="s">
        <v>2879</v>
      </c>
      <c r="BN47" s="3276" t="s">
        <v>3111</v>
      </c>
      <c r="BO47" s="3276" t="s">
        <v>3000</v>
      </c>
      <c r="BP47" s="3276"/>
      <c r="BQ47" s="3276">
        <v>4931</v>
      </c>
      <c r="BR47" s="3276">
        <v>4931</v>
      </c>
      <c r="BS47" s="3285"/>
      <c r="BT47" s="3285"/>
      <c r="BU47" s="3285"/>
    </row>
    <row r="48" spans="1:73" hidden="1">
      <c r="A48" s="3267" t="s">
        <v>3567</v>
      </c>
      <c r="B48" s="3268" t="s">
        <v>3568</v>
      </c>
      <c r="C48" s="3269" t="s">
        <v>3569</v>
      </c>
      <c r="D48" s="3268">
        <v>13511016263</v>
      </c>
      <c r="E48" s="3268" t="s">
        <v>2985</v>
      </c>
      <c r="F48" s="3268" t="s">
        <v>3570</v>
      </c>
      <c r="G48" s="3268"/>
      <c r="H48" s="3268" t="s">
        <v>3263</v>
      </c>
      <c r="I48" s="3268"/>
      <c r="J48" s="3268" t="s">
        <v>3571</v>
      </c>
      <c r="K48" s="3268" t="s">
        <v>3568</v>
      </c>
      <c r="L48" s="3270">
        <v>65.69</v>
      </c>
      <c r="M48" s="3270">
        <v>23</v>
      </c>
      <c r="N48" s="3267" t="s">
        <v>3152</v>
      </c>
      <c r="O48" s="3270"/>
      <c r="P48" s="3268" t="s">
        <v>2963</v>
      </c>
      <c r="Q48" s="3271">
        <v>400000</v>
      </c>
      <c r="R48" s="3267">
        <v>6089</v>
      </c>
      <c r="S48" s="3272">
        <v>38.06</v>
      </c>
      <c r="T48" s="3273">
        <v>380600</v>
      </c>
      <c r="U48" s="3267">
        <v>5795</v>
      </c>
      <c r="V48" s="3289">
        <v>0.05</v>
      </c>
      <c r="W48" s="3272">
        <v>36.15</v>
      </c>
      <c r="X48" s="3275">
        <v>361500</v>
      </c>
      <c r="Y48" s="3276">
        <v>2006</v>
      </c>
      <c r="Z48" s="3276">
        <v>1</v>
      </c>
      <c r="AA48" s="3276">
        <v>5</v>
      </c>
      <c r="AB48" s="3267">
        <v>1140</v>
      </c>
      <c r="AC48" s="3267" t="s">
        <v>3227</v>
      </c>
      <c r="AD48" s="3268"/>
      <c r="AE48" s="3268" t="s">
        <v>3304</v>
      </c>
      <c r="AF48" s="3268" t="s">
        <v>2966</v>
      </c>
      <c r="AG48" s="3268" t="s">
        <v>2967</v>
      </c>
      <c r="AH48" s="3268"/>
      <c r="AI48" s="3267" t="s">
        <v>2992</v>
      </c>
      <c r="AJ48" s="3290"/>
      <c r="AK48" s="3278" t="s">
        <v>3131</v>
      </c>
      <c r="AL48" s="3276">
        <v>67641700</v>
      </c>
      <c r="AM48" s="3276"/>
      <c r="AN48" s="3279" t="s">
        <v>3131</v>
      </c>
      <c r="AO48" s="3267"/>
      <c r="AP48" s="3279" t="s">
        <v>3342</v>
      </c>
      <c r="AQ48" s="3267" t="s">
        <v>3113</v>
      </c>
      <c r="AR48" s="3267"/>
      <c r="AS48" s="3267"/>
      <c r="AT48" s="3267"/>
      <c r="AU48" s="3267"/>
      <c r="AV48" s="3277"/>
      <c r="AW48" s="3267" t="s">
        <v>3119</v>
      </c>
      <c r="AX48" s="3276"/>
      <c r="AY48" s="3291"/>
      <c r="AZ48" s="3267"/>
      <c r="BA48" s="3296"/>
      <c r="BB48" s="3297"/>
      <c r="BC48" s="3296"/>
      <c r="BD48" s="3298"/>
      <c r="BE48" s="3276"/>
      <c r="BF48" s="3281"/>
      <c r="BG48" s="3293">
        <v>38691</v>
      </c>
      <c r="BH48" s="3267"/>
      <c r="BI48" s="3276" t="s">
        <v>3424</v>
      </c>
      <c r="BJ48" s="3283">
        <v>38713</v>
      </c>
      <c r="BK48" s="3284"/>
      <c r="BL48" s="3267" t="s">
        <v>2998</v>
      </c>
      <c r="BM48" s="3267" t="s">
        <v>2879</v>
      </c>
      <c r="BN48" s="3276" t="s">
        <v>2999</v>
      </c>
      <c r="BO48" s="3267" t="s">
        <v>3000</v>
      </c>
      <c r="BP48" s="3276"/>
      <c r="BQ48" s="3276"/>
      <c r="BR48" s="3276"/>
      <c r="BS48" s="3285"/>
      <c r="BT48" s="3285"/>
      <c r="BU48" s="3285"/>
    </row>
    <row r="49" spans="1:73" hidden="1">
      <c r="A49" s="3267" t="s">
        <v>3572</v>
      </c>
      <c r="B49" s="3267" t="s">
        <v>3573</v>
      </c>
      <c r="C49" s="3269" t="s">
        <v>3574</v>
      </c>
      <c r="D49" s="3269" t="s">
        <v>3575</v>
      </c>
      <c r="E49" s="3268" t="s">
        <v>2985</v>
      </c>
      <c r="F49" s="3268" t="s">
        <v>3576</v>
      </c>
      <c r="G49" s="3267"/>
      <c r="H49" s="3268" t="s">
        <v>3577</v>
      </c>
      <c r="I49" s="3268"/>
      <c r="J49" s="3267" t="s">
        <v>3578</v>
      </c>
      <c r="K49" s="3267" t="s">
        <v>3573</v>
      </c>
      <c r="L49" s="3267">
        <v>104.04</v>
      </c>
      <c r="M49" s="3267" t="s">
        <v>3266</v>
      </c>
      <c r="N49" s="3267" t="s">
        <v>3098</v>
      </c>
      <c r="O49" s="3267">
        <v>82.97</v>
      </c>
      <c r="P49" s="3267" t="s">
        <v>2963</v>
      </c>
      <c r="Q49" s="3271">
        <v>480000</v>
      </c>
      <c r="R49" s="3267">
        <v>4614</v>
      </c>
      <c r="S49" s="3272">
        <v>58.26</v>
      </c>
      <c r="T49" s="3273">
        <v>582600</v>
      </c>
      <c r="U49" s="3267">
        <v>5600</v>
      </c>
      <c r="V49" s="3289">
        <v>0.05</v>
      </c>
      <c r="W49" s="3272">
        <v>55.34</v>
      </c>
      <c r="X49" s="3275">
        <v>553400</v>
      </c>
      <c r="Y49" s="3276">
        <v>2005</v>
      </c>
      <c r="Z49" s="3276">
        <v>12</v>
      </c>
      <c r="AA49" s="3276">
        <v>30</v>
      </c>
      <c r="AB49" s="3267">
        <v>1500</v>
      </c>
      <c r="AC49" s="3267" t="s">
        <v>3227</v>
      </c>
      <c r="AD49" s="3267"/>
      <c r="AE49" s="3279" t="s">
        <v>3245</v>
      </c>
      <c r="AF49" s="3268" t="s">
        <v>2966</v>
      </c>
      <c r="AG49" s="3279" t="s">
        <v>2967</v>
      </c>
      <c r="AH49" s="3267"/>
      <c r="AI49" s="3279" t="s">
        <v>2992</v>
      </c>
      <c r="AJ49" s="3284" t="s">
        <v>2968</v>
      </c>
      <c r="AK49" s="3278" t="s">
        <v>3120</v>
      </c>
      <c r="AL49" s="3276">
        <v>67641700</v>
      </c>
      <c r="AM49" s="3276"/>
      <c r="AN49" s="3279" t="s">
        <v>3099</v>
      </c>
      <c r="AO49" s="3267" t="s">
        <v>2968</v>
      </c>
      <c r="AP49" s="3279" t="s">
        <v>3305</v>
      </c>
      <c r="AQ49" s="3276" t="s">
        <v>3113</v>
      </c>
      <c r="AR49" s="3276"/>
      <c r="AS49" s="3276"/>
      <c r="AT49" s="3276"/>
      <c r="AU49" s="3276"/>
      <c r="AV49" s="3276"/>
      <c r="AW49" s="3276" t="s">
        <v>3171</v>
      </c>
      <c r="AX49" s="3276" t="s">
        <v>2968</v>
      </c>
      <c r="AY49" s="3291" t="s">
        <v>2968</v>
      </c>
      <c r="AZ49" s="3267" t="s">
        <v>3579</v>
      </c>
      <c r="BA49" s="3296" t="s">
        <v>2968</v>
      </c>
      <c r="BB49" s="3297" t="s">
        <v>2968</v>
      </c>
      <c r="BC49" s="3296" t="s">
        <v>2968</v>
      </c>
      <c r="BD49" s="3298" t="s">
        <v>2968</v>
      </c>
      <c r="BE49" s="3276" t="s">
        <v>2968</v>
      </c>
      <c r="BF49" s="3281" t="s">
        <v>2968</v>
      </c>
      <c r="BG49" s="3293">
        <v>38712</v>
      </c>
      <c r="BH49" s="3267" t="s">
        <v>2998</v>
      </c>
      <c r="BI49" s="3314" t="s">
        <v>3305</v>
      </c>
      <c r="BJ49" s="3283">
        <v>38714</v>
      </c>
      <c r="BK49" s="3283"/>
      <c r="BL49" s="3267" t="s">
        <v>3249</v>
      </c>
      <c r="BM49" s="3276" t="s">
        <v>2879</v>
      </c>
      <c r="BN49" s="3276" t="s">
        <v>3111</v>
      </c>
      <c r="BO49" s="3276" t="s">
        <v>3000</v>
      </c>
      <c r="BP49" s="3276"/>
      <c r="BQ49" s="3276">
        <v>7022</v>
      </c>
      <c r="BR49" s="3276">
        <v>5785</v>
      </c>
      <c r="BS49" s="3285"/>
      <c r="BT49" s="3285"/>
      <c r="BU49" s="3285"/>
    </row>
    <row r="50" spans="1:73" hidden="1">
      <c r="A50" s="3267" t="s">
        <v>3580</v>
      </c>
      <c r="B50" s="3267" t="s">
        <v>3581</v>
      </c>
      <c r="C50" s="3267" t="s">
        <v>3582</v>
      </c>
      <c r="D50" s="3267" t="s">
        <v>3583</v>
      </c>
      <c r="E50" s="3267" t="s">
        <v>2985</v>
      </c>
      <c r="F50" s="3267" t="s">
        <v>3584</v>
      </c>
      <c r="G50" s="3267"/>
      <c r="H50" s="3267" t="s">
        <v>3585</v>
      </c>
      <c r="I50" s="3267" t="s">
        <v>3586</v>
      </c>
      <c r="J50" s="3267" t="s">
        <v>3587</v>
      </c>
      <c r="K50" s="3267" t="s">
        <v>3581</v>
      </c>
      <c r="L50" s="3267">
        <v>138.13</v>
      </c>
      <c r="M50" s="3267" t="s">
        <v>3588</v>
      </c>
      <c r="N50" s="3267" t="s">
        <v>3129</v>
      </c>
      <c r="O50" s="3267"/>
      <c r="P50" s="3267" t="s">
        <v>3495</v>
      </c>
      <c r="Q50" s="3267">
        <v>650000</v>
      </c>
      <c r="R50" s="3267">
        <v>4706</v>
      </c>
      <c r="S50" s="3272">
        <v>58.01</v>
      </c>
      <c r="T50" s="3273">
        <v>580100</v>
      </c>
      <c r="U50" s="3267">
        <v>4200</v>
      </c>
      <c r="V50" s="3289">
        <v>0.05</v>
      </c>
      <c r="W50" s="3272">
        <v>55.1</v>
      </c>
      <c r="X50" s="3273">
        <v>551000</v>
      </c>
      <c r="Y50" s="3267">
        <v>2006</v>
      </c>
      <c r="Z50" s="3267">
        <v>1</v>
      </c>
      <c r="AA50" s="3267">
        <v>17</v>
      </c>
      <c r="AB50" s="3267">
        <v>1500</v>
      </c>
      <c r="AC50" s="3267" t="s">
        <v>3227</v>
      </c>
      <c r="AD50" s="3267"/>
      <c r="AE50" s="3267" t="s">
        <v>3180</v>
      </c>
      <c r="AF50" s="3267" t="s">
        <v>2966</v>
      </c>
      <c r="AG50" s="3267" t="s">
        <v>2967</v>
      </c>
      <c r="AH50" s="3267"/>
      <c r="AI50" s="3267" t="s">
        <v>2992</v>
      </c>
      <c r="AJ50" s="3303"/>
      <c r="AK50" s="3267">
        <v>1</v>
      </c>
      <c r="AL50" s="3267">
        <v>67641700</v>
      </c>
      <c r="AM50" s="3267"/>
      <c r="AN50" s="3267" t="s">
        <v>3114</v>
      </c>
      <c r="AO50" s="3267"/>
      <c r="AP50" s="3267" t="s">
        <v>3305</v>
      </c>
      <c r="AQ50" s="3267" t="s">
        <v>3228</v>
      </c>
      <c r="AR50" s="3267"/>
      <c r="AS50" s="3267"/>
      <c r="AT50" s="3267"/>
      <c r="AU50" s="3267"/>
      <c r="AV50" s="3267"/>
      <c r="AW50" s="3267" t="s">
        <v>3119</v>
      </c>
      <c r="AX50" s="3267"/>
      <c r="AY50" s="3269"/>
      <c r="AZ50" s="3267" t="s">
        <v>3589</v>
      </c>
      <c r="BA50" s="3267"/>
      <c r="BB50" s="3269"/>
      <c r="BC50" s="3267"/>
      <c r="BD50" s="3304"/>
      <c r="BE50" s="3267"/>
      <c r="BF50" s="3305"/>
      <c r="BG50" s="3284">
        <v>38695</v>
      </c>
      <c r="BH50" s="3267" t="s">
        <v>2998</v>
      </c>
      <c r="BI50" s="3267" t="s">
        <v>3238</v>
      </c>
      <c r="BJ50" s="3303">
        <v>38714</v>
      </c>
      <c r="BK50" s="3303"/>
      <c r="BL50" s="3267" t="s">
        <v>3249</v>
      </c>
      <c r="BM50" s="3267" t="s">
        <v>2879</v>
      </c>
      <c r="BN50" s="3267" t="s">
        <v>3111</v>
      </c>
      <c r="BO50" s="3267" t="s">
        <v>3590</v>
      </c>
      <c r="BP50" s="3267"/>
      <c r="BQ50" s="3267" t="e">
        <v>#DIV/0!</v>
      </c>
      <c r="BR50" s="3267" t="e">
        <v>#DIV/0!</v>
      </c>
      <c r="BS50" s="3285"/>
      <c r="BT50" s="3285"/>
      <c r="BU50" s="3285"/>
    </row>
    <row r="51" spans="1:73" hidden="1">
      <c r="A51" s="3267" t="s">
        <v>3591</v>
      </c>
      <c r="B51" s="3268" t="s">
        <v>3592</v>
      </c>
      <c r="C51" s="3269" t="s">
        <v>3593</v>
      </c>
      <c r="D51" s="3268">
        <v>13651000721</v>
      </c>
      <c r="E51" s="3268" t="s">
        <v>2985</v>
      </c>
      <c r="F51" s="3308" t="s">
        <v>3324</v>
      </c>
      <c r="G51" s="3268"/>
      <c r="H51" s="3268" t="s">
        <v>3594</v>
      </c>
      <c r="I51" s="3268"/>
      <c r="J51" s="3268" t="s">
        <v>3595</v>
      </c>
      <c r="K51" s="3268" t="s">
        <v>3592</v>
      </c>
      <c r="L51" s="3270">
        <v>107.52</v>
      </c>
      <c r="M51" s="3270">
        <v>28</v>
      </c>
      <c r="N51" s="3268" t="s">
        <v>3122</v>
      </c>
      <c r="O51" s="3270"/>
      <c r="P51" s="3268" t="s">
        <v>2963</v>
      </c>
      <c r="Q51" s="3271">
        <v>590000</v>
      </c>
      <c r="R51" s="3271">
        <v>5487</v>
      </c>
      <c r="S51" s="3272">
        <v>58.06</v>
      </c>
      <c r="T51" s="3273">
        <v>580600</v>
      </c>
      <c r="U51" s="3267">
        <v>5400</v>
      </c>
      <c r="V51" s="3274">
        <v>0.05</v>
      </c>
      <c r="W51" s="3272">
        <v>55.15</v>
      </c>
      <c r="X51" s="3273">
        <v>551500</v>
      </c>
      <c r="Y51" s="3276">
        <v>2006</v>
      </c>
      <c r="Z51" s="3276">
        <v>1</v>
      </c>
      <c r="AA51" s="3267">
        <v>5</v>
      </c>
      <c r="AB51" s="3267">
        <v>1500</v>
      </c>
      <c r="AC51" s="3267" t="s">
        <v>3227</v>
      </c>
      <c r="AD51" s="3268"/>
      <c r="AE51" s="3276" t="s">
        <v>3245</v>
      </c>
      <c r="AF51" s="3268" t="s">
        <v>2966</v>
      </c>
      <c r="AG51" s="3268" t="s">
        <v>2967</v>
      </c>
      <c r="AH51" s="3268"/>
      <c r="AI51" s="3267" t="s">
        <v>3295</v>
      </c>
      <c r="AJ51" s="3290"/>
      <c r="AK51" s="3278" t="s">
        <v>3131</v>
      </c>
      <c r="AL51" s="3276">
        <v>82253558</v>
      </c>
      <c r="AM51" s="3276"/>
      <c r="AN51" s="3279" t="s">
        <v>3099</v>
      </c>
      <c r="AO51" s="3276"/>
      <c r="AP51" s="3276" t="s">
        <v>3245</v>
      </c>
      <c r="AQ51" s="3267" t="s">
        <v>3113</v>
      </c>
      <c r="AR51" s="3267"/>
      <c r="AS51" s="3267"/>
      <c r="AT51" s="3267"/>
      <c r="AU51" s="3267"/>
      <c r="AV51" s="3277"/>
      <c r="AW51" s="3267" t="s">
        <v>2997</v>
      </c>
      <c r="AX51" s="3268"/>
      <c r="AY51" s="3268"/>
      <c r="AZ51" s="3268" t="s">
        <v>3596</v>
      </c>
      <c r="BA51" s="3268"/>
      <c r="BB51" s="3280"/>
      <c r="BC51" s="3268"/>
      <c r="BD51" s="3268"/>
      <c r="BE51" s="3268"/>
      <c r="BF51" s="3281"/>
      <c r="BG51" s="3307">
        <v>38614</v>
      </c>
      <c r="BH51" s="3268"/>
      <c r="BI51" s="3268" t="s">
        <v>3245</v>
      </c>
      <c r="BJ51" s="3283">
        <v>38716</v>
      </c>
      <c r="BK51" s="3284"/>
      <c r="BL51" s="3267" t="s">
        <v>3249</v>
      </c>
      <c r="BM51" s="3276" t="s">
        <v>2879</v>
      </c>
      <c r="BN51" s="3267" t="s">
        <v>3111</v>
      </c>
      <c r="BO51" s="3276" t="s">
        <v>3146</v>
      </c>
      <c r="BP51" s="3276"/>
      <c r="BQ51" s="3276" t="e">
        <v>#DIV/0!</v>
      </c>
      <c r="BR51" s="3276" t="e">
        <v>#DIV/0!</v>
      </c>
      <c r="BS51" s="3285"/>
      <c r="BT51" s="3285"/>
      <c r="BU51" s="3285"/>
    </row>
    <row r="52" spans="1:73" hidden="1">
      <c r="A52" s="3267" t="s">
        <v>3597</v>
      </c>
      <c r="B52" s="3267" t="s">
        <v>3598</v>
      </c>
      <c r="C52" s="3269" t="s">
        <v>3599</v>
      </c>
      <c r="D52" s="3269" t="s">
        <v>3600</v>
      </c>
      <c r="E52" s="3267" t="s">
        <v>2985</v>
      </c>
      <c r="F52" s="3267" t="s">
        <v>3601</v>
      </c>
      <c r="G52" s="3267"/>
      <c r="H52" s="3267" t="s">
        <v>3150</v>
      </c>
      <c r="I52" s="3267"/>
      <c r="J52" s="3269" t="s">
        <v>3602</v>
      </c>
      <c r="K52" s="3267" t="s">
        <v>3603</v>
      </c>
      <c r="L52" s="3267">
        <v>62.89</v>
      </c>
      <c r="M52" s="3267">
        <v>5</v>
      </c>
      <c r="N52" s="3267" t="s">
        <v>3122</v>
      </c>
      <c r="O52" s="3267"/>
      <c r="P52" s="3267" t="s">
        <v>2963</v>
      </c>
      <c r="Q52" s="3271">
        <v>420000</v>
      </c>
      <c r="R52" s="3288">
        <v>6678</v>
      </c>
      <c r="S52" s="3272">
        <v>39.68</v>
      </c>
      <c r="T52" s="3273">
        <v>396800</v>
      </c>
      <c r="U52" s="3267">
        <v>6311</v>
      </c>
      <c r="V52" s="3289">
        <v>0.05</v>
      </c>
      <c r="W52" s="3272">
        <v>37.69</v>
      </c>
      <c r="X52" s="3273">
        <v>376900</v>
      </c>
      <c r="Y52" s="3267">
        <v>2006</v>
      </c>
      <c r="Z52" s="3267">
        <v>1</v>
      </c>
      <c r="AA52" s="3276">
        <v>5</v>
      </c>
      <c r="AB52" s="3267">
        <v>1190</v>
      </c>
      <c r="AC52" s="3267" t="s">
        <v>3227</v>
      </c>
      <c r="AD52" s="3267"/>
      <c r="AE52" s="3267" t="s">
        <v>3304</v>
      </c>
      <c r="AF52" s="3267" t="s">
        <v>2966</v>
      </c>
      <c r="AG52" s="3267" t="s">
        <v>2967</v>
      </c>
      <c r="AH52" s="3267"/>
      <c r="AI52" s="3267" t="s">
        <v>2992</v>
      </c>
      <c r="AJ52" s="3284"/>
      <c r="AK52" s="3267" t="s">
        <v>3131</v>
      </c>
      <c r="AL52" s="3267">
        <v>67641700</v>
      </c>
      <c r="AM52" s="3276"/>
      <c r="AN52" s="3267" t="s">
        <v>3131</v>
      </c>
      <c r="AO52" s="3276"/>
      <c r="AP52" s="3276" t="s">
        <v>3342</v>
      </c>
      <c r="AQ52" s="3267" t="s">
        <v>3113</v>
      </c>
      <c r="AR52" s="3276"/>
      <c r="AS52" s="3276"/>
      <c r="AT52" s="3276"/>
      <c r="AU52" s="3276"/>
      <c r="AV52" s="3276"/>
      <c r="AW52" s="3267" t="s">
        <v>3119</v>
      </c>
      <c r="AX52" s="3276"/>
      <c r="AY52" s="3291"/>
      <c r="AZ52" s="3267" t="s">
        <v>3603</v>
      </c>
      <c r="BA52" s="3276"/>
      <c r="BB52" s="3291"/>
      <c r="BC52" s="3276"/>
      <c r="BD52" s="3292"/>
      <c r="BE52" s="3276"/>
      <c r="BF52" s="3281"/>
      <c r="BG52" s="3284">
        <v>38699</v>
      </c>
      <c r="BH52" s="3276"/>
      <c r="BI52" s="3267" t="s">
        <v>3342</v>
      </c>
      <c r="BJ52" s="3307">
        <v>38716</v>
      </c>
      <c r="BK52" s="3283"/>
      <c r="BL52" s="3267" t="s">
        <v>2998</v>
      </c>
      <c r="BM52" s="3276" t="s">
        <v>3345</v>
      </c>
      <c r="BN52" s="3276" t="s">
        <v>2999</v>
      </c>
      <c r="BO52" s="3267" t="s">
        <v>3146</v>
      </c>
      <c r="BP52" s="3276"/>
      <c r="BQ52" s="3276" t="e">
        <v>#DIV/0!</v>
      </c>
      <c r="BR52" s="3276" t="e">
        <v>#DIV/0!</v>
      </c>
      <c r="BS52" s="3285"/>
      <c r="BT52" s="3285"/>
      <c r="BU52" s="3285"/>
    </row>
    <row r="53" spans="1:73" hidden="1">
      <c r="A53" s="3267" t="s">
        <v>3604</v>
      </c>
      <c r="B53" s="3268" t="s">
        <v>3605</v>
      </c>
      <c r="C53" s="3269" t="s">
        <v>3606</v>
      </c>
      <c r="D53" s="3268">
        <v>13051416102</v>
      </c>
      <c r="E53" s="3268" t="s">
        <v>2985</v>
      </c>
      <c r="F53" s="3268" t="s">
        <v>3607</v>
      </c>
      <c r="G53" s="3268"/>
      <c r="H53" s="3268" t="s">
        <v>3411</v>
      </c>
      <c r="I53" s="3268" t="s">
        <v>3608</v>
      </c>
      <c r="J53" s="3268" t="s">
        <v>3437</v>
      </c>
      <c r="K53" s="3268" t="s">
        <v>3609</v>
      </c>
      <c r="L53" s="3270">
        <v>89.37</v>
      </c>
      <c r="M53" s="3270">
        <v>4</v>
      </c>
      <c r="N53" s="3268" t="s">
        <v>3122</v>
      </c>
      <c r="O53" s="3270"/>
      <c r="P53" s="3268" t="s">
        <v>2963</v>
      </c>
      <c r="Q53" s="3271">
        <v>570000</v>
      </c>
      <c r="R53" s="3267">
        <v>6378</v>
      </c>
      <c r="S53" s="3272">
        <v>44.68</v>
      </c>
      <c r="T53" s="3273">
        <v>446800</v>
      </c>
      <c r="U53" s="3267">
        <v>5000</v>
      </c>
      <c r="V53" s="3274">
        <v>0.05</v>
      </c>
      <c r="W53" s="3272">
        <v>42.44</v>
      </c>
      <c r="X53" s="3273">
        <v>424400</v>
      </c>
      <c r="Y53" s="3276">
        <v>2006</v>
      </c>
      <c r="Z53" s="3276">
        <v>1</v>
      </c>
      <c r="AA53" s="3267">
        <v>5</v>
      </c>
      <c r="AB53" s="3267">
        <v>1340</v>
      </c>
      <c r="AC53" s="3267" t="s">
        <v>3227</v>
      </c>
      <c r="AD53" s="3268"/>
      <c r="AE53" s="3276" t="s">
        <v>3245</v>
      </c>
      <c r="AF53" s="3268" t="s">
        <v>2966</v>
      </c>
      <c r="AG53" s="3268" t="s">
        <v>2967</v>
      </c>
      <c r="AH53" s="3268"/>
      <c r="AI53" s="3267" t="s">
        <v>3176</v>
      </c>
      <c r="AJ53" s="3277"/>
      <c r="AK53" s="3278" t="s">
        <v>3131</v>
      </c>
      <c r="AL53" s="3276">
        <v>82253558</v>
      </c>
      <c r="AM53" s="3276"/>
      <c r="AN53" s="3279"/>
      <c r="AO53" s="3276"/>
      <c r="AP53" s="3267" t="s">
        <v>3344</v>
      </c>
      <c r="AQ53" s="3276" t="s">
        <v>3113</v>
      </c>
      <c r="AR53" s="3267"/>
      <c r="AS53" s="3267"/>
      <c r="AT53" s="3267"/>
      <c r="AU53" s="3267"/>
      <c r="AV53" s="3277"/>
      <c r="AW53" s="3268" t="s">
        <v>2997</v>
      </c>
      <c r="AX53" s="3268"/>
      <c r="AY53" s="3268"/>
      <c r="AZ53" s="3268" t="s">
        <v>3609</v>
      </c>
      <c r="BA53" s="3268"/>
      <c r="BB53" s="3280"/>
      <c r="BC53" s="3268"/>
      <c r="BD53" s="3268"/>
      <c r="BE53" s="3268"/>
      <c r="BF53" s="3281"/>
      <c r="BG53" s="3307">
        <v>38714</v>
      </c>
      <c r="BH53" s="3268"/>
      <c r="BI53" s="3276" t="s">
        <v>3245</v>
      </c>
      <c r="BJ53" s="3283">
        <v>38716</v>
      </c>
      <c r="BK53" s="3284"/>
      <c r="BL53" s="3267" t="s">
        <v>2998</v>
      </c>
      <c r="BM53" s="3276" t="s">
        <v>2879</v>
      </c>
      <c r="BN53" s="3267" t="s">
        <v>3111</v>
      </c>
      <c r="BO53" s="3267" t="s">
        <v>3146</v>
      </c>
      <c r="BP53" s="3276"/>
      <c r="BQ53" s="3276" t="e">
        <v>#DIV/0!</v>
      </c>
      <c r="BR53" s="3276" t="e">
        <v>#DIV/0!</v>
      </c>
      <c r="BS53" s="3285"/>
      <c r="BT53" s="3285"/>
      <c r="BU53" s="3285"/>
    </row>
    <row r="54" spans="1:73" hidden="1">
      <c r="A54" s="3267" t="s">
        <v>3610</v>
      </c>
      <c r="B54" s="3267" t="s">
        <v>3611</v>
      </c>
      <c r="C54" s="3267" t="s">
        <v>3612</v>
      </c>
      <c r="D54" s="3267">
        <v>13651154834</v>
      </c>
      <c r="E54" s="3267" t="s">
        <v>2985</v>
      </c>
      <c r="F54" s="3267" t="s">
        <v>3613</v>
      </c>
      <c r="G54" s="3267"/>
      <c r="H54" s="3267" t="s">
        <v>3130</v>
      </c>
      <c r="I54" s="3267"/>
      <c r="J54" s="3267" t="s">
        <v>3614</v>
      </c>
      <c r="K54" s="3267" t="s">
        <v>3615</v>
      </c>
      <c r="L54" s="3267">
        <v>110.75</v>
      </c>
      <c r="M54" s="3267">
        <v>8</v>
      </c>
      <c r="N54" s="3267" t="s">
        <v>3116</v>
      </c>
      <c r="O54" s="3267"/>
      <c r="P54" s="3267" t="s">
        <v>2963</v>
      </c>
      <c r="Q54" s="3267">
        <v>700000</v>
      </c>
      <c r="R54" s="3310">
        <v>6321</v>
      </c>
      <c r="S54" s="3311">
        <v>66.42</v>
      </c>
      <c r="T54" s="3312">
        <v>664200</v>
      </c>
      <c r="U54" s="3267">
        <v>5998</v>
      </c>
      <c r="V54" s="3289">
        <v>0.05</v>
      </c>
      <c r="W54" s="3272">
        <v>63.09</v>
      </c>
      <c r="X54" s="3312">
        <v>630900</v>
      </c>
      <c r="Y54" s="3267">
        <v>2006</v>
      </c>
      <c r="Z54" s="3267">
        <v>2</v>
      </c>
      <c r="AA54" s="3267">
        <v>21</v>
      </c>
      <c r="AB54" s="3295">
        <v>1500</v>
      </c>
      <c r="AC54" s="3267" t="s">
        <v>3227</v>
      </c>
      <c r="AD54" s="3267"/>
      <c r="AE54" s="3267" t="s">
        <v>3537</v>
      </c>
      <c r="AF54" s="3267" t="s">
        <v>2966</v>
      </c>
      <c r="AG54" s="3267" t="s">
        <v>2967</v>
      </c>
      <c r="AH54" s="3267"/>
      <c r="AI54" s="3267" t="s">
        <v>3115</v>
      </c>
      <c r="AJ54" s="3267"/>
      <c r="AK54" s="3278" t="s">
        <v>3140</v>
      </c>
      <c r="AL54" s="3267">
        <v>82253558</v>
      </c>
      <c r="AM54" s="3267"/>
      <c r="AN54" s="3267" t="s">
        <v>3114</v>
      </c>
      <c r="AO54" s="3267"/>
      <c r="AP54" s="3267" t="s">
        <v>3180</v>
      </c>
      <c r="AQ54" s="3267" t="s">
        <v>3228</v>
      </c>
      <c r="AR54" s="3295">
        <v>2006</v>
      </c>
      <c r="AS54" s="3295">
        <v>2</v>
      </c>
      <c r="AT54" s="3276">
        <v>21</v>
      </c>
      <c r="AU54" s="3267"/>
      <c r="AV54" s="3267"/>
      <c r="AW54" s="3267" t="s">
        <v>2997</v>
      </c>
      <c r="AX54" s="3267"/>
      <c r="AY54" s="3267"/>
      <c r="AZ54" s="3267" t="s">
        <v>3615</v>
      </c>
      <c r="BA54" s="3267"/>
      <c r="BB54" s="3267"/>
      <c r="BC54" s="3267"/>
      <c r="BD54" s="3267"/>
      <c r="BE54" s="3267"/>
      <c r="BF54" s="3267"/>
      <c r="BG54" s="3267"/>
      <c r="BH54" s="3267" t="s">
        <v>3054</v>
      </c>
      <c r="BI54" s="3267" t="s">
        <v>3145</v>
      </c>
      <c r="BJ54" s="3284">
        <v>38721</v>
      </c>
      <c r="BK54" s="3267"/>
      <c r="BL54" s="3267" t="s">
        <v>2998</v>
      </c>
      <c r="BM54" s="3267" t="s">
        <v>2879</v>
      </c>
      <c r="BN54" s="3267" t="s">
        <v>3111</v>
      </c>
      <c r="BO54" s="3267" t="s">
        <v>3616</v>
      </c>
      <c r="BP54" s="3267"/>
      <c r="BQ54" s="3294" t="e">
        <v>#DIV/0!</v>
      </c>
      <c r="BR54" s="3294" t="e">
        <v>#DIV/0!</v>
      </c>
      <c r="BS54" s="3285"/>
      <c r="BT54" s="3285"/>
      <c r="BU54" s="3285"/>
    </row>
    <row r="55" spans="1:73">
      <c r="A55" s="3267" t="s">
        <v>3617</v>
      </c>
      <c r="B55" s="3267" t="s">
        <v>3618</v>
      </c>
      <c r="C55" s="3267" t="s">
        <v>3619</v>
      </c>
      <c r="D55" s="3267">
        <v>13801316395</v>
      </c>
      <c r="E55" s="3267" t="s">
        <v>2985</v>
      </c>
      <c r="F55" s="3267" t="s">
        <v>3620</v>
      </c>
      <c r="G55" s="3267"/>
      <c r="H55" s="3267" t="s">
        <v>3124</v>
      </c>
      <c r="I55" s="3267"/>
      <c r="J55" s="3267" t="s">
        <v>3621</v>
      </c>
      <c r="K55" s="3267" t="s">
        <v>3622</v>
      </c>
      <c r="L55" s="3267">
        <v>63.59</v>
      </c>
      <c r="M55" s="3267">
        <v>4</v>
      </c>
      <c r="N55" s="3267" t="s">
        <v>3122</v>
      </c>
      <c r="O55" s="3267"/>
      <c r="P55" s="3267" t="s">
        <v>2963</v>
      </c>
      <c r="Q55" s="3267">
        <v>430000</v>
      </c>
      <c r="R55" s="3267">
        <v>6762</v>
      </c>
      <c r="S55" s="3272">
        <v>34.97</v>
      </c>
      <c r="T55" s="3273">
        <v>349700</v>
      </c>
      <c r="U55" s="3267">
        <v>5500</v>
      </c>
      <c r="V55" s="3289">
        <v>0.05</v>
      </c>
      <c r="W55" s="3272">
        <v>33.22</v>
      </c>
      <c r="X55" s="3273">
        <v>332200</v>
      </c>
      <c r="Y55" s="3267">
        <v>2006</v>
      </c>
      <c r="Z55" s="3267">
        <v>1</v>
      </c>
      <c r="AA55" s="3267">
        <v>17</v>
      </c>
      <c r="AB55" s="3267">
        <v>1045</v>
      </c>
      <c r="AC55" s="3267" t="s">
        <v>3227</v>
      </c>
      <c r="AD55" s="3267"/>
      <c r="AE55" s="3267" t="s">
        <v>3245</v>
      </c>
      <c r="AF55" s="3267" t="s">
        <v>2966</v>
      </c>
      <c r="AG55" s="3267" t="s">
        <v>2967</v>
      </c>
      <c r="AH55" s="3267"/>
      <c r="AI55" s="3267" t="s">
        <v>3176</v>
      </c>
      <c r="AJ55" s="3303" t="s">
        <v>2968</v>
      </c>
      <c r="AK55" s="3267" t="s">
        <v>3131</v>
      </c>
      <c r="AL55" s="3267">
        <v>82253558</v>
      </c>
      <c r="AM55" s="3267"/>
      <c r="AN55" s="3267" t="s">
        <v>3114</v>
      </c>
      <c r="AO55" s="3267"/>
      <c r="AP55" s="3267" t="s">
        <v>3180</v>
      </c>
      <c r="AQ55" s="3267" t="s">
        <v>3228</v>
      </c>
      <c r="AR55" s="3267">
        <v>2006</v>
      </c>
      <c r="AS55" s="3267">
        <v>1</v>
      </c>
      <c r="AT55" s="3267">
        <v>17</v>
      </c>
      <c r="AU55" s="3267"/>
      <c r="AV55" s="3267"/>
      <c r="AW55" s="3267" t="s">
        <v>2997</v>
      </c>
      <c r="AX55" s="3267" t="s">
        <v>2968</v>
      </c>
      <c r="AY55" s="3269" t="s">
        <v>2968</v>
      </c>
      <c r="AZ55" s="3267" t="s">
        <v>3622</v>
      </c>
      <c r="BA55" s="3267" t="s">
        <v>2968</v>
      </c>
      <c r="BB55" s="3269" t="s">
        <v>2968</v>
      </c>
      <c r="BC55" s="3267" t="s">
        <v>2968</v>
      </c>
      <c r="BD55" s="3304" t="s">
        <v>2968</v>
      </c>
      <c r="BE55" s="3267" t="s">
        <v>2968</v>
      </c>
      <c r="BF55" s="3305" t="s">
        <v>2968</v>
      </c>
      <c r="BG55" s="3284">
        <v>38723</v>
      </c>
      <c r="BH55" s="3267"/>
      <c r="BI55" s="3267" t="s">
        <v>3239</v>
      </c>
      <c r="BJ55" s="3303">
        <v>38723</v>
      </c>
      <c r="BK55" s="3303"/>
      <c r="BL55" s="3267" t="s">
        <v>2998</v>
      </c>
      <c r="BM55" s="3267" t="s">
        <v>2879</v>
      </c>
      <c r="BN55" s="3267" t="s">
        <v>2999</v>
      </c>
      <c r="BO55" s="3267" t="s">
        <v>3146</v>
      </c>
      <c r="BP55" s="3267"/>
      <c r="BQ55" s="3267" t="e">
        <v>#DIV/0!</v>
      </c>
      <c r="BR55" s="3267" t="e">
        <v>#DIV/0!</v>
      </c>
      <c r="BS55" s="3285"/>
      <c r="BT55" s="3285"/>
      <c r="BU55" s="3285"/>
    </row>
    <row r="56" spans="1:73" hidden="1">
      <c r="A56" s="3267" t="s">
        <v>3623</v>
      </c>
      <c r="B56" s="3267" t="s">
        <v>3624</v>
      </c>
      <c r="C56" s="3269" t="s">
        <v>3625</v>
      </c>
      <c r="D56" s="3269" t="s">
        <v>3626</v>
      </c>
      <c r="E56" s="3268" t="s">
        <v>2985</v>
      </c>
      <c r="F56" s="3268" t="s">
        <v>3309</v>
      </c>
      <c r="G56" s="3267"/>
      <c r="H56" s="3268" t="s">
        <v>3310</v>
      </c>
      <c r="I56" s="3268"/>
      <c r="J56" s="3267" t="s">
        <v>3627</v>
      </c>
      <c r="K56" s="3267" t="s">
        <v>3628</v>
      </c>
      <c r="L56" s="3267">
        <v>63.83</v>
      </c>
      <c r="M56" s="3267">
        <v>6</v>
      </c>
      <c r="N56" s="3267" t="s">
        <v>3152</v>
      </c>
      <c r="O56" s="3267"/>
      <c r="P56" s="3267" t="s">
        <v>2963</v>
      </c>
      <c r="Q56" s="3271">
        <v>325000</v>
      </c>
      <c r="R56" s="3267">
        <v>5092</v>
      </c>
      <c r="S56" s="3272">
        <v>31.65</v>
      </c>
      <c r="T56" s="3273">
        <v>316500</v>
      </c>
      <c r="U56" s="3267">
        <v>4960</v>
      </c>
      <c r="V56" s="3289">
        <v>0.05</v>
      </c>
      <c r="W56" s="3272">
        <v>30.06</v>
      </c>
      <c r="X56" s="3275">
        <v>300600</v>
      </c>
      <c r="Y56" s="3276">
        <v>2006</v>
      </c>
      <c r="Z56" s="3276">
        <v>1</v>
      </c>
      <c r="AA56" s="3276">
        <v>20</v>
      </c>
      <c r="AB56" s="3267">
        <v>945</v>
      </c>
      <c r="AC56" s="3267" t="s">
        <v>3227</v>
      </c>
      <c r="AD56" s="3267"/>
      <c r="AE56" s="3268" t="s">
        <v>3245</v>
      </c>
      <c r="AF56" s="3268" t="s">
        <v>2966</v>
      </c>
      <c r="AG56" s="3279" t="s">
        <v>2967</v>
      </c>
      <c r="AH56" s="3267"/>
      <c r="AI56" s="3279"/>
      <c r="AJ56" s="3284"/>
      <c r="AK56" s="3278">
        <v>1</v>
      </c>
      <c r="AL56" s="3276">
        <v>82253558</v>
      </c>
      <c r="AM56" s="3276"/>
      <c r="AN56" s="3279" t="s">
        <v>3131</v>
      </c>
      <c r="AO56" s="3276" t="s">
        <v>3629</v>
      </c>
      <c r="AP56" s="3279" t="s">
        <v>3245</v>
      </c>
      <c r="AQ56" s="3276" t="s">
        <v>3113</v>
      </c>
      <c r="AR56" s="3276"/>
      <c r="AS56" s="3276"/>
      <c r="AT56" s="3276"/>
      <c r="AU56" s="3276"/>
      <c r="AV56" s="3276"/>
      <c r="AW56" s="3276" t="s">
        <v>2997</v>
      </c>
      <c r="AX56" s="3276"/>
      <c r="AY56" s="3291"/>
      <c r="AZ56" s="3267" t="s">
        <v>3628</v>
      </c>
      <c r="BA56" s="3296"/>
      <c r="BB56" s="3297"/>
      <c r="BC56" s="3296"/>
      <c r="BD56" s="3298"/>
      <c r="BE56" s="3276"/>
      <c r="BF56" s="3281"/>
      <c r="BG56" s="3293">
        <v>38685</v>
      </c>
      <c r="BH56" s="3267" t="s">
        <v>2998</v>
      </c>
      <c r="BI56" s="3267" t="s">
        <v>3344</v>
      </c>
      <c r="BJ56" s="3283">
        <v>38735</v>
      </c>
      <c r="BK56" s="3283"/>
      <c r="BL56" s="3267" t="s">
        <v>3249</v>
      </c>
      <c r="BM56" s="3276" t="s">
        <v>2879</v>
      </c>
      <c r="BN56" s="3276" t="s">
        <v>2999</v>
      </c>
      <c r="BO56" s="3276" t="s">
        <v>3146</v>
      </c>
      <c r="BP56" s="3276"/>
      <c r="BQ56" s="3276" t="e">
        <v>#DIV/0!</v>
      </c>
      <c r="BR56" s="3276" t="e">
        <v>#DIV/0!</v>
      </c>
      <c r="BS56" s="3285"/>
      <c r="BT56" s="3285"/>
      <c r="BU56" s="3285"/>
    </row>
    <row r="57" spans="1:73" hidden="1">
      <c r="A57" s="3267" t="s">
        <v>3630</v>
      </c>
      <c r="B57" s="3267" t="s">
        <v>3631</v>
      </c>
      <c r="C57" s="3267" t="s">
        <v>3632</v>
      </c>
      <c r="D57" s="3267">
        <v>13691409079</v>
      </c>
      <c r="E57" s="3267" t="s">
        <v>2985</v>
      </c>
      <c r="F57" s="3267" t="s">
        <v>3324</v>
      </c>
      <c r="G57" s="3267"/>
      <c r="H57" s="3267" t="s">
        <v>3633</v>
      </c>
      <c r="I57" s="3267"/>
      <c r="J57" s="3267" t="s">
        <v>3634</v>
      </c>
      <c r="K57" s="3267" t="s">
        <v>3635</v>
      </c>
      <c r="L57" s="3267">
        <v>91.71</v>
      </c>
      <c r="M57" s="3267">
        <v>7</v>
      </c>
      <c r="N57" s="3267" t="s">
        <v>3122</v>
      </c>
      <c r="O57" s="3267"/>
      <c r="P57" s="3267" t="s">
        <v>2963</v>
      </c>
      <c r="Q57" s="3267">
        <v>483000</v>
      </c>
      <c r="R57" s="3267">
        <v>5267</v>
      </c>
      <c r="S57" s="3272">
        <v>47.68</v>
      </c>
      <c r="T57" s="3273">
        <v>476800</v>
      </c>
      <c r="U57" s="3267">
        <v>5200</v>
      </c>
      <c r="V57" s="3289">
        <v>0.05</v>
      </c>
      <c r="W57" s="3272">
        <v>45.29</v>
      </c>
      <c r="X57" s="3273">
        <v>452900</v>
      </c>
      <c r="Y57" s="3267">
        <v>2006</v>
      </c>
      <c r="Z57" s="3267">
        <v>1</v>
      </c>
      <c r="AA57" s="3267">
        <v>17</v>
      </c>
      <c r="AB57" s="3267">
        <v>1430</v>
      </c>
      <c r="AC57" s="3267" t="s">
        <v>3227</v>
      </c>
      <c r="AD57" s="3267"/>
      <c r="AE57" s="3267" t="s">
        <v>3245</v>
      </c>
      <c r="AF57" s="3267" t="s">
        <v>2966</v>
      </c>
      <c r="AG57" s="3267" t="s">
        <v>2967</v>
      </c>
      <c r="AH57" s="3267"/>
      <c r="AI57" s="3267" t="s">
        <v>3245</v>
      </c>
      <c r="AJ57" s="3303"/>
      <c r="AK57" s="3267" t="s">
        <v>3131</v>
      </c>
      <c r="AL57" s="3267">
        <v>82253558</v>
      </c>
      <c r="AM57" s="3267"/>
      <c r="AN57" s="3267" t="s">
        <v>3114</v>
      </c>
      <c r="AO57" s="3267" t="s">
        <v>3636</v>
      </c>
      <c r="AP57" s="3267" t="s">
        <v>3180</v>
      </c>
      <c r="AQ57" s="3267" t="s">
        <v>3113</v>
      </c>
      <c r="AR57" s="3267"/>
      <c r="AS57" s="3267"/>
      <c r="AT57" s="3267"/>
      <c r="AU57" s="3267"/>
      <c r="AV57" s="3267"/>
      <c r="AW57" s="3267" t="s">
        <v>3119</v>
      </c>
      <c r="AX57" s="3267"/>
      <c r="AY57" s="3269"/>
      <c r="AZ57" s="3267" t="s">
        <v>3635</v>
      </c>
      <c r="BA57" s="3267"/>
      <c r="BB57" s="3269"/>
      <c r="BC57" s="3267"/>
      <c r="BD57" s="3304"/>
      <c r="BE57" s="3267">
        <v>13701229974</v>
      </c>
      <c r="BF57" s="3305"/>
      <c r="BG57" s="3284">
        <v>38723</v>
      </c>
      <c r="BH57" s="3267"/>
      <c r="BI57" s="3267" t="s">
        <v>3239</v>
      </c>
      <c r="BJ57" s="3303">
        <v>38730</v>
      </c>
      <c r="BK57" s="3303"/>
      <c r="BL57" s="3267" t="s">
        <v>2998</v>
      </c>
      <c r="BM57" s="3267" t="s">
        <v>2879</v>
      </c>
      <c r="BN57" s="3267" t="s">
        <v>3111</v>
      </c>
      <c r="BO57" s="3267" t="s">
        <v>3000</v>
      </c>
      <c r="BP57" s="3267"/>
      <c r="BQ57" s="3267" t="e">
        <v>#DIV/0!</v>
      </c>
      <c r="BR57" s="3267" t="e">
        <v>#DIV/0!</v>
      </c>
      <c r="BS57" s="3285"/>
      <c r="BT57" s="3285"/>
      <c r="BU57" s="3285"/>
    </row>
    <row r="58" spans="1:73" hidden="1">
      <c r="A58" s="3267" t="s">
        <v>3637</v>
      </c>
      <c r="B58" s="3267" t="s">
        <v>3638</v>
      </c>
      <c r="C58" s="3267" t="s">
        <v>3639</v>
      </c>
      <c r="D58" s="3267" t="s">
        <v>3640</v>
      </c>
      <c r="E58" s="3267" t="s">
        <v>2985</v>
      </c>
      <c r="F58" s="3267" t="s">
        <v>3641</v>
      </c>
      <c r="G58" s="3267"/>
      <c r="H58" s="3267" t="s">
        <v>3097</v>
      </c>
      <c r="I58" s="3267" t="s">
        <v>3642</v>
      </c>
      <c r="J58" s="3267" t="s">
        <v>3126</v>
      </c>
      <c r="K58" s="3267" t="s">
        <v>3643</v>
      </c>
      <c r="L58" s="3267">
        <v>60.65</v>
      </c>
      <c r="M58" s="3267">
        <v>6</v>
      </c>
      <c r="N58" s="3267" t="s">
        <v>3122</v>
      </c>
      <c r="O58" s="3267"/>
      <c r="P58" s="3267" t="s">
        <v>2963</v>
      </c>
      <c r="Q58" s="3267">
        <v>400000</v>
      </c>
      <c r="R58" s="3288">
        <v>6595</v>
      </c>
      <c r="S58" s="3272">
        <v>33.229999999999997</v>
      </c>
      <c r="T58" s="3273">
        <v>332300</v>
      </c>
      <c r="U58" s="3267">
        <v>5480</v>
      </c>
      <c r="V58" s="3289">
        <v>0.05</v>
      </c>
      <c r="W58" s="3272">
        <v>31.56</v>
      </c>
      <c r="X58" s="3273">
        <v>315600</v>
      </c>
      <c r="Y58" s="3267">
        <v>2006</v>
      </c>
      <c r="Z58" s="3267">
        <v>1</v>
      </c>
      <c r="AA58" s="3267">
        <v>25</v>
      </c>
      <c r="AB58" s="3267">
        <v>995</v>
      </c>
      <c r="AC58" s="3267" t="s">
        <v>3227</v>
      </c>
      <c r="AD58" s="3267"/>
      <c r="AE58" s="3267" t="s">
        <v>3121</v>
      </c>
      <c r="AF58" s="3267" t="s">
        <v>2966</v>
      </c>
      <c r="AG58" s="3267" t="s">
        <v>2967</v>
      </c>
      <c r="AH58" s="3267"/>
      <c r="AI58" s="3267" t="s">
        <v>3245</v>
      </c>
      <c r="AJ58" s="3267"/>
      <c r="AK58" s="3267" t="s">
        <v>3131</v>
      </c>
      <c r="AL58" s="3267">
        <v>82253558</v>
      </c>
      <c r="AM58" s="3267"/>
      <c r="AN58" s="3267" t="s">
        <v>2994</v>
      </c>
      <c r="AO58" s="3267"/>
      <c r="AP58" s="3267" t="s">
        <v>3180</v>
      </c>
      <c r="AQ58" s="3267" t="s">
        <v>3228</v>
      </c>
      <c r="AR58" s="3267">
        <v>2006</v>
      </c>
      <c r="AS58" s="3267">
        <v>1</v>
      </c>
      <c r="AT58" s="3267">
        <v>25</v>
      </c>
      <c r="AU58" s="3267"/>
      <c r="AV58" s="3267"/>
      <c r="AW58" s="3267" t="s">
        <v>3119</v>
      </c>
      <c r="AX58" s="3267"/>
      <c r="AY58" s="3267"/>
      <c r="AZ58" s="3267" t="s">
        <v>3643</v>
      </c>
      <c r="BA58" s="3267"/>
      <c r="BB58" s="3267"/>
      <c r="BC58" s="3267"/>
      <c r="BD58" s="3267"/>
      <c r="BE58" s="3267"/>
      <c r="BF58" s="3267"/>
      <c r="BG58" s="3284">
        <v>38722</v>
      </c>
      <c r="BH58" s="3267"/>
      <c r="BI58" s="3267" t="s">
        <v>3239</v>
      </c>
      <c r="BJ58" s="3284">
        <v>38722</v>
      </c>
      <c r="BK58" s="3267"/>
      <c r="BL58" s="3267" t="s">
        <v>2998</v>
      </c>
      <c r="BM58" s="3267" t="s">
        <v>2879</v>
      </c>
      <c r="BN58" s="3267" t="s">
        <v>2999</v>
      </c>
      <c r="BO58" s="3267" t="s">
        <v>3146</v>
      </c>
      <c r="BP58" s="3267"/>
      <c r="BQ58" s="3276" t="e">
        <v>#DIV/0!</v>
      </c>
      <c r="BR58" s="3276" t="e">
        <v>#DIV/0!</v>
      </c>
      <c r="BS58" s="3285"/>
      <c r="BT58" s="3285"/>
      <c r="BU58" s="3285"/>
    </row>
    <row r="59" spans="1:73" hidden="1">
      <c r="A59" s="3267" t="s">
        <v>3644</v>
      </c>
      <c r="B59" s="3267" t="s">
        <v>3645</v>
      </c>
      <c r="C59" s="3267" t="s">
        <v>3646</v>
      </c>
      <c r="D59" s="3267" t="s">
        <v>3647</v>
      </c>
      <c r="E59" s="3267" t="s">
        <v>2985</v>
      </c>
      <c r="F59" s="3267" t="s">
        <v>3648</v>
      </c>
      <c r="G59" s="3267"/>
      <c r="H59" s="3267" t="s">
        <v>3182</v>
      </c>
      <c r="I59" s="3267"/>
      <c r="J59" s="3267" t="s">
        <v>3649</v>
      </c>
      <c r="K59" s="3267" t="s">
        <v>3650</v>
      </c>
      <c r="L59" s="3267">
        <v>83.14</v>
      </c>
      <c r="M59" s="3267">
        <v>9</v>
      </c>
      <c r="N59" s="3267" t="s">
        <v>3125</v>
      </c>
      <c r="O59" s="3267"/>
      <c r="P59" s="3267" t="s">
        <v>2963</v>
      </c>
      <c r="Q59" s="3267">
        <v>520000</v>
      </c>
      <c r="R59" s="3267">
        <v>6255</v>
      </c>
      <c r="S59" s="3272">
        <v>51.43</v>
      </c>
      <c r="T59" s="3273">
        <v>514300</v>
      </c>
      <c r="U59" s="3267">
        <v>6187</v>
      </c>
      <c r="V59" s="3289">
        <v>0.05</v>
      </c>
      <c r="W59" s="3272">
        <v>48.85</v>
      </c>
      <c r="X59" s="3273">
        <v>488500</v>
      </c>
      <c r="Y59" s="3267">
        <v>2006</v>
      </c>
      <c r="Z59" s="3267">
        <v>1</v>
      </c>
      <c r="AA59" s="3267">
        <v>18</v>
      </c>
      <c r="AB59" s="3267">
        <v>1500</v>
      </c>
      <c r="AC59" s="3267" t="s">
        <v>3227</v>
      </c>
      <c r="AD59" s="3267"/>
      <c r="AE59" s="3267" t="s">
        <v>3342</v>
      </c>
      <c r="AF59" s="3267" t="s">
        <v>2966</v>
      </c>
      <c r="AG59" s="3267" t="s">
        <v>2967</v>
      </c>
      <c r="AH59" s="3267"/>
      <c r="AI59" s="3267" t="s">
        <v>3115</v>
      </c>
      <c r="AJ59" s="3303"/>
      <c r="AK59" s="3267" t="s">
        <v>3131</v>
      </c>
      <c r="AL59" s="3267">
        <v>82253558</v>
      </c>
      <c r="AM59" s="3267" t="s">
        <v>2968</v>
      </c>
      <c r="AN59" s="3267" t="s">
        <v>3114</v>
      </c>
      <c r="AO59" s="3267"/>
      <c r="AP59" s="3267" t="s">
        <v>3180</v>
      </c>
      <c r="AQ59" s="3267" t="s">
        <v>3113</v>
      </c>
      <c r="AR59" s="3267"/>
      <c r="AS59" s="3267"/>
      <c r="AT59" s="3267"/>
      <c r="AU59" s="3267"/>
      <c r="AV59" s="3267"/>
      <c r="AW59" s="3267" t="s">
        <v>3112</v>
      </c>
      <c r="AX59" s="3267"/>
      <c r="AY59" s="3269"/>
      <c r="AZ59" s="3267" t="s">
        <v>3650</v>
      </c>
      <c r="BA59" s="3267"/>
      <c r="BB59" s="3269"/>
      <c r="BC59" s="3267"/>
      <c r="BD59" s="3304"/>
      <c r="BE59" s="3267">
        <v>13051304644</v>
      </c>
      <c r="BF59" s="3305"/>
      <c r="BG59" s="3284">
        <v>38728</v>
      </c>
      <c r="BH59" s="3267"/>
      <c r="BI59" s="3267" t="s">
        <v>3295</v>
      </c>
      <c r="BJ59" s="3303">
        <v>38730</v>
      </c>
      <c r="BK59" s="3303"/>
      <c r="BL59" s="3267" t="s">
        <v>2998</v>
      </c>
      <c r="BM59" s="3267" t="s">
        <v>2879</v>
      </c>
      <c r="BN59" s="3267" t="s">
        <v>2999</v>
      </c>
      <c r="BO59" s="3267" t="s">
        <v>3146</v>
      </c>
      <c r="BP59" s="3267"/>
      <c r="BQ59" s="3267"/>
      <c r="BR59" s="3267"/>
      <c r="BS59" s="3285"/>
      <c r="BT59" s="3285"/>
      <c r="BU59" s="3285"/>
    </row>
    <row r="60" spans="1:73" hidden="1">
      <c r="A60" s="3267" t="s">
        <v>3651</v>
      </c>
      <c r="B60" s="3267" t="s">
        <v>3652</v>
      </c>
      <c r="C60" s="3267" t="s">
        <v>3653</v>
      </c>
      <c r="D60" s="3267">
        <v>13810576390</v>
      </c>
      <c r="E60" s="3267" t="s">
        <v>2985</v>
      </c>
      <c r="F60" s="3267" t="s">
        <v>3654</v>
      </c>
      <c r="G60" s="3267"/>
      <c r="H60" s="3267" t="s">
        <v>3402</v>
      </c>
      <c r="I60" s="3267" t="s">
        <v>3254</v>
      </c>
      <c r="J60" s="3267" t="s">
        <v>3126</v>
      </c>
      <c r="K60" s="3267" t="s">
        <v>3655</v>
      </c>
      <c r="L60" s="3267">
        <v>129.36000000000001</v>
      </c>
      <c r="M60" s="3267" t="s">
        <v>3656</v>
      </c>
      <c r="N60" s="3267"/>
      <c r="O60" s="3267"/>
      <c r="P60" s="3267" t="s">
        <v>3495</v>
      </c>
      <c r="Q60" s="3267">
        <v>460000</v>
      </c>
      <c r="R60" s="3267">
        <v>3556</v>
      </c>
      <c r="S60" s="3272">
        <v>45.27</v>
      </c>
      <c r="T60" s="3273">
        <v>452700</v>
      </c>
      <c r="U60" s="3267">
        <v>3500</v>
      </c>
      <c r="V60" s="3289">
        <v>0.05</v>
      </c>
      <c r="W60" s="3272">
        <v>43</v>
      </c>
      <c r="X60" s="3273">
        <v>430000</v>
      </c>
      <c r="Y60" s="3267">
        <v>2006</v>
      </c>
      <c r="Z60" s="3267">
        <v>1</v>
      </c>
      <c r="AA60" s="3267">
        <v>16</v>
      </c>
      <c r="AB60" s="3267">
        <v>1355</v>
      </c>
      <c r="AC60" s="3267" t="s">
        <v>3227</v>
      </c>
      <c r="AD60" s="3267"/>
      <c r="AE60" s="3267" t="s">
        <v>3180</v>
      </c>
      <c r="AF60" s="3267" t="s">
        <v>2966</v>
      </c>
      <c r="AG60" s="3267" t="s">
        <v>2967</v>
      </c>
      <c r="AH60" s="3267"/>
      <c r="AI60" s="3267" t="s">
        <v>3115</v>
      </c>
      <c r="AJ60" s="3303"/>
      <c r="AK60" s="3267" t="s">
        <v>3131</v>
      </c>
      <c r="AL60" s="3267">
        <v>82253558</v>
      </c>
      <c r="AM60" s="3267"/>
      <c r="AN60" s="3267" t="s">
        <v>3140</v>
      </c>
      <c r="AO60" s="3267"/>
      <c r="AP60" s="3267" t="s">
        <v>3180</v>
      </c>
      <c r="AQ60" s="3267" t="s">
        <v>3113</v>
      </c>
      <c r="AR60" s="3267"/>
      <c r="AS60" s="3267"/>
      <c r="AT60" s="3267"/>
      <c r="AU60" s="3267"/>
      <c r="AV60" s="3267"/>
      <c r="AW60" s="3267" t="s">
        <v>3119</v>
      </c>
      <c r="AX60" s="3267"/>
      <c r="AY60" s="3269"/>
      <c r="AZ60" s="3267" t="s">
        <v>3655</v>
      </c>
      <c r="BA60" s="3267"/>
      <c r="BB60" s="3269"/>
      <c r="BC60" s="3267"/>
      <c r="BD60" s="3304"/>
      <c r="BE60" s="3267"/>
      <c r="BF60" s="3305"/>
      <c r="BG60" s="3284">
        <v>38728</v>
      </c>
      <c r="BH60" s="3267" t="s">
        <v>2998</v>
      </c>
      <c r="BI60" s="3267" t="s">
        <v>3180</v>
      </c>
      <c r="BJ60" s="3303">
        <v>38728</v>
      </c>
      <c r="BK60" s="3303"/>
      <c r="BL60" s="3267" t="s">
        <v>2998</v>
      </c>
      <c r="BM60" s="3267" t="s">
        <v>2879</v>
      </c>
      <c r="BN60" s="3267" t="s">
        <v>2999</v>
      </c>
      <c r="BO60" s="3267" t="s">
        <v>3146</v>
      </c>
      <c r="BP60" s="3267"/>
      <c r="BQ60" s="3267" t="e">
        <v>#DIV/0!</v>
      </c>
      <c r="BR60" s="3267" t="e">
        <v>#DIV/0!</v>
      </c>
      <c r="BS60" s="3285"/>
      <c r="BT60" s="3285"/>
      <c r="BU60" s="3285"/>
    </row>
    <row r="61" spans="1:73">
      <c r="A61" s="3267" t="s">
        <v>3657</v>
      </c>
      <c r="B61" s="3267" t="s">
        <v>3658</v>
      </c>
      <c r="C61" s="3267" t="s">
        <v>3659</v>
      </c>
      <c r="D61" s="3267" t="s">
        <v>3660</v>
      </c>
      <c r="E61" s="3267" t="s">
        <v>2985</v>
      </c>
      <c r="F61" s="3267" t="s">
        <v>3661</v>
      </c>
      <c r="G61" s="3267"/>
      <c r="H61" s="3267" t="s">
        <v>3124</v>
      </c>
      <c r="I61" s="3267"/>
      <c r="J61" s="3267" t="s">
        <v>3662</v>
      </c>
      <c r="K61" s="3267" t="s">
        <v>3663</v>
      </c>
      <c r="L61" s="3267">
        <v>71.599999999999994</v>
      </c>
      <c r="M61" s="3267">
        <v>5</v>
      </c>
      <c r="N61" s="3267" t="s">
        <v>3122</v>
      </c>
      <c r="O61" s="3267"/>
      <c r="P61" s="3267" t="s">
        <v>2963</v>
      </c>
      <c r="Q61" s="3267">
        <v>450000</v>
      </c>
      <c r="R61" s="3310">
        <v>6285</v>
      </c>
      <c r="S61" s="3311">
        <v>39.93</v>
      </c>
      <c r="T61" s="3312">
        <v>399300</v>
      </c>
      <c r="U61" s="3267">
        <v>5578</v>
      </c>
      <c r="V61" s="3289">
        <v>0.05</v>
      </c>
      <c r="W61" s="3272">
        <v>37.93</v>
      </c>
      <c r="X61" s="3312">
        <v>379300</v>
      </c>
      <c r="Y61" s="3267">
        <v>2006</v>
      </c>
      <c r="Z61" s="3295">
        <v>2</v>
      </c>
      <c r="AA61" s="3294">
        <v>6</v>
      </c>
      <c r="AB61" s="3295">
        <v>1195</v>
      </c>
      <c r="AC61" s="3267" t="s">
        <v>3227</v>
      </c>
      <c r="AD61" s="3267"/>
      <c r="AE61" s="3267" t="s">
        <v>3344</v>
      </c>
      <c r="AF61" s="3267" t="s">
        <v>2966</v>
      </c>
      <c r="AG61" s="3267" t="s">
        <v>2967</v>
      </c>
      <c r="AH61" s="3267"/>
      <c r="AI61" s="3267" t="s">
        <v>3115</v>
      </c>
      <c r="AJ61" s="3267"/>
      <c r="AK61" s="3278" t="s">
        <v>3140</v>
      </c>
      <c r="AL61" s="3267">
        <v>82253558</v>
      </c>
      <c r="AM61" s="3267"/>
      <c r="AN61" s="3267" t="s">
        <v>3131</v>
      </c>
      <c r="AO61" s="3267"/>
      <c r="AP61" s="3267" t="s">
        <v>3180</v>
      </c>
      <c r="AQ61" s="3267" t="s">
        <v>3228</v>
      </c>
      <c r="AR61" s="3267">
        <v>2006</v>
      </c>
      <c r="AS61" s="3267">
        <v>2</v>
      </c>
      <c r="AT61" s="3267">
        <v>6</v>
      </c>
      <c r="AU61" s="3267"/>
      <c r="AV61" s="3267"/>
      <c r="AW61" s="3267" t="s">
        <v>3119</v>
      </c>
      <c r="AX61" s="3267"/>
      <c r="AY61" s="3267"/>
      <c r="AZ61" s="3267" t="s">
        <v>3663</v>
      </c>
      <c r="BA61" s="3267"/>
      <c r="BB61" s="3267"/>
      <c r="BC61" s="3267"/>
      <c r="BD61" s="3267"/>
      <c r="BE61" s="3267"/>
      <c r="BF61" s="3267"/>
      <c r="BG61" s="3284">
        <v>38721</v>
      </c>
      <c r="BH61" s="3267" t="s">
        <v>2998</v>
      </c>
      <c r="BI61" s="3267" t="s">
        <v>3145</v>
      </c>
      <c r="BJ61" s="3284">
        <v>38721</v>
      </c>
      <c r="BK61" s="3267"/>
      <c r="BL61" s="3267" t="s">
        <v>2998</v>
      </c>
      <c r="BM61" s="3267" t="s">
        <v>2879</v>
      </c>
      <c r="BN61" s="3267" t="s">
        <v>2999</v>
      </c>
      <c r="BO61" s="3267" t="s">
        <v>3000</v>
      </c>
      <c r="BP61" s="3267"/>
      <c r="BQ61" s="3294" t="e">
        <v>#DIV/0!</v>
      </c>
      <c r="BR61" s="3294" t="e">
        <v>#DIV/0!</v>
      </c>
      <c r="BS61" s="3285"/>
      <c r="BT61" s="3285"/>
      <c r="BU61" s="3285"/>
    </row>
    <row r="62" spans="1:73" hidden="1">
      <c r="A62" s="3267" t="s">
        <v>3664</v>
      </c>
      <c r="B62" s="3267" t="s">
        <v>3665</v>
      </c>
      <c r="C62" s="3267" t="s">
        <v>3666</v>
      </c>
      <c r="D62" s="3267" t="s">
        <v>3667</v>
      </c>
      <c r="E62" s="3267" t="s">
        <v>2985</v>
      </c>
      <c r="F62" s="3267" t="s">
        <v>3601</v>
      </c>
      <c r="G62" s="3267"/>
      <c r="H62" s="3267" t="s">
        <v>3668</v>
      </c>
      <c r="I62" s="3267"/>
      <c r="J62" s="3267" t="s">
        <v>3669</v>
      </c>
      <c r="K62" s="3267" t="s">
        <v>3670</v>
      </c>
      <c r="L62" s="3267">
        <v>74.400000000000006</v>
      </c>
      <c r="M62" s="3267">
        <v>16</v>
      </c>
      <c r="N62" s="3267" t="s">
        <v>3122</v>
      </c>
      <c r="O62" s="3267"/>
      <c r="P62" s="3267" t="s">
        <v>2963</v>
      </c>
      <c r="Q62" s="3267">
        <v>567000</v>
      </c>
      <c r="R62" s="3288">
        <v>7621</v>
      </c>
      <c r="S62" s="3272">
        <v>47.38</v>
      </c>
      <c r="T62" s="3273">
        <v>473800</v>
      </c>
      <c r="U62" s="3267">
        <v>6369</v>
      </c>
      <c r="V62" s="3289">
        <v>0.05</v>
      </c>
      <c r="W62" s="3272">
        <v>45.01</v>
      </c>
      <c r="X62" s="3273">
        <v>450100</v>
      </c>
      <c r="Y62" s="3267">
        <v>2006</v>
      </c>
      <c r="Z62" s="3267">
        <v>1</v>
      </c>
      <c r="AA62" s="3267">
        <v>26</v>
      </c>
      <c r="AB62" s="3267">
        <v>1420</v>
      </c>
      <c r="AC62" s="3267" t="s">
        <v>3227</v>
      </c>
      <c r="AD62" s="3267"/>
      <c r="AE62" s="3267" t="s">
        <v>3295</v>
      </c>
      <c r="AF62" s="3267" t="s">
        <v>2966</v>
      </c>
      <c r="AG62" s="3267" t="s">
        <v>2967</v>
      </c>
      <c r="AH62" s="3267"/>
      <c r="AI62" s="3267" t="s">
        <v>3115</v>
      </c>
      <c r="AJ62" s="3267"/>
      <c r="AK62" s="3267" t="s">
        <v>3131</v>
      </c>
      <c r="AL62" s="3267">
        <v>82253558</v>
      </c>
      <c r="AM62" s="3267" t="s">
        <v>2968</v>
      </c>
      <c r="AN62" s="3267" t="s">
        <v>2994</v>
      </c>
      <c r="AO62" s="3267"/>
      <c r="AP62" s="3267" t="s">
        <v>3180</v>
      </c>
      <c r="AQ62" s="3267" t="s">
        <v>3228</v>
      </c>
      <c r="AR62" s="3267">
        <v>2006</v>
      </c>
      <c r="AS62" s="3267">
        <v>1</v>
      </c>
      <c r="AT62" s="3267">
        <v>26</v>
      </c>
      <c r="AU62" s="3267"/>
      <c r="AV62" s="3267"/>
      <c r="AW62" s="3267" t="s">
        <v>3112</v>
      </c>
      <c r="AX62" s="3267"/>
      <c r="AY62" s="3267"/>
      <c r="AZ62" s="3267" t="s">
        <v>3670</v>
      </c>
      <c r="BA62" s="3267"/>
      <c r="BB62" s="3267"/>
      <c r="BC62" s="3267"/>
      <c r="BD62" s="3267"/>
      <c r="BE62" s="3267"/>
      <c r="BF62" s="3267"/>
      <c r="BG62" s="3284">
        <v>38729</v>
      </c>
      <c r="BH62" s="3267"/>
      <c r="BI62" s="3267" t="s">
        <v>3145</v>
      </c>
      <c r="BJ62" s="3284">
        <v>38729</v>
      </c>
      <c r="BK62" s="3267"/>
      <c r="BL62" s="3267" t="s">
        <v>2998</v>
      </c>
      <c r="BM62" s="3267" t="s">
        <v>2879</v>
      </c>
      <c r="BN62" s="3267" t="s">
        <v>2999</v>
      </c>
      <c r="BO62" s="3267" t="s">
        <v>3671</v>
      </c>
      <c r="BP62" s="3267"/>
      <c r="BQ62" s="3276" t="e">
        <v>#DIV/0!</v>
      </c>
      <c r="BR62" s="3276" t="e">
        <v>#DIV/0!</v>
      </c>
      <c r="BS62" s="3285"/>
      <c r="BT62" s="3285"/>
      <c r="BU62" s="3285"/>
    </row>
    <row r="63" spans="1:73" hidden="1">
      <c r="A63" s="3268" t="s">
        <v>3672</v>
      </c>
      <c r="B63" s="3267" t="s">
        <v>3673</v>
      </c>
      <c r="C63" s="3269" t="s">
        <v>3674</v>
      </c>
      <c r="D63" s="3269" t="s">
        <v>3675</v>
      </c>
      <c r="E63" s="3267" t="s">
        <v>2985</v>
      </c>
      <c r="F63" s="3267" t="s">
        <v>3676</v>
      </c>
      <c r="G63" s="3267"/>
      <c r="H63" s="3267" t="s">
        <v>3169</v>
      </c>
      <c r="I63" s="3267" t="s">
        <v>3190</v>
      </c>
      <c r="J63" s="3269" t="s">
        <v>3677</v>
      </c>
      <c r="K63" s="3267" t="s">
        <v>3678</v>
      </c>
      <c r="L63" s="3286">
        <v>78.03</v>
      </c>
      <c r="M63" s="3267">
        <v>1</v>
      </c>
      <c r="N63" s="3267" t="s">
        <v>3125</v>
      </c>
      <c r="O63" s="3267"/>
      <c r="P63" s="3267" t="s">
        <v>2963</v>
      </c>
      <c r="Q63" s="3271">
        <v>345000</v>
      </c>
      <c r="R63" s="3267">
        <v>4421</v>
      </c>
      <c r="S63" s="3272">
        <v>32.22</v>
      </c>
      <c r="T63" s="3273">
        <v>322200</v>
      </c>
      <c r="U63" s="3267">
        <v>4130</v>
      </c>
      <c r="V63" s="3289">
        <v>0.05</v>
      </c>
      <c r="W63" s="3272">
        <v>30.6</v>
      </c>
      <c r="X63" s="3275">
        <v>306000</v>
      </c>
      <c r="Y63" s="3276">
        <v>2006</v>
      </c>
      <c r="Z63" s="3276">
        <v>2</v>
      </c>
      <c r="AA63" s="3276">
        <v>7</v>
      </c>
      <c r="AB63" s="3267">
        <v>965</v>
      </c>
      <c r="AC63" s="3267" t="s">
        <v>3227</v>
      </c>
      <c r="AD63" s="3267"/>
      <c r="AE63" s="3276" t="s">
        <v>3180</v>
      </c>
      <c r="AF63" s="3267" t="s">
        <v>2966</v>
      </c>
      <c r="AG63" s="3279" t="s">
        <v>2967</v>
      </c>
      <c r="AH63" s="3267" t="s">
        <v>2968</v>
      </c>
      <c r="AI63" s="3267" t="s">
        <v>3295</v>
      </c>
      <c r="AJ63" s="3284" t="s">
        <v>2968</v>
      </c>
      <c r="AK63" s="3278" t="s">
        <v>3140</v>
      </c>
      <c r="AL63" s="3276">
        <v>82253558</v>
      </c>
      <c r="AM63" s="3276"/>
      <c r="AN63" s="3279" t="s">
        <v>3131</v>
      </c>
      <c r="AO63" s="3276" t="s">
        <v>2968</v>
      </c>
      <c r="AP63" s="3276" t="s">
        <v>3180</v>
      </c>
      <c r="AQ63" s="3276" t="s">
        <v>3113</v>
      </c>
      <c r="AR63" s="3276"/>
      <c r="AS63" s="3276"/>
      <c r="AT63" s="3276"/>
      <c r="AU63" s="3276"/>
      <c r="AV63" s="3276" t="s">
        <v>2968</v>
      </c>
      <c r="AW63" s="3276" t="s">
        <v>2997</v>
      </c>
      <c r="AX63" s="3276"/>
      <c r="AY63" s="3291"/>
      <c r="AZ63" s="3276" t="s">
        <v>3678</v>
      </c>
      <c r="BA63" s="3276"/>
      <c r="BB63" s="3291"/>
      <c r="BC63" s="3276"/>
      <c r="BD63" s="3292"/>
      <c r="BE63" s="3276"/>
      <c r="BF63" s="3281"/>
      <c r="BG63" s="3299">
        <v>38716</v>
      </c>
      <c r="BH63" s="3276"/>
      <c r="BI63" s="3267" t="s">
        <v>3180</v>
      </c>
      <c r="BJ63" s="3284">
        <v>38735</v>
      </c>
      <c r="BK63" s="3283"/>
      <c r="BL63" s="3267" t="s">
        <v>2998</v>
      </c>
      <c r="BM63" s="3276" t="s">
        <v>2879</v>
      </c>
      <c r="BN63" s="3276" t="s">
        <v>2999</v>
      </c>
      <c r="BO63" s="3276" t="s">
        <v>3146</v>
      </c>
      <c r="BP63" s="3276"/>
      <c r="BQ63" s="3276"/>
      <c r="BR63" s="3276"/>
      <c r="BS63" s="3285"/>
      <c r="BT63" s="3285"/>
      <c r="BU63" s="3285"/>
    </row>
    <row r="64" spans="1:73" hidden="1">
      <c r="A64" s="3267" t="s">
        <v>3679</v>
      </c>
      <c r="B64" s="3267" t="s">
        <v>3680</v>
      </c>
      <c r="C64" s="3269" t="s">
        <v>3681</v>
      </c>
      <c r="D64" s="3267">
        <v>67971799</v>
      </c>
      <c r="E64" s="3267" t="s">
        <v>2985</v>
      </c>
      <c r="F64" s="3267" t="s">
        <v>3682</v>
      </c>
      <c r="G64" s="3267"/>
      <c r="H64" s="3267" t="s">
        <v>3683</v>
      </c>
      <c r="I64" s="3267"/>
      <c r="J64" s="3267" t="s">
        <v>3684</v>
      </c>
      <c r="K64" s="3268" t="s">
        <v>3685</v>
      </c>
      <c r="L64" s="3267">
        <v>73.55</v>
      </c>
      <c r="M64" s="3267">
        <v>14</v>
      </c>
      <c r="N64" s="3267" t="s">
        <v>3122</v>
      </c>
      <c r="O64" s="3267"/>
      <c r="P64" s="3267" t="s">
        <v>2963</v>
      </c>
      <c r="Q64" s="3267">
        <v>523000</v>
      </c>
      <c r="R64" s="3267">
        <v>7111</v>
      </c>
      <c r="S64" s="3272">
        <v>43.87</v>
      </c>
      <c r="T64" s="3273">
        <v>438700</v>
      </c>
      <c r="U64" s="3267">
        <v>5966</v>
      </c>
      <c r="V64" s="3274">
        <v>0.05</v>
      </c>
      <c r="W64" s="3272">
        <v>41.67</v>
      </c>
      <c r="X64" s="3275">
        <v>416700</v>
      </c>
      <c r="Y64" s="3267">
        <v>2006</v>
      </c>
      <c r="Z64" s="3267">
        <v>2</v>
      </c>
      <c r="AA64" s="3267">
        <v>8</v>
      </c>
      <c r="AB64" s="3267">
        <v>1315</v>
      </c>
      <c r="AC64" s="3267" t="s">
        <v>3227</v>
      </c>
      <c r="AD64" s="3267"/>
      <c r="AE64" s="3267" t="s">
        <v>3686</v>
      </c>
      <c r="AF64" s="3267" t="s">
        <v>2966</v>
      </c>
      <c r="AG64" s="3267" t="s">
        <v>2967</v>
      </c>
      <c r="AH64" s="3267"/>
      <c r="AI64" s="3267" t="s">
        <v>3115</v>
      </c>
      <c r="AJ64" s="3315"/>
      <c r="AK64" s="3267" t="s">
        <v>3140</v>
      </c>
      <c r="AL64" s="3267">
        <v>82253558</v>
      </c>
      <c r="AM64" s="3267"/>
      <c r="AN64" s="3267" t="s">
        <v>3131</v>
      </c>
      <c r="AO64" s="3267" t="s">
        <v>2968</v>
      </c>
      <c r="AP64" s="3267" t="s">
        <v>3180</v>
      </c>
      <c r="AQ64" s="3267" t="s">
        <v>3228</v>
      </c>
      <c r="AR64" s="3276">
        <v>2006</v>
      </c>
      <c r="AS64" s="3276">
        <v>2</v>
      </c>
      <c r="AT64" s="3267">
        <v>8</v>
      </c>
      <c r="AU64" s="3267"/>
      <c r="AV64" s="3267"/>
      <c r="AW64" s="3267" t="s">
        <v>3112</v>
      </c>
      <c r="AX64" s="3267"/>
      <c r="AY64" s="3269"/>
      <c r="AZ64" s="3267" t="s">
        <v>3685</v>
      </c>
      <c r="BA64" s="3267"/>
      <c r="BB64" s="3267"/>
      <c r="BC64" s="3267"/>
      <c r="BD64" s="3267"/>
      <c r="BE64" s="3267"/>
      <c r="BF64" s="3267"/>
      <c r="BG64" s="3307">
        <v>38730</v>
      </c>
      <c r="BH64" s="3267"/>
      <c r="BI64" s="3267" t="s">
        <v>3145</v>
      </c>
      <c r="BJ64" s="3283">
        <v>38730</v>
      </c>
      <c r="BK64" s="3283"/>
      <c r="BL64" s="3267" t="s">
        <v>2998</v>
      </c>
      <c r="BM64" s="3267" t="s">
        <v>2879</v>
      </c>
      <c r="BN64" s="3267" t="s">
        <v>2999</v>
      </c>
      <c r="BO64" s="3267" t="s">
        <v>3000</v>
      </c>
      <c r="BP64" s="3267"/>
      <c r="BQ64" s="3276" t="e">
        <v>#DIV/0!</v>
      </c>
      <c r="BR64" s="3276" t="e">
        <v>#DIV/0!</v>
      </c>
      <c r="BS64" s="3285"/>
      <c r="BT64" s="3285"/>
      <c r="BU64" s="3285"/>
    </row>
    <row r="65" spans="1:73" hidden="1">
      <c r="A65" s="3267" t="s">
        <v>3687</v>
      </c>
      <c r="B65" s="3267" t="s">
        <v>3688</v>
      </c>
      <c r="C65" s="3267" t="s">
        <v>3689</v>
      </c>
      <c r="D65" s="3267">
        <v>13501199679</v>
      </c>
      <c r="E65" s="3267" t="s">
        <v>2985</v>
      </c>
      <c r="F65" s="3267" t="s">
        <v>3224</v>
      </c>
      <c r="G65" s="3267"/>
      <c r="H65" s="3267" t="s">
        <v>3150</v>
      </c>
      <c r="I65" s="3267"/>
      <c r="J65" s="3267" t="s">
        <v>3690</v>
      </c>
      <c r="K65" s="3267" t="s">
        <v>3691</v>
      </c>
      <c r="L65" s="3286">
        <v>83.56</v>
      </c>
      <c r="M65" s="3267">
        <v>16</v>
      </c>
      <c r="N65" s="3267" t="s">
        <v>3122</v>
      </c>
      <c r="O65" s="3267">
        <v>63.74</v>
      </c>
      <c r="P65" s="3267" t="s">
        <v>2963</v>
      </c>
      <c r="Q65" s="3267">
        <v>390000</v>
      </c>
      <c r="R65" s="3310">
        <v>4667</v>
      </c>
      <c r="S65" s="3311">
        <v>35.76</v>
      </c>
      <c r="T65" s="3312">
        <v>357600</v>
      </c>
      <c r="U65" s="3267">
        <v>4280</v>
      </c>
      <c r="V65" s="3289">
        <v>0.05</v>
      </c>
      <c r="W65" s="3272">
        <v>33.97</v>
      </c>
      <c r="X65" s="3312">
        <v>339700</v>
      </c>
      <c r="Y65" s="3267">
        <v>2006</v>
      </c>
      <c r="Z65" s="3267">
        <v>2</v>
      </c>
      <c r="AA65" s="3267">
        <v>10</v>
      </c>
      <c r="AB65" s="3295">
        <v>1070</v>
      </c>
      <c r="AC65" s="3267" t="s">
        <v>3227</v>
      </c>
      <c r="AD65" s="3267"/>
      <c r="AE65" s="3267" t="s">
        <v>3180</v>
      </c>
      <c r="AF65" s="3267" t="s">
        <v>2966</v>
      </c>
      <c r="AG65" s="3267" t="s">
        <v>2967</v>
      </c>
      <c r="AH65" s="3267"/>
      <c r="AI65" s="3267" t="s">
        <v>3115</v>
      </c>
      <c r="AJ65" s="3267"/>
      <c r="AK65" s="3267" t="s">
        <v>3140</v>
      </c>
      <c r="AL65" s="3267">
        <v>82253558</v>
      </c>
      <c r="AM65" s="3267"/>
      <c r="AN65" s="3267" t="s">
        <v>3131</v>
      </c>
      <c r="AO65" s="3267"/>
      <c r="AP65" s="3267" t="s">
        <v>3180</v>
      </c>
      <c r="AQ65" s="3267" t="s">
        <v>3113</v>
      </c>
      <c r="AR65" s="3267"/>
      <c r="AS65" s="3267"/>
      <c r="AT65" s="3267"/>
      <c r="AU65" s="3267"/>
      <c r="AV65" s="3267"/>
      <c r="AW65" s="3267" t="s">
        <v>3171</v>
      </c>
      <c r="AX65" s="3267"/>
      <c r="AY65" s="3267"/>
      <c r="AZ65" s="3267" t="s">
        <v>3691</v>
      </c>
      <c r="BA65" s="3267"/>
      <c r="BB65" s="3267"/>
      <c r="BC65" s="3267"/>
      <c r="BD65" s="3267"/>
      <c r="BE65" s="3267"/>
      <c r="BF65" s="3267"/>
      <c r="BG65" s="3284">
        <v>38730</v>
      </c>
      <c r="BH65" s="3267"/>
      <c r="BI65" s="3267" t="s">
        <v>3145</v>
      </c>
      <c r="BJ65" s="3284">
        <v>38730</v>
      </c>
      <c r="BK65" s="3267"/>
      <c r="BL65" s="3267" t="s">
        <v>2998</v>
      </c>
      <c r="BM65" s="3267" t="s">
        <v>2879</v>
      </c>
      <c r="BN65" s="3267" t="s">
        <v>2999</v>
      </c>
      <c r="BO65" s="3267" t="s">
        <v>3146</v>
      </c>
      <c r="BP65" s="3267"/>
      <c r="BQ65" s="3294">
        <v>5611</v>
      </c>
      <c r="BR65" s="3294">
        <v>6119</v>
      </c>
      <c r="BS65" s="3285"/>
      <c r="BT65" s="3285"/>
      <c r="BU65" s="3285"/>
    </row>
    <row r="66" spans="1:73" hidden="1">
      <c r="A66" s="3267" t="s">
        <v>3692</v>
      </c>
      <c r="B66" s="3268" t="s">
        <v>3693</v>
      </c>
      <c r="C66" s="3269" t="s">
        <v>3694</v>
      </c>
      <c r="D66" s="3268">
        <v>13651335583</v>
      </c>
      <c r="E66" s="3268" t="s">
        <v>2985</v>
      </c>
      <c r="F66" s="3268" t="s">
        <v>3286</v>
      </c>
      <c r="G66" s="3268"/>
      <c r="H66" s="3268" t="s">
        <v>3139</v>
      </c>
      <c r="I66" s="3268" t="s">
        <v>3586</v>
      </c>
      <c r="J66" s="3268" t="s">
        <v>3695</v>
      </c>
      <c r="K66" s="3268" t="s">
        <v>3696</v>
      </c>
      <c r="L66" s="3270">
        <v>83.72</v>
      </c>
      <c r="M66" s="3270">
        <v>10</v>
      </c>
      <c r="N66" s="3268" t="s">
        <v>3122</v>
      </c>
      <c r="O66" s="3270"/>
      <c r="P66" s="3268" t="s">
        <v>2963</v>
      </c>
      <c r="Q66" s="3271">
        <v>380000</v>
      </c>
      <c r="R66" s="3267">
        <v>4539</v>
      </c>
      <c r="S66" s="3272">
        <v>38.51</v>
      </c>
      <c r="T66" s="3273">
        <v>385100</v>
      </c>
      <c r="U66" s="3267">
        <v>4600</v>
      </c>
      <c r="V66" s="3289">
        <v>0.05</v>
      </c>
      <c r="W66" s="3272">
        <v>36.58</v>
      </c>
      <c r="X66" s="3275">
        <v>365800</v>
      </c>
      <c r="Y66" s="3276">
        <v>2006</v>
      </c>
      <c r="Z66" s="3276">
        <v>1</v>
      </c>
      <c r="AA66" s="3267">
        <v>20</v>
      </c>
      <c r="AB66" s="3267">
        <v>1155</v>
      </c>
      <c r="AC66" s="3267" t="s">
        <v>3227</v>
      </c>
      <c r="AD66" s="3268"/>
      <c r="AE66" s="3268" t="s">
        <v>3245</v>
      </c>
      <c r="AF66" s="3268" t="s">
        <v>2966</v>
      </c>
      <c r="AG66" s="3268" t="s">
        <v>2967</v>
      </c>
      <c r="AH66" s="3268"/>
      <c r="AI66" s="3267" t="s">
        <v>3115</v>
      </c>
      <c r="AJ66" s="3290"/>
      <c r="AK66" s="3267" t="s">
        <v>3131</v>
      </c>
      <c r="AL66" s="3276">
        <v>82253558</v>
      </c>
      <c r="AM66" s="3276"/>
      <c r="AN66" s="3267" t="s">
        <v>3099</v>
      </c>
      <c r="AO66" s="3276" t="s">
        <v>3697</v>
      </c>
      <c r="AP66" s="3276" t="s">
        <v>3245</v>
      </c>
      <c r="AQ66" s="3276" t="s">
        <v>3113</v>
      </c>
      <c r="AR66" s="3267"/>
      <c r="AS66" s="3267"/>
      <c r="AT66" s="3267"/>
      <c r="AU66" s="3267"/>
      <c r="AV66" s="3277"/>
      <c r="AW66" s="3276" t="s">
        <v>2997</v>
      </c>
      <c r="AX66" s="3276"/>
      <c r="AY66" s="3291"/>
      <c r="AZ66" s="3267" t="s">
        <v>3696</v>
      </c>
      <c r="BA66" s="3296"/>
      <c r="BB66" s="3297"/>
      <c r="BC66" s="3296"/>
      <c r="BD66" s="3298"/>
      <c r="BE66" s="3276"/>
      <c r="BF66" s="3281"/>
      <c r="BG66" s="3293">
        <v>38702</v>
      </c>
      <c r="BH66" s="3267"/>
      <c r="BI66" s="3267" t="s">
        <v>3344</v>
      </c>
      <c r="BJ66" s="3283">
        <v>38735</v>
      </c>
      <c r="BK66" s="3299"/>
      <c r="BL66" s="3267" t="s">
        <v>2998</v>
      </c>
      <c r="BM66" s="3267" t="s">
        <v>2879</v>
      </c>
      <c r="BN66" s="3267" t="s">
        <v>3111</v>
      </c>
      <c r="BO66" s="3267" t="s">
        <v>3146</v>
      </c>
      <c r="BP66" s="3276"/>
      <c r="BQ66" s="3276" t="e">
        <v>#DIV/0!</v>
      </c>
      <c r="BR66" s="3276" t="e">
        <v>#DIV/0!</v>
      </c>
      <c r="BS66" s="3285"/>
      <c r="BT66" s="3285"/>
      <c r="BU66" s="3285"/>
    </row>
    <row r="67" spans="1:73" hidden="1">
      <c r="A67" s="3267" t="s">
        <v>3698</v>
      </c>
      <c r="B67" s="3267" t="s">
        <v>3699</v>
      </c>
      <c r="C67" s="3269" t="s">
        <v>3700</v>
      </c>
      <c r="D67" s="3269" t="s">
        <v>3701</v>
      </c>
      <c r="E67" s="3267" t="s">
        <v>2985</v>
      </c>
      <c r="F67" s="3267" t="s">
        <v>3702</v>
      </c>
      <c r="G67" s="3267"/>
      <c r="H67" s="3267" t="s">
        <v>3703</v>
      </c>
      <c r="I67" s="3267"/>
      <c r="J67" s="3269" t="s">
        <v>3704</v>
      </c>
      <c r="K67" s="3267" t="s">
        <v>3705</v>
      </c>
      <c r="L67" s="3267">
        <v>88.68</v>
      </c>
      <c r="M67" s="3267">
        <v>21</v>
      </c>
      <c r="N67" s="3267" t="s">
        <v>3122</v>
      </c>
      <c r="O67" s="3267">
        <v>72.010000000000005</v>
      </c>
      <c r="P67" s="3267" t="s">
        <v>2963</v>
      </c>
      <c r="Q67" s="3271">
        <v>522000</v>
      </c>
      <c r="R67" s="3267">
        <v>5886</v>
      </c>
      <c r="S67" s="3272">
        <v>50.1</v>
      </c>
      <c r="T67" s="3273">
        <v>501000</v>
      </c>
      <c r="U67" s="3267">
        <v>5650</v>
      </c>
      <c r="V67" s="3289">
        <v>0.05</v>
      </c>
      <c r="W67" s="3272">
        <v>47.59</v>
      </c>
      <c r="X67" s="3275">
        <v>475900.00000000006</v>
      </c>
      <c r="Y67" s="3276">
        <v>2006</v>
      </c>
      <c r="Z67" s="3276">
        <v>1</v>
      </c>
      <c r="AA67" s="3276">
        <v>23</v>
      </c>
      <c r="AB67" s="3267">
        <v>1500</v>
      </c>
      <c r="AC67" s="3267" t="s">
        <v>3227</v>
      </c>
      <c r="AD67" s="3267"/>
      <c r="AE67" s="3276" t="s">
        <v>3180</v>
      </c>
      <c r="AF67" s="3267" t="s">
        <v>2966</v>
      </c>
      <c r="AG67" s="3267" t="s">
        <v>2967</v>
      </c>
      <c r="AH67" s="3267"/>
      <c r="AI67" s="3267" t="s">
        <v>3115</v>
      </c>
      <c r="AJ67" s="3284"/>
      <c r="AK67" s="3316" t="s">
        <v>3131</v>
      </c>
      <c r="AL67" s="3270" t="s">
        <v>3706</v>
      </c>
      <c r="AM67" s="3276"/>
      <c r="AN67" s="3276" t="s">
        <v>2994</v>
      </c>
      <c r="AO67" s="3276"/>
      <c r="AP67" s="3276" t="s">
        <v>3180</v>
      </c>
      <c r="AQ67" s="3276" t="s">
        <v>3113</v>
      </c>
      <c r="AR67" s="3276"/>
      <c r="AS67" s="3276"/>
      <c r="AT67" s="3276"/>
      <c r="AU67" s="3276"/>
      <c r="AV67" s="3276"/>
      <c r="AW67" s="3276" t="s">
        <v>2997</v>
      </c>
      <c r="AX67" s="3276"/>
      <c r="AY67" s="3291"/>
      <c r="AZ67" s="3276" t="s">
        <v>3705</v>
      </c>
      <c r="BA67" s="3276"/>
      <c r="BB67" s="3291"/>
      <c r="BC67" s="3276"/>
      <c r="BD67" s="3292"/>
      <c r="BE67" s="3276">
        <v>13381130009</v>
      </c>
      <c r="BF67" s="3281"/>
      <c r="BG67" s="3299">
        <v>38734</v>
      </c>
      <c r="BH67" s="3276"/>
      <c r="BI67" s="3276" t="s">
        <v>3267</v>
      </c>
      <c r="BJ67" s="3283">
        <v>38735</v>
      </c>
      <c r="BK67" s="3283"/>
      <c r="BL67" s="3267" t="s">
        <v>2998</v>
      </c>
      <c r="BM67" s="3276" t="s">
        <v>2879</v>
      </c>
      <c r="BN67" s="3267" t="s">
        <v>2999</v>
      </c>
      <c r="BO67" s="3267" t="s">
        <v>3000</v>
      </c>
      <c r="BP67" s="3276"/>
      <c r="BQ67" s="3276">
        <v>6957</v>
      </c>
      <c r="BR67" s="3276">
        <v>7249</v>
      </c>
      <c r="BS67" s="3285"/>
      <c r="BT67" s="3285"/>
      <c r="BU67" s="3285"/>
    </row>
    <row r="68" spans="1:73" hidden="1">
      <c r="A68" s="3267" t="s">
        <v>3707</v>
      </c>
      <c r="B68" s="3267" t="s">
        <v>3708</v>
      </c>
      <c r="C68" s="3269" t="s">
        <v>3709</v>
      </c>
      <c r="D68" s="3269" t="s">
        <v>3710</v>
      </c>
      <c r="E68" s="3267" t="s">
        <v>2985</v>
      </c>
      <c r="F68" s="3267" t="s">
        <v>3711</v>
      </c>
      <c r="G68" s="3267"/>
      <c r="H68" s="3267" t="s">
        <v>3712</v>
      </c>
      <c r="I68" s="3267"/>
      <c r="J68" s="3269" t="s">
        <v>3713</v>
      </c>
      <c r="K68" s="3267" t="s">
        <v>3714</v>
      </c>
      <c r="L68" s="3267">
        <v>58.18</v>
      </c>
      <c r="M68" s="3267">
        <v>2</v>
      </c>
      <c r="N68" s="3267" t="s">
        <v>3122</v>
      </c>
      <c r="O68" s="3267"/>
      <c r="P68" s="3267" t="s">
        <v>2963</v>
      </c>
      <c r="Q68" s="3271">
        <v>420000</v>
      </c>
      <c r="R68" s="3288">
        <v>7219</v>
      </c>
      <c r="S68" s="3272">
        <v>36.07</v>
      </c>
      <c r="T68" s="3273">
        <v>360700</v>
      </c>
      <c r="U68" s="3267">
        <v>6200</v>
      </c>
      <c r="V68" s="3289">
        <v>0.05</v>
      </c>
      <c r="W68" s="3272">
        <v>34.26</v>
      </c>
      <c r="X68" s="3273">
        <v>342600</v>
      </c>
      <c r="Y68" s="3267">
        <v>2006</v>
      </c>
      <c r="Z68" s="3267">
        <v>1</v>
      </c>
      <c r="AA68" s="3276">
        <v>25</v>
      </c>
      <c r="AB68" s="3267">
        <v>1080</v>
      </c>
      <c r="AC68" s="3267" t="s">
        <v>3227</v>
      </c>
      <c r="AD68" s="3267"/>
      <c r="AE68" s="3268" t="s">
        <v>3245</v>
      </c>
      <c r="AF68" s="3267" t="s">
        <v>2966</v>
      </c>
      <c r="AG68" s="3267" t="s">
        <v>2967</v>
      </c>
      <c r="AH68" s="3267"/>
      <c r="AI68" s="3267"/>
      <c r="AJ68" s="3284"/>
      <c r="AK68" s="3267" t="s">
        <v>3131</v>
      </c>
      <c r="AL68" s="3267">
        <v>82253558</v>
      </c>
      <c r="AM68" s="3276"/>
      <c r="AN68" s="3267" t="s">
        <v>3131</v>
      </c>
      <c r="AO68" s="3276" t="s">
        <v>3715</v>
      </c>
      <c r="AP68" s="3276" t="s">
        <v>3245</v>
      </c>
      <c r="AQ68" s="3267" t="s">
        <v>3113</v>
      </c>
      <c r="AR68" s="3276"/>
      <c r="AS68" s="3276"/>
      <c r="AT68" s="3276"/>
      <c r="AU68" s="3276"/>
      <c r="AV68" s="3276"/>
      <c r="AW68" s="3267" t="s">
        <v>3119</v>
      </c>
      <c r="AX68" s="3276"/>
      <c r="AY68" s="3291"/>
      <c r="AZ68" s="3267" t="s">
        <v>3714</v>
      </c>
      <c r="BA68" s="3276"/>
      <c r="BB68" s="3291"/>
      <c r="BC68" s="3276"/>
      <c r="BD68" s="3292"/>
      <c r="BE68" s="3276"/>
      <c r="BF68" s="3281"/>
      <c r="BG68" s="3284"/>
      <c r="BH68" s="3276"/>
      <c r="BI68" s="3276" t="s">
        <v>3245</v>
      </c>
      <c r="BJ68" s="3307">
        <v>38736</v>
      </c>
      <c r="BK68" s="3283"/>
      <c r="BL68" s="3267" t="s">
        <v>2998</v>
      </c>
      <c r="BM68" s="3276" t="s">
        <v>3345</v>
      </c>
      <c r="BN68" s="3276" t="s">
        <v>2999</v>
      </c>
      <c r="BO68" s="3267" t="s">
        <v>3146</v>
      </c>
      <c r="BP68" s="3276"/>
      <c r="BQ68" s="3276" t="e">
        <v>#DIV/0!</v>
      </c>
      <c r="BR68" s="3276" t="e">
        <v>#DIV/0!</v>
      </c>
      <c r="BS68" s="3285"/>
      <c r="BT68" s="3285"/>
      <c r="BU68" s="3285"/>
    </row>
    <row r="69" spans="1:73" hidden="1">
      <c r="A69" s="3267" t="s">
        <v>3716</v>
      </c>
      <c r="B69" s="3268" t="s">
        <v>3717</v>
      </c>
      <c r="C69" s="3269" t="s">
        <v>3718</v>
      </c>
      <c r="D69" s="3268">
        <v>13641214383</v>
      </c>
      <c r="E69" s="3268" t="s">
        <v>2985</v>
      </c>
      <c r="F69" s="3268" t="s">
        <v>3719</v>
      </c>
      <c r="G69" s="3268"/>
      <c r="H69" s="3268" t="s">
        <v>3720</v>
      </c>
      <c r="I69" s="3268"/>
      <c r="J69" s="3268" t="s">
        <v>3721</v>
      </c>
      <c r="K69" s="3268" t="s">
        <v>3722</v>
      </c>
      <c r="L69" s="3270">
        <v>86.24</v>
      </c>
      <c r="M69" s="3270">
        <v>13</v>
      </c>
      <c r="N69" s="3268" t="s">
        <v>3122</v>
      </c>
      <c r="O69" s="3270"/>
      <c r="P69" s="3268" t="s">
        <v>2963</v>
      </c>
      <c r="Q69" s="3271">
        <v>555000</v>
      </c>
      <c r="R69" s="3271">
        <v>6436</v>
      </c>
      <c r="S69" s="3272">
        <v>47.43</v>
      </c>
      <c r="T69" s="3273">
        <v>474300</v>
      </c>
      <c r="U69" s="3267">
        <v>5500</v>
      </c>
      <c r="V69" s="3274">
        <v>0.05</v>
      </c>
      <c r="W69" s="3272">
        <v>45.05</v>
      </c>
      <c r="X69" s="3273">
        <v>450500</v>
      </c>
      <c r="Y69" s="3276">
        <v>2006</v>
      </c>
      <c r="Z69" s="3276">
        <v>1</v>
      </c>
      <c r="AA69" s="3267">
        <v>25</v>
      </c>
      <c r="AB69" s="3267">
        <v>1420</v>
      </c>
      <c r="AC69" s="3267" t="s">
        <v>3227</v>
      </c>
      <c r="AD69" s="3268"/>
      <c r="AE69" s="3276" t="s">
        <v>3245</v>
      </c>
      <c r="AF69" s="3268" t="s">
        <v>2966</v>
      </c>
      <c r="AG69" s="3268" t="s">
        <v>2967</v>
      </c>
      <c r="AH69" s="3268"/>
      <c r="AI69" s="3267" t="s">
        <v>3295</v>
      </c>
      <c r="AJ69" s="3290"/>
      <c r="AK69" s="3278" t="s">
        <v>3131</v>
      </c>
      <c r="AL69" s="3276">
        <v>82253558</v>
      </c>
      <c r="AM69" s="3276"/>
      <c r="AN69" s="3279" t="s">
        <v>3099</v>
      </c>
      <c r="AO69" s="3276" t="s">
        <v>3723</v>
      </c>
      <c r="AP69" s="3276" t="s">
        <v>3245</v>
      </c>
      <c r="AQ69" s="3267" t="s">
        <v>3113</v>
      </c>
      <c r="AR69" s="3267"/>
      <c r="AS69" s="3267"/>
      <c r="AT69" s="3267"/>
      <c r="AU69" s="3267"/>
      <c r="AV69" s="3277"/>
      <c r="AW69" s="3267" t="s">
        <v>2997</v>
      </c>
      <c r="AX69" s="3268"/>
      <c r="AY69" s="3268"/>
      <c r="AZ69" s="3268" t="s">
        <v>3722</v>
      </c>
      <c r="BA69" s="3268"/>
      <c r="BB69" s="3280"/>
      <c r="BC69" s="3268"/>
      <c r="BD69" s="3268"/>
      <c r="BE69" s="3268"/>
      <c r="BF69" s="3281"/>
      <c r="BG69" s="3307">
        <v>38736</v>
      </c>
      <c r="BH69" s="3268"/>
      <c r="BI69" s="3268" t="s">
        <v>3245</v>
      </c>
      <c r="BJ69" s="3283">
        <v>38737</v>
      </c>
      <c r="BK69" s="3284"/>
      <c r="BL69" s="3267" t="s">
        <v>3249</v>
      </c>
      <c r="BM69" s="3276" t="s">
        <v>2879</v>
      </c>
      <c r="BN69" s="3267" t="s">
        <v>3111</v>
      </c>
      <c r="BO69" s="3276" t="s">
        <v>3146</v>
      </c>
      <c r="BP69" s="3276"/>
      <c r="BQ69" s="3276" t="e">
        <v>#DIV/0!</v>
      </c>
      <c r="BR69" s="3276" t="e">
        <v>#DIV/0!</v>
      </c>
      <c r="BS69" s="3285"/>
      <c r="BT69" s="3285"/>
      <c r="BU69" s="3285"/>
    </row>
    <row r="70" spans="1:73" hidden="1">
      <c r="A70" s="3267" t="s">
        <v>3724</v>
      </c>
      <c r="B70" s="3267" t="s">
        <v>3725</v>
      </c>
      <c r="C70" s="3269" t="s">
        <v>3726</v>
      </c>
      <c r="D70" s="3267">
        <v>13701375065</v>
      </c>
      <c r="E70" s="3267" t="s">
        <v>2985</v>
      </c>
      <c r="F70" s="3267" t="s">
        <v>3350</v>
      </c>
      <c r="G70" s="3267"/>
      <c r="H70" s="3267" t="s">
        <v>3727</v>
      </c>
      <c r="I70" s="3267" t="s">
        <v>3318</v>
      </c>
      <c r="J70" s="3267" t="s">
        <v>3301</v>
      </c>
      <c r="K70" s="3267" t="s">
        <v>3728</v>
      </c>
      <c r="L70" s="3300">
        <v>72.33</v>
      </c>
      <c r="M70" s="3267">
        <v>5</v>
      </c>
      <c r="N70" s="3267" t="s">
        <v>3122</v>
      </c>
      <c r="O70" s="3267"/>
      <c r="P70" s="3267" t="s">
        <v>2963</v>
      </c>
      <c r="Q70" s="3317">
        <v>379815</v>
      </c>
      <c r="R70" s="3267">
        <v>5251</v>
      </c>
      <c r="S70" s="3318">
        <v>40.5</v>
      </c>
      <c r="T70" s="3273">
        <v>405000</v>
      </c>
      <c r="U70" s="3317">
        <v>5600</v>
      </c>
      <c r="V70" s="3289">
        <v>0.2</v>
      </c>
      <c r="W70" s="3318">
        <v>32.4</v>
      </c>
      <c r="X70" s="3273">
        <v>324000</v>
      </c>
      <c r="Y70" s="3267">
        <v>2006</v>
      </c>
      <c r="Z70" s="3267">
        <v>1</v>
      </c>
      <c r="AA70" s="3276">
        <v>23</v>
      </c>
      <c r="AB70" s="3267">
        <v>1215</v>
      </c>
      <c r="AC70" s="3267" t="s">
        <v>3110</v>
      </c>
      <c r="AD70" s="3267"/>
      <c r="AE70" s="3268" t="s">
        <v>3245</v>
      </c>
      <c r="AF70" s="3267" t="s">
        <v>2966</v>
      </c>
      <c r="AG70" s="3267" t="s">
        <v>2967</v>
      </c>
      <c r="AH70" s="3267" t="s">
        <v>2968</v>
      </c>
      <c r="AI70" s="3268" t="s">
        <v>3295</v>
      </c>
      <c r="AJ70" s="3284"/>
      <c r="AK70" s="3278" t="s">
        <v>3131</v>
      </c>
      <c r="AL70" s="3276">
        <v>82253558</v>
      </c>
      <c r="AM70" s="3267"/>
      <c r="AN70" s="3267" t="s">
        <v>3114</v>
      </c>
      <c r="AO70" s="3276" t="s">
        <v>3729</v>
      </c>
      <c r="AP70" s="3276" t="s">
        <v>3245</v>
      </c>
      <c r="AQ70" s="3267" t="s">
        <v>3113</v>
      </c>
      <c r="AR70" s="3267"/>
      <c r="AS70" s="3267"/>
      <c r="AT70" s="3267"/>
      <c r="AU70" s="3267"/>
      <c r="AV70" s="3267" t="s">
        <v>2968</v>
      </c>
      <c r="AW70" s="3267" t="s">
        <v>3112</v>
      </c>
      <c r="AX70" s="3267"/>
      <c r="AY70" s="3267"/>
      <c r="AZ70" s="3267" t="s">
        <v>3728</v>
      </c>
      <c r="BA70" s="3267"/>
      <c r="BB70" s="3267"/>
      <c r="BC70" s="3267"/>
      <c r="BD70" s="3267"/>
      <c r="BE70" s="3267" t="s">
        <v>2968</v>
      </c>
      <c r="BF70" s="3267"/>
      <c r="BG70" s="3284"/>
      <c r="BH70" s="3267" t="s">
        <v>2998</v>
      </c>
      <c r="BI70" s="3276" t="s">
        <v>3245</v>
      </c>
      <c r="BJ70" s="3284"/>
      <c r="BK70" s="3284"/>
      <c r="BL70" s="3267" t="s">
        <v>3249</v>
      </c>
      <c r="BM70" s="3276" t="s">
        <v>2879</v>
      </c>
      <c r="BN70" s="3267" t="s">
        <v>2999</v>
      </c>
      <c r="BO70" s="3267" t="s">
        <v>3146</v>
      </c>
      <c r="BP70" s="3267"/>
      <c r="BQ70" s="3276" t="e">
        <v>#DIV/0!</v>
      </c>
      <c r="BR70" s="3276" t="e">
        <v>#DIV/0!</v>
      </c>
      <c r="BS70" s="3285"/>
      <c r="BT70" s="3285"/>
      <c r="BU70" s="3285"/>
    </row>
    <row r="71" spans="1:73" hidden="1">
      <c r="A71" s="3267" t="s">
        <v>3730</v>
      </c>
      <c r="B71" s="3268" t="s">
        <v>3731</v>
      </c>
      <c r="C71" s="3269" t="s">
        <v>3732</v>
      </c>
      <c r="D71" s="3268">
        <v>13146539784</v>
      </c>
      <c r="E71" s="3268" t="s">
        <v>2985</v>
      </c>
      <c r="F71" s="3268" t="s">
        <v>3733</v>
      </c>
      <c r="G71" s="3268"/>
      <c r="H71" s="3268" t="s">
        <v>3183</v>
      </c>
      <c r="I71" s="3268"/>
      <c r="J71" s="3268" t="s">
        <v>3734</v>
      </c>
      <c r="K71" s="3268" t="s">
        <v>3735</v>
      </c>
      <c r="L71" s="3270">
        <v>55.11</v>
      </c>
      <c r="M71" s="3270">
        <v>6</v>
      </c>
      <c r="N71" s="3267" t="s">
        <v>3122</v>
      </c>
      <c r="O71" s="3270"/>
      <c r="P71" s="3268" t="s">
        <v>2963</v>
      </c>
      <c r="Q71" s="3271">
        <v>355000</v>
      </c>
      <c r="R71" s="3271">
        <v>6442</v>
      </c>
      <c r="S71" s="3272">
        <v>29.2</v>
      </c>
      <c r="T71" s="3273">
        <v>292000</v>
      </c>
      <c r="U71" s="3267">
        <v>5300</v>
      </c>
      <c r="V71" s="3274">
        <v>0.05</v>
      </c>
      <c r="W71" s="3272">
        <v>27.74</v>
      </c>
      <c r="X71" s="3273">
        <v>277400</v>
      </c>
      <c r="Y71" s="3276">
        <v>2006</v>
      </c>
      <c r="Z71" s="3276">
        <v>1</v>
      </c>
      <c r="AA71" s="3267">
        <v>25</v>
      </c>
      <c r="AB71" s="3276">
        <v>875</v>
      </c>
      <c r="AC71" s="3267" t="s">
        <v>3227</v>
      </c>
      <c r="AD71" s="3268"/>
      <c r="AE71" s="3276" t="s">
        <v>3245</v>
      </c>
      <c r="AF71" s="3268" t="s">
        <v>2966</v>
      </c>
      <c r="AG71" s="3268" t="s">
        <v>2967</v>
      </c>
      <c r="AH71" s="3268"/>
      <c r="AI71" s="3279" t="s">
        <v>3295</v>
      </c>
      <c r="AJ71" s="3290"/>
      <c r="AK71" s="3278" t="s">
        <v>3131</v>
      </c>
      <c r="AL71" s="3276">
        <v>82253558</v>
      </c>
      <c r="AM71" s="3276"/>
      <c r="AN71" s="3279" t="s">
        <v>3140</v>
      </c>
      <c r="AO71" s="3276" t="s">
        <v>3736</v>
      </c>
      <c r="AP71" s="3276" t="s">
        <v>3245</v>
      </c>
      <c r="AQ71" s="3276" t="s">
        <v>3113</v>
      </c>
      <c r="AR71" s="3267"/>
      <c r="AS71" s="3267"/>
      <c r="AT71" s="3267"/>
      <c r="AU71" s="3267"/>
      <c r="AV71" s="3277"/>
      <c r="AW71" s="3268" t="s">
        <v>3112</v>
      </c>
      <c r="AX71" s="3268"/>
      <c r="AY71" s="3268"/>
      <c r="AZ71" s="3268" t="s">
        <v>3735</v>
      </c>
      <c r="BA71" s="3268"/>
      <c r="BB71" s="3280"/>
      <c r="BC71" s="3268"/>
      <c r="BD71" s="3268"/>
      <c r="BE71" s="3268"/>
      <c r="BF71" s="3281"/>
      <c r="BG71" s="3307">
        <v>38712</v>
      </c>
      <c r="BH71" s="3268"/>
      <c r="BI71" s="3276" t="s">
        <v>3245</v>
      </c>
      <c r="BJ71" s="3283">
        <v>38737</v>
      </c>
      <c r="BK71" s="3284"/>
      <c r="BL71" s="3267" t="s">
        <v>3249</v>
      </c>
      <c r="BM71" s="3276" t="s">
        <v>2879</v>
      </c>
      <c r="BN71" s="3267" t="s">
        <v>2999</v>
      </c>
      <c r="BO71" s="3267" t="s">
        <v>3446</v>
      </c>
      <c r="BP71" s="3276"/>
      <c r="BQ71" s="3276" t="e">
        <v>#DIV/0!</v>
      </c>
      <c r="BR71" s="3276" t="e">
        <v>#DIV/0!</v>
      </c>
      <c r="BS71" s="3285"/>
      <c r="BT71" s="3285"/>
      <c r="BU71" s="3285"/>
    </row>
    <row r="72" spans="1:73" hidden="1">
      <c r="A72" s="3267" t="s">
        <v>3737</v>
      </c>
      <c r="B72" s="3267" t="s">
        <v>3738</v>
      </c>
      <c r="C72" s="3269" t="s">
        <v>3739</v>
      </c>
      <c r="D72" s="3269" t="s">
        <v>3740</v>
      </c>
      <c r="E72" s="3267" t="s">
        <v>2985</v>
      </c>
      <c r="F72" s="3268" t="s">
        <v>3741</v>
      </c>
      <c r="G72" s="3267"/>
      <c r="H72" s="3267" t="s">
        <v>3742</v>
      </c>
      <c r="I72" s="3267" t="s">
        <v>3608</v>
      </c>
      <c r="J72" s="3269" t="s">
        <v>3133</v>
      </c>
      <c r="K72" s="3268" t="s">
        <v>3743</v>
      </c>
      <c r="L72" s="3286">
        <v>57.59</v>
      </c>
      <c r="M72" s="3267">
        <v>1</v>
      </c>
      <c r="N72" s="3267" t="s">
        <v>3122</v>
      </c>
      <c r="O72" s="3267"/>
      <c r="P72" s="3267" t="s">
        <v>2963</v>
      </c>
      <c r="Q72" s="3271">
        <v>400000</v>
      </c>
      <c r="R72" s="3267">
        <v>6946</v>
      </c>
      <c r="S72" s="3272">
        <v>37.81</v>
      </c>
      <c r="T72" s="3273">
        <v>378100</v>
      </c>
      <c r="U72" s="3267">
        <v>6566</v>
      </c>
      <c r="V72" s="3289">
        <v>0.05</v>
      </c>
      <c r="W72" s="3272">
        <v>35.909999999999997</v>
      </c>
      <c r="X72" s="3275">
        <v>359099.99999999994</v>
      </c>
      <c r="Y72" s="3276">
        <v>2006</v>
      </c>
      <c r="Z72" s="3267">
        <v>1</v>
      </c>
      <c r="AA72" s="3276">
        <v>27</v>
      </c>
      <c r="AB72" s="3267">
        <v>1130</v>
      </c>
      <c r="AC72" s="3267" t="s">
        <v>3227</v>
      </c>
      <c r="AD72" s="3267"/>
      <c r="AE72" s="3279" t="s">
        <v>3344</v>
      </c>
      <c r="AF72" s="3267" t="s">
        <v>2966</v>
      </c>
      <c r="AG72" s="3267" t="s">
        <v>2967</v>
      </c>
      <c r="AH72" s="3267"/>
      <c r="AI72" s="3279" t="s">
        <v>3176</v>
      </c>
      <c r="AJ72" s="3284"/>
      <c r="AK72" s="3278">
        <v>1</v>
      </c>
      <c r="AL72" s="3267">
        <v>82253558</v>
      </c>
      <c r="AM72" s="3276"/>
      <c r="AN72" s="3279" t="s">
        <v>2994</v>
      </c>
      <c r="AO72" s="3276" t="s">
        <v>3744</v>
      </c>
      <c r="AP72" s="3279" t="s">
        <v>3344</v>
      </c>
      <c r="AQ72" s="3276" t="s">
        <v>3113</v>
      </c>
      <c r="AR72" s="3276"/>
      <c r="AS72" s="3276"/>
      <c r="AT72" s="3276"/>
      <c r="AU72" s="3276"/>
      <c r="AV72" s="3276"/>
      <c r="AW72" s="3276" t="s">
        <v>3112</v>
      </c>
      <c r="AX72" s="3276"/>
      <c r="AY72" s="3291"/>
      <c r="AZ72" s="3276" t="s">
        <v>3743</v>
      </c>
      <c r="BA72" s="3276"/>
      <c r="BB72" s="3291"/>
      <c r="BC72" s="3276"/>
      <c r="BD72" s="3292"/>
      <c r="BE72" s="3276">
        <v>67666484</v>
      </c>
      <c r="BF72" s="3281"/>
      <c r="BG72" s="3299">
        <v>38669</v>
      </c>
      <c r="BH72" s="3276"/>
      <c r="BI72" s="3279" t="s">
        <v>3344</v>
      </c>
      <c r="BJ72" s="3283">
        <v>38742</v>
      </c>
      <c r="BK72" s="3283"/>
      <c r="BL72" s="3276" t="s">
        <v>2998</v>
      </c>
      <c r="BM72" s="3276" t="s">
        <v>2879</v>
      </c>
      <c r="BN72" s="3276" t="s">
        <v>2999</v>
      </c>
      <c r="BO72" s="3276" t="s">
        <v>3146</v>
      </c>
      <c r="BP72" s="3276"/>
      <c r="BQ72" s="3276" t="e">
        <v>#DIV/0!</v>
      </c>
      <c r="BR72" s="3276" t="e">
        <v>#DIV/0!</v>
      </c>
      <c r="BS72" s="3285"/>
      <c r="BT72" s="3285"/>
      <c r="BU72" s="3285"/>
    </row>
    <row r="73" spans="1:73" hidden="1">
      <c r="A73" s="3267" t="s">
        <v>3745</v>
      </c>
      <c r="B73" s="3267" t="s">
        <v>3746</v>
      </c>
      <c r="C73" s="3269" t="s">
        <v>3747</v>
      </c>
      <c r="D73" s="3267">
        <v>13810352651</v>
      </c>
      <c r="E73" s="3267" t="s">
        <v>2985</v>
      </c>
      <c r="F73" s="3267" t="s">
        <v>3748</v>
      </c>
      <c r="G73" s="3267"/>
      <c r="H73" s="3267" t="s">
        <v>3130</v>
      </c>
      <c r="I73" s="3267"/>
      <c r="J73" s="3267" t="s">
        <v>3749</v>
      </c>
      <c r="K73" s="3268" t="s">
        <v>3750</v>
      </c>
      <c r="L73" s="3286">
        <v>106.69</v>
      </c>
      <c r="M73" s="3267">
        <v>13</v>
      </c>
      <c r="N73" s="3267" t="s">
        <v>3122</v>
      </c>
      <c r="O73" s="3267"/>
      <c r="P73" s="3267" t="s">
        <v>2963</v>
      </c>
      <c r="Q73" s="3267">
        <v>700000</v>
      </c>
      <c r="R73" s="3267">
        <v>6561</v>
      </c>
      <c r="S73" s="3272">
        <v>66.569999999999993</v>
      </c>
      <c r="T73" s="3273">
        <v>665699.99999999988</v>
      </c>
      <c r="U73" s="3267">
        <v>6240</v>
      </c>
      <c r="V73" s="3274">
        <v>0.05</v>
      </c>
      <c r="W73" s="3272">
        <v>63.24</v>
      </c>
      <c r="X73" s="3275">
        <v>632400</v>
      </c>
      <c r="Y73" s="3267">
        <v>2006</v>
      </c>
      <c r="Z73" s="3267">
        <v>2</v>
      </c>
      <c r="AA73" s="3276">
        <v>7</v>
      </c>
      <c r="AB73" s="3267">
        <v>1500</v>
      </c>
      <c r="AC73" s="3267" t="s">
        <v>3227</v>
      </c>
      <c r="AD73" s="3267"/>
      <c r="AE73" s="3294" t="s">
        <v>3180</v>
      </c>
      <c r="AF73" s="3267" t="s">
        <v>2966</v>
      </c>
      <c r="AG73" s="3267" t="s">
        <v>2967</v>
      </c>
      <c r="AH73" s="3267" t="s">
        <v>3751</v>
      </c>
      <c r="AI73" s="3295" t="s">
        <v>3115</v>
      </c>
      <c r="AJ73" s="3315"/>
      <c r="AK73" s="3267" t="s">
        <v>3140</v>
      </c>
      <c r="AL73" s="3267">
        <v>82253558</v>
      </c>
      <c r="AM73" s="3267"/>
      <c r="AN73" s="3267" t="s">
        <v>3131</v>
      </c>
      <c r="AO73" s="3267" t="s">
        <v>2968</v>
      </c>
      <c r="AP73" s="3267" t="s">
        <v>3180</v>
      </c>
      <c r="AQ73" s="3267" t="s">
        <v>3113</v>
      </c>
      <c r="AR73" s="3267"/>
      <c r="AS73" s="3267"/>
      <c r="AT73" s="3267"/>
      <c r="AU73" s="3267"/>
      <c r="AV73" s="3267"/>
      <c r="AW73" s="3267" t="s">
        <v>2997</v>
      </c>
      <c r="AX73" s="3267"/>
      <c r="AY73" s="3269"/>
      <c r="AZ73" s="3267" t="s">
        <v>3750</v>
      </c>
      <c r="BA73" s="3267"/>
      <c r="BB73" s="3267"/>
      <c r="BC73" s="3267"/>
      <c r="BD73" s="3267"/>
      <c r="BE73" s="3267"/>
      <c r="BF73" s="3267"/>
      <c r="BG73" s="3307">
        <v>38720</v>
      </c>
      <c r="BH73" s="3267"/>
      <c r="BI73" s="3267" t="s">
        <v>3180</v>
      </c>
      <c r="BJ73" s="3283">
        <v>38742</v>
      </c>
      <c r="BK73" s="3283"/>
      <c r="BL73" s="3267" t="s">
        <v>2998</v>
      </c>
      <c r="BM73" s="3267" t="s">
        <v>2879</v>
      </c>
      <c r="BN73" s="3267" t="s">
        <v>2999</v>
      </c>
      <c r="BO73" s="3267" t="s">
        <v>3000</v>
      </c>
      <c r="BP73" s="3267"/>
      <c r="BQ73" s="3276" t="e">
        <v>#DIV/0!</v>
      </c>
      <c r="BR73" s="3276" t="e">
        <v>#DIV/0!</v>
      </c>
      <c r="BS73" s="3285"/>
      <c r="BT73" s="3285"/>
      <c r="BU73" s="3285"/>
    </row>
    <row r="74" spans="1:73">
      <c r="A74" s="3267" t="s">
        <v>3752</v>
      </c>
      <c r="B74" s="3268" t="s">
        <v>3753</v>
      </c>
      <c r="C74" s="3269" t="s">
        <v>3754</v>
      </c>
      <c r="D74" s="3268">
        <v>13552122334</v>
      </c>
      <c r="E74" s="3268" t="s">
        <v>2985</v>
      </c>
      <c r="F74" s="3268" t="s">
        <v>3286</v>
      </c>
      <c r="G74" s="3268"/>
      <c r="H74" s="3268" t="s">
        <v>3139</v>
      </c>
      <c r="I74" s="3268" t="s">
        <v>3254</v>
      </c>
      <c r="J74" s="3268" t="s">
        <v>3634</v>
      </c>
      <c r="K74" s="3268" t="s">
        <v>3755</v>
      </c>
      <c r="L74" s="3286">
        <v>83.72</v>
      </c>
      <c r="M74" s="3270">
        <v>7</v>
      </c>
      <c r="N74" s="3268" t="s">
        <v>3122</v>
      </c>
      <c r="O74" s="3270"/>
      <c r="P74" s="3268" t="s">
        <v>2963</v>
      </c>
      <c r="Q74" s="3271">
        <v>480000</v>
      </c>
      <c r="R74" s="3267">
        <v>5733</v>
      </c>
      <c r="S74" s="3272">
        <v>41.86</v>
      </c>
      <c r="T74" s="3273">
        <v>418600</v>
      </c>
      <c r="U74" s="3267">
        <v>5000</v>
      </c>
      <c r="V74" s="3289">
        <v>0.05</v>
      </c>
      <c r="W74" s="3272">
        <v>39.76</v>
      </c>
      <c r="X74" s="3275">
        <v>397600</v>
      </c>
      <c r="Y74" s="3276">
        <v>2006</v>
      </c>
      <c r="Z74" s="3276">
        <v>2</v>
      </c>
      <c r="AA74" s="3267">
        <v>13</v>
      </c>
      <c r="AB74" s="3267">
        <v>1255</v>
      </c>
      <c r="AC74" s="3267" t="s">
        <v>3227</v>
      </c>
      <c r="AD74" s="3268"/>
      <c r="AE74" s="3268" t="s">
        <v>3245</v>
      </c>
      <c r="AF74" s="3268" t="s">
        <v>2966</v>
      </c>
      <c r="AG74" s="3268" t="s">
        <v>2967</v>
      </c>
      <c r="AH74" s="3268"/>
      <c r="AI74" s="3295"/>
      <c r="AJ74" s="3290"/>
      <c r="AK74" s="3295" t="s">
        <v>3140</v>
      </c>
      <c r="AL74" s="3276">
        <v>82253558</v>
      </c>
      <c r="AM74" s="3276"/>
      <c r="AN74" s="3295" t="s">
        <v>3099</v>
      </c>
      <c r="AO74" s="3267"/>
      <c r="AP74" s="3276" t="s">
        <v>3245</v>
      </c>
      <c r="AQ74" s="3294" t="s">
        <v>3113</v>
      </c>
      <c r="AR74" s="3267"/>
      <c r="AS74" s="3267"/>
      <c r="AT74" s="3267"/>
      <c r="AU74" s="3267"/>
      <c r="AV74" s="3277"/>
      <c r="AW74" s="3276" t="s">
        <v>2997</v>
      </c>
      <c r="AX74" s="3276"/>
      <c r="AY74" s="3291"/>
      <c r="AZ74" s="3267" t="s">
        <v>3755</v>
      </c>
      <c r="BA74" s="3296"/>
      <c r="BB74" s="3297"/>
      <c r="BC74" s="3296"/>
      <c r="BD74" s="3298"/>
      <c r="BE74" s="3276"/>
      <c r="BF74" s="3281"/>
      <c r="BG74" s="3293">
        <v>38755</v>
      </c>
      <c r="BH74" s="3267"/>
      <c r="BI74" s="3294" t="s">
        <v>3245</v>
      </c>
      <c r="BJ74" s="3283">
        <v>38757</v>
      </c>
      <c r="BK74" s="3299"/>
      <c r="BL74" s="3295" t="s">
        <v>2998</v>
      </c>
      <c r="BM74" s="3267" t="s">
        <v>2879</v>
      </c>
      <c r="BN74" s="3267" t="s">
        <v>3111</v>
      </c>
      <c r="BO74" s="3267" t="s">
        <v>3146</v>
      </c>
      <c r="BP74" s="3276"/>
      <c r="BQ74" s="3276" t="e">
        <v>#DIV/0!</v>
      </c>
      <c r="BR74" s="3276" t="e">
        <v>#DIV/0!</v>
      </c>
      <c r="BS74" s="3285"/>
      <c r="BT74" s="3285"/>
      <c r="BU74" s="3285"/>
    </row>
    <row r="75" spans="1:73" hidden="1">
      <c r="A75" s="3267" t="s">
        <v>3756</v>
      </c>
      <c r="B75" s="3267" t="s">
        <v>3757</v>
      </c>
      <c r="C75" s="3269" t="s">
        <v>3758</v>
      </c>
      <c r="D75" s="3267">
        <v>13381112297</v>
      </c>
      <c r="E75" s="3267" t="s">
        <v>2985</v>
      </c>
      <c r="F75" s="3267" t="s">
        <v>3759</v>
      </c>
      <c r="G75" s="3267"/>
      <c r="H75" s="3267" t="s">
        <v>3097</v>
      </c>
      <c r="I75" s="3267"/>
      <c r="J75" s="3267" t="s">
        <v>3165</v>
      </c>
      <c r="K75" s="3268" t="s">
        <v>3760</v>
      </c>
      <c r="L75" s="3270">
        <v>37.72</v>
      </c>
      <c r="M75" s="3267">
        <v>6</v>
      </c>
      <c r="N75" s="3267" t="s">
        <v>3152</v>
      </c>
      <c r="O75" s="3267"/>
      <c r="P75" s="3267" t="s">
        <v>2963</v>
      </c>
      <c r="Q75" s="3267">
        <v>265000</v>
      </c>
      <c r="R75" s="3267">
        <v>7025</v>
      </c>
      <c r="S75" s="3272">
        <v>23.55</v>
      </c>
      <c r="T75" s="3273">
        <v>235500</v>
      </c>
      <c r="U75" s="3267">
        <v>6244</v>
      </c>
      <c r="V75" s="3274">
        <v>0.05</v>
      </c>
      <c r="W75" s="3272">
        <v>22.37</v>
      </c>
      <c r="X75" s="3275">
        <v>223700</v>
      </c>
      <c r="Y75" s="3267">
        <v>2006</v>
      </c>
      <c r="Z75" s="3267">
        <v>3</v>
      </c>
      <c r="AA75" s="3276">
        <v>7</v>
      </c>
      <c r="AB75" s="3267">
        <v>705</v>
      </c>
      <c r="AC75" s="3267" t="s">
        <v>3227</v>
      </c>
      <c r="AD75" s="3267"/>
      <c r="AE75" s="3294" t="s">
        <v>2991</v>
      </c>
      <c r="AF75" s="3267" t="s">
        <v>2966</v>
      </c>
      <c r="AG75" s="3267" t="s">
        <v>2967</v>
      </c>
      <c r="AH75" s="3267"/>
      <c r="AI75" s="3267" t="s">
        <v>3115</v>
      </c>
      <c r="AJ75" s="3315"/>
      <c r="AK75" s="3267" t="s">
        <v>3114</v>
      </c>
      <c r="AL75" s="3267">
        <v>82253558</v>
      </c>
      <c r="AM75" s="3267"/>
      <c r="AN75" s="3267" t="s">
        <v>3140</v>
      </c>
      <c r="AO75" s="3267" t="s">
        <v>2968</v>
      </c>
      <c r="AP75" s="3267" t="s">
        <v>3180</v>
      </c>
      <c r="AQ75" s="3276" t="s">
        <v>2996</v>
      </c>
      <c r="AR75" s="3267"/>
      <c r="AS75" s="3267"/>
      <c r="AT75" s="3267"/>
      <c r="AU75" s="3267"/>
      <c r="AV75" s="3267"/>
      <c r="AW75" s="3267" t="s">
        <v>2997</v>
      </c>
      <c r="AX75" s="3267"/>
      <c r="AY75" s="3269"/>
      <c r="AZ75" s="3267" t="s">
        <v>3760</v>
      </c>
      <c r="BA75" s="3267"/>
      <c r="BB75" s="3267"/>
      <c r="BC75" s="3267"/>
      <c r="BD75" s="3267"/>
      <c r="BE75" s="3267"/>
      <c r="BF75" s="3267"/>
      <c r="BG75" s="3307">
        <v>38756</v>
      </c>
      <c r="BH75" s="3267"/>
      <c r="BI75" s="3267" t="s">
        <v>3145</v>
      </c>
      <c r="BJ75" s="3283">
        <v>38756</v>
      </c>
      <c r="BK75" s="3283"/>
      <c r="BL75" s="3267" t="s">
        <v>2998</v>
      </c>
      <c r="BM75" s="3267" t="s">
        <v>2879</v>
      </c>
      <c r="BN75" s="3267" t="s">
        <v>3111</v>
      </c>
      <c r="BO75" s="3267" t="s">
        <v>3000</v>
      </c>
      <c r="BP75" s="3267"/>
      <c r="BQ75" s="3276" t="e">
        <v>#DIV/0!</v>
      </c>
      <c r="BR75" s="3276" t="e">
        <v>#DIV/0!</v>
      </c>
      <c r="BS75" s="3285"/>
      <c r="BT75" s="3285"/>
      <c r="BU75" s="3285"/>
    </row>
    <row r="76" spans="1:73" hidden="1">
      <c r="A76" s="3267" t="s">
        <v>3761</v>
      </c>
      <c r="B76" s="3268" t="s">
        <v>3762</v>
      </c>
      <c r="C76" s="3269" t="s">
        <v>3763</v>
      </c>
      <c r="D76" s="3268">
        <v>13901326106</v>
      </c>
      <c r="E76" s="3268" t="s">
        <v>2985</v>
      </c>
      <c r="F76" s="3268" t="s">
        <v>3764</v>
      </c>
      <c r="G76" s="3268"/>
      <c r="H76" s="3268" t="s">
        <v>3765</v>
      </c>
      <c r="I76" s="3268"/>
      <c r="J76" s="3268" t="s">
        <v>3766</v>
      </c>
      <c r="K76" s="3268" t="s">
        <v>3767</v>
      </c>
      <c r="L76" s="3270">
        <v>36.67</v>
      </c>
      <c r="M76" s="3270">
        <v>1</v>
      </c>
      <c r="N76" s="3268" t="s">
        <v>3152</v>
      </c>
      <c r="O76" s="3270"/>
      <c r="P76" s="3268" t="s">
        <v>2963</v>
      </c>
      <c r="Q76" s="3271">
        <v>250000</v>
      </c>
      <c r="R76" s="3267">
        <v>6818</v>
      </c>
      <c r="S76" s="3272">
        <v>20.079999999999998</v>
      </c>
      <c r="T76" s="3273">
        <v>200800</v>
      </c>
      <c r="U76" s="3267">
        <v>5477</v>
      </c>
      <c r="V76" s="3274">
        <v>0.05</v>
      </c>
      <c r="W76" s="3272">
        <v>19.07</v>
      </c>
      <c r="X76" s="3275">
        <v>190700</v>
      </c>
      <c r="Y76" s="3276">
        <v>2006</v>
      </c>
      <c r="Z76" s="3276">
        <v>2</v>
      </c>
      <c r="AA76" s="3276">
        <v>21</v>
      </c>
      <c r="AB76" s="3267">
        <v>600</v>
      </c>
      <c r="AC76" s="3267" t="s">
        <v>3227</v>
      </c>
      <c r="AD76" s="3268"/>
      <c r="AE76" s="3267" t="s">
        <v>3537</v>
      </c>
      <c r="AF76" s="3268" t="s">
        <v>2966</v>
      </c>
      <c r="AG76" s="3268" t="s">
        <v>2967</v>
      </c>
      <c r="AH76" s="3268"/>
      <c r="AI76" s="3267" t="s">
        <v>3115</v>
      </c>
      <c r="AJ76" s="3290"/>
      <c r="AK76" s="3278">
        <v>2</v>
      </c>
      <c r="AL76" s="3267">
        <v>82253558</v>
      </c>
      <c r="AM76" s="3276"/>
      <c r="AN76" s="3294" t="s">
        <v>2994</v>
      </c>
      <c r="AO76" s="3276"/>
      <c r="AP76" s="3267" t="s">
        <v>3180</v>
      </c>
      <c r="AQ76" s="3267" t="s">
        <v>3228</v>
      </c>
      <c r="AR76" s="3267">
        <v>2006</v>
      </c>
      <c r="AS76" s="3267">
        <v>2</v>
      </c>
      <c r="AT76" s="3267">
        <v>21</v>
      </c>
      <c r="AU76" s="3267"/>
      <c r="AV76" s="3277"/>
      <c r="AW76" s="3319" t="s">
        <v>2997</v>
      </c>
      <c r="AX76" s="3268"/>
      <c r="AY76" s="3268"/>
      <c r="AZ76" s="3268" t="s">
        <v>3767</v>
      </c>
      <c r="BA76" s="3268"/>
      <c r="BB76" s="3280"/>
      <c r="BC76" s="3268"/>
      <c r="BD76" s="3268"/>
      <c r="BE76" s="3268"/>
      <c r="BF76" s="3281"/>
      <c r="BG76" s="3307"/>
      <c r="BH76" s="3268" t="s">
        <v>3054</v>
      </c>
      <c r="BI76" s="3267" t="s">
        <v>3239</v>
      </c>
      <c r="BJ76" s="3283">
        <v>38733</v>
      </c>
      <c r="BK76" s="3284"/>
      <c r="BL76" s="3267" t="s">
        <v>2998</v>
      </c>
      <c r="BM76" s="3267" t="s">
        <v>2879</v>
      </c>
      <c r="BN76" s="3276" t="s">
        <v>3111</v>
      </c>
      <c r="BO76" s="3267" t="s">
        <v>3616</v>
      </c>
      <c r="BP76" s="3276"/>
      <c r="BQ76" s="3276" t="e">
        <v>#DIV/0!</v>
      </c>
      <c r="BR76" s="3276" t="e">
        <v>#DIV/0!</v>
      </c>
      <c r="BS76" s="3285"/>
      <c r="BT76" s="3285"/>
      <c r="BU76" s="3285"/>
    </row>
    <row r="77" spans="1:73" hidden="1">
      <c r="A77" s="3295" t="s">
        <v>3768</v>
      </c>
      <c r="B77" s="3268" t="s">
        <v>3769</v>
      </c>
      <c r="C77" s="3269" t="s">
        <v>3770</v>
      </c>
      <c r="D77" s="3268">
        <v>13683332977</v>
      </c>
      <c r="E77" s="3268" t="s">
        <v>2985</v>
      </c>
      <c r="F77" s="3268" t="s">
        <v>3484</v>
      </c>
      <c r="G77" s="3268"/>
      <c r="H77" s="3268" t="s">
        <v>3263</v>
      </c>
      <c r="I77" s="3268"/>
      <c r="J77" s="3268" t="s">
        <v>3771</v>
      </c>
      <c r="K77" s="3268" t="s">
        <v>3772</v>
      </c>
      <c r="L77" s="3286">
        <v>94.72</v>
      </c>
      <c r="M77" s="3270">
        <v>1</v>
      </c>
      <c r="N77" s="3268" t="s">
        <v>3122</v>
      </c>
      <c r="O77" s="3270"/>
      <c r="P77" s="3267" t="s">
        <v>2963</v>
      </c>
      <c r="Q77" s="3271">
        <v>620000</v>
      </c>
      <c r="R77" s="3267">
        <v>6546</v>
      </c>
      <c r="S77" s="3272">
        <v>61.48</v>
      </c>
      <c r="T77" s="3273">
        <v>614800</v>
      </c>
      <c r="U77" s="3267">
        <v>6491</v>
      </c>
      <c r="V77" s="3289">
        <v>0.05</v>
      </c>
      <c r="W77" s="3272">
        <v>58.4</v>
      </c>
      <c r="X77" s="3275">
        <v>584000</v>
      </c>
      <c r="Y77" s="3294">
        <v>2006</v>
      </c>
      <c r="Z77" s="3294">
        <v>2</v>
      </c>
      <c r="AA77" s="3294">
        <v>22</v>
      </c>
      <c r="AB77" s="3267">
        <v>1500</v>
      </c>
      <c r="AC77" s="3267" t="s">
        <v>3227</v>
      </c>
      <c r="AD77" s="3268"/>
      <c r="AE77" s="3267" t="s">
        <v>3342</v>
      </c>
      <c r="AF77" s="3267" t="s">
        <v>2966</v>
      </c>
      <c r="AG77" s="3268" t="s">
        <v>2967</v>
      </c>
      <c r="AH77" s="3268"/>
      <c r="AI77" s="3267" t="s">
        <v>3295</v>
      </c>
      <c r="AJ77" s="3290"/>
      <c r="AK77" s="3295" t="s">
        <v>3140</v>
      </c>
      <c r="AL77" s="3267">
        <v>82253558</v>
      </c>
      <c r="AM77" s="3276" t="s">
        <v>2968</v>
      </c>
      <c r="AN77" s="3279" t="s">
        <v>2994</v>
      </c>
      <c r="AO77" s="3267"/>
      <c r="AP77" s="3267" t="s">
        <v>3180</v>
      </c>
      <c r="AQ77" s="3276" t="s">
        <v>3113</v>
      </c>
      <c r="AR77" s="3267"/>
      <c r="AS77" s="3267"/>
      <c r="AT77" s="3267"/>
      <c r="AU77" s="3267"/>
      <c r="AV77" s="3277"/>
      <c r="AW77" s="3276" t="s">
        <v>3112</v>
      </c>
      <c r="AX77" s="3276"/>
      <c r="AY77" s="3276"/>
      <c r="AZ77" s="3267" t="s">
        <v>3772</v>
      </c>
      <c r="BA77" s="3296"/>
      <c r="BB77" s="3297"/>
      <c r="BC77" s="3296"/>
      <c r="BD77" s="3298"/>
      <c r="BE77" s="3276"/>
      <c r="BF77" s="3281"/>
      <c r="BG77" s="3293">
        <v>38739</v>
      </c>
      <c r="BH77" s="3267"/>
      <c r="BI77" s="3267" t="s">
        <v>3295</v>
      </c>
      <c r="BJ77" s="3283">
        <v>38768</v>
      </c>
      <c r="BK77" s="3284"/>
      <c r="BL77" s="3267" t="s">
        <v>2998</v>
      </c>
      <c r="BM77" s="3267" t="s">
        <v>3345</v>
      </c>
      <c r="BN77" s="3267" t="s">
        <v>2999</v>
      </c>
      <c r="BO77" s="3267" t="s">
        <v>3146</v>
      </c>
      <c r="BP77" s="3276"/>
      <c r="BQ77" s="3276"/>
      <c r="BR77" s="3276"/>
      <c r="BS77" s="3285"/>
      <c r="BT77" s="3285"/>
      <c r="BU77" s="3285"/>
    </row>
    <row r="78" spans="1:73" hidden="1">
      <c r="A78" s="3295" t="s">
        <v>3773</v>
      </c>
      <c r="B78" s="3295" t="s">
        <v>3774</v>
      </c>
      <c r="C78" s="3320" t="s">
        <v>3775</v>
      </c>
      <c r="D78" s="3320" t="s">
        <v>3776</v>
      </c>
      <c r="E78" s="3295" t="s">
        <v>2985</v>
      </c>
      <c r="F78" s="3321" t="s">
        <v>3777</v>
      </c>
      <c r="G78" s="3295"/>
      <c r="H78" s="3295" t="s">
        <v>3244</v>
      </c>
      <c r="I78" s="3295"/>
      <c r="J78" s="3320" t="s">
        <v>3778</v>
      </c>
      <c r="K78" s="3295" t="s">
        <v>3779</v>
      </c>
      <c r="L78" s="3322">
        <v>64.08</v>
      </c>
      <c r="M78" s="3295">
        <v>9</v>
      </c>
      <c r="N78" s="3295" t="s">
        <v>3122</v>
      </c>
      <c r="O78" s="3295"/>
      <c r="P78" s="3295" t="s">
        <v>2963</v>
      </c>
      <c r="Q78" s="3323">
        <v>360000</v>
      </c>
      <c r="R78" s="3295">
        <v>5618</v>
      </c>
      <c r="S78" s="3311">
        <v>33.96</v>
      </c>
      <c r="T78" s="3312">
        <v>339600</v>
      </c>
      <c r="U78" s="3295">
        <v>5300</v>
      </c>
      <c r="V78" s="3324">
        <v>0.05</v>
      </c>
      <c r="W78" s="3311">
        <v>32.26</v>
      </c>
      <c r="X78" s="3325">
        <v>322600</v>
      </c>
      <c r="Y78" s="3294">
        <v>2006</v>
      </c>
      <c r="Z78" s="3294">
        <v>2</v>
      </c>
      <c r="AA78" s="3294">
        <v>22</v>
      </c>
      <c r="AB78" s="3295">
        <v>1015</v>
      </c>
      <c r="AC78" s="3295" t="s">
        <v>3227</v>
      </c>
      <c r="AD78" s="3295"/>
      <c r="AE78" s="3295" t="s">
        <v>3245</v>
      </c>
      <c r="AF78" s="3295" t="s">
        <v>2966</v>
      </c>
      <c r="AG78" s="3295" t="s">
        <v>2967</v>
      </c>
      <c r="AH78" s="3295" t="s">
        <v>3780</v>
      </c>
      <c r="AI78" s="3295" t="s">
        <v>3115</v>
      </c>
      <c r="AJ78" s="3315"/>
      <c r="AK78" s="3326" t="s">
        <v>3140</v>
      </c>
      <c r="AL78" s="3295">
        <v>82253558</v>
      </c>
      <c r="AM78" s="3294"/>
      <c r="AN78" s="3294" t="s">
        <v>3114</v>
      </c>
      <c r="AO78" s="3294" t="s">
        <v>3781</v>
      </c>
      <c r="AP78" s="3295" t="s">
        <v>3180</v>
      </c>
      <c r="AQ78" s="3295" t="s">
        <v>3113</v>
      </c>
      <c r="AR78" s="3294"/>
      <c r="AS78" s="3294"/>
      <c r="AT78" s="3294"/>
      <c r="AU78" s="3294"/>
      <c r="AV78" s="3294"/>
      <c r="AW78" s="3294" t="s">
        <v>3119</v>
      </c>
      <c r="AX78" s="3294"/>
      <c r="AY78" s="3327"/>
      <c r="AZ78" s="3294" t="s">
        <v>3779</v>
      </c>
      <c r="BA78" s="3294"/>
      <c r="BB78" s="3327"/>
      <c r="BC78" s="3294"/>
      <c r="BD78" s="3328"/>
      <c r="BE78" s="3294"/>
      <c r="BF78" s="3329"/>
      <c r="BG78" s="3330">
        <v>38736</v>
      </c>
      <c r="BH78" s="3294"/>
      <c r="BI78" s="3267" t="s">
        <v>3145</v>
      </c>
      <c r="BJ78" s="3330">
        <v>38765</v>
      </c>
      <c r="BK78" s="3331"/>
      <c r="BL78" s="3295" t="s">
        <v>2998</v>
      </c>
      <c r="BM78" s="3295" t="s">
        <v>2879</v>
      </c>
      <c r="BN78" s="3295" t="s">
        <v>3111</v>
      </c>
      <c r="BO78" s="3295" t="s">
        <v>3000</v>
      </c>
      <c r="BP78" s="3294"/>
      <c r="BQ78" s="3276" t="e">
        <v>#DIV/0!</v>
      </c>
      <c r="BR78" s="3276" t="e">
        <v>#DIV/0!</v>
      </c>
      <c r="BS78" s="3285"/>
      <c r="BT78" s="3285"/>
      <c r="BU78" s="3285"/>
    </row>
    <row r="79" spans="1:73">
      <c r="A79" s="3295" t="s">
        <v>3782</v>
      </c>
      <c r="B79" s="3268" t="s">
        <v>3783</v>
      </c>
      <c r="C79" s="3269" t="s">
        <v>3784</v>
      </c>
      <c r="D79" s="3268">
        <v>13701279910</v>
      </c>
      <c r="E79" s="3268" t="s">
        <v>2985</v>
      </c>
      <c r="F79" s="3268" t="s">
        <v>3785</v>
      </c>
      <c r="G79" s="3268"/>
      <c r="H79" s="3268" t="s">
        <v>3130</v>
      </c>
      <c r="I79" s="3268" t="s">
        <v>3786</v>
      </c>
      <c r="J79" s="3268" t="s">
        <v>3787</v>
      </c>
      <c r="K79" s="3268" t="s">
        <v>3788</v>
      </c>
      <c r="L79" s="3286">
        <v>84.65</v>
      </c>
      <c r="M79" s="3270">
        <v>18</v>
      </c>
      <c r="N79" s="3268" t="s">
        <v>3125</v>
      </c>
      <c r="O79" s="3270" t="s">
        <v>2968</v>
      </c>
      <c r="P79" s="3267" t="s">
        <v>2963</v>
      </c>
      <c r="Q79" s="3271">
        <v>685000</v>
      </c>
      <c r="R79" s="3267">
        <v>8092</v>
      </c>
      <c r="S79" s="3272">
        <v>54.59</v>
      </c>
      <c r="T79" s="3273">
        <v>545900</v>
      </c>
      <c r="U79" s="3267">
        <v>6450</v>
      </c>
      <c r="V79" s="3289">
        <v>0.05</v>
      </c>
      <c r="W79" s="3272">
        <v>51.86</v>
      </c>
      <c r="X79" s="3275">
        <v>518600</v>
      </c>
      <c r="Y79" s="3294">
        <v>2006</v>
      </c>
      <c r="Z79" s="3294">
        <v>2</v>
      </c>
      <c r="AA79" s="3294">
        <v>22</v>
      </c>
      <c r="AB79" s="3267">
        <v>1500</v>
      </c>
      <c r="AC79" s="3267" t="s">
        <v>3227</v>
      </c>
      <c r="AD79" s="3268"/>
      <c r="AE79" s="3267" t="s">
        <v>3295</v>
      </c>
      <c r="AF79" s="3267" t="s">
        <v>2966</v>
      </c>
      <c r="AG79" s="3268" t="s">
        <v>2967</v>
      </c>
      <c r="AH79" s="3268"/>
      <c r="AI79" s="3267" t="s">
        <v>3115</v>
      </c>
      <c r="AJ79" s="3290"/>
      <c r="AK79" s="3295" t="s">
        <v>3140</v>
      </c>
      <c r="AL79" s="3267">
        <v>82253558</v>
      </c>
      <c r="AM79" s="3276"/>
      <c r="AN79" s="3279" t="s">
        <v>2994</v>
      </c>
      <c r="AO79" s="3267"/>
      <c r="AP79" s="3267" t="s">
        <v>3180</v>
      </c>
      <c r="AQ79" s="3276" t="s">
        <v>3113</v>
      </c>
      <c r="AR79" s="3267"/>
      <c r="AS79" s="3267"/>
      <c r="AT79" s="3267"/>
      <c r="AU79" s="3267"/>
      <c r="AV79" s="3277"/>
      <c r="AW79" s="3276" t="s">
        <v>2997</v>
      </c>
      <c r="AX79" s="3276"/>
      <c r="AY79" s="3276" t="s">
        <v>2968</v>
      </c>
      <c r="AZ79" s="3267" t="s">
        <v>3788</v>
      </c>
      <c r="BA79" s="3296" t="s">
        <v>2968</v>
      </c>
      <c r="BB79" s="3297" t="s">
        <v>2968</v>
      </c>
      <c r="BC79" s="3296" t="s">
        <v>2968</v>
      </c>
      <c r="BD79" s="3298" t="s">
        <v>2968</v>
      </c>
      <c r="BE79" s="3276">
        <v>64225958</v>
      </c>
      <c r="BF79" s="3281" t="s">
        <v>2968</v>
      </c>
      <c r="BG79" s="3293">
        <v>38760</v>
      </c>
      <c r="BH79" s="3267"/>
      <c r="BI79" s="3267" t="s">
        <v>3295</v>
      </c>
      <c r="BJ79" s="3283">
        <v>38765</v>
      </c>
      <c r="BK79" s="3284"/>
      <c r="BL79" s="3267" t="s">
        <v>2998</v>
      </c>
      <c r="BM79" s="3267" t="s">
        <v>2879</v>
      </c>
      <c r="BN79" s="3267" t="s">
        <v>2999</v>
      </c>
      <c r="BO79" s="3267" t="s">
        <v>3146</v>
      </c>
      <c r="BP79" s="3276"/>
      <c r="BQ79" s="3276" t="e">
        <v>#VALUE!</v>
      </c>
      <c r="BR79" s="3276" t="e">
        <v>#VALUE!</v>
      </c>
      <c r="BS79" s="3285"/>
      <c r="BT79" s="3285"/>
      <c r="BU79" s="3285"/>
    </row>
    <row r="80" spans="1:73" hidden="1">
      <c r="A80" s="3295" t="s">
        <v>3789</v>
      </c>
      <c r="B80" s="3332" t="s">
        <v>3790</v>
      </c>
      <c r="C80" s="3320" t="s">
        <v>3791</v>
      </c>
      <c r="D80" s="3332">
        <v>13366839867</v>
      </c>
      <c r="E80" s="3332" t="s">
        <v>2985</v>
      </c>
      <c r="F80" s="3332" t="s">
        <v>3792</v>
      </c>
      <c r="G80" s="3332"/>
      <c r="H80" s="3332" t="s">
        <v>3182</v>
      </c>
      <c r="I80" s="3332"/>
      <c r="J80" s="3332" t="s">
        <v>3669</v>
      </c>
      <c r="K80" s="3332" t="s">
        <v>3793</v>
      </c>
      <c r="L80" s="3333">
        <v>61.24</v>
      </c>
      <c r="M80" s="3322">
        <v>16</v>
      </c>
      <c r="N80" s="3295" t="s">
        <v>3122</v>
      </c>
      <c r="O80" s="3322"/>
      <c r="P80" s="3295" t="s">
        <v>2963</v>
      </c>
      <c r="Q80" s="3323">
        <v>360000</v>
      </c>
      <c r="R80" s="3295">
        <v>5879</v>
      </c>
      <c r="S80" s="3311">
        <v>31.23</v>
      </c>
      <c r="T80" s="3312">
        <v>312300</v>
      </c>
      <c r="U80" s="3295">
        <v>5100</v>
      </c>
      <c r="V80" s="3334">
        <v>0.2</v>
      </c>
      <c r="W80" s="3272">
        <v>24.98</v>
      </c>
      <c r="X80" s="3325">
        <v>249800</v>
      </c>
      <c r="Y80" s="3294">
        <v>2006</v>
      </c>
      <c r="Z80" s="3294">
        <v>2</v>
      </c>
      <c r="AA80" s="3295">
        <v>20</v>
      </c>
      <c r="AB80" s="3294">
        <v>935</v>
      </c>
      <c r="AC80" s="3267" t="s">
        <v>3227</v>
      </c>
      <c r="AD80" s="3332"/>
      <c r="AE80" s="3294" t="s">
        <v>3245</v>
      </c>
      <c r="AF80" s="3332" t="s">
        <v>2966</v>
      </c>
      <c r="AG80" s="3332" t="s">
        <v>2967</v>
      </c>
      <c r="AH80" s="3332"/>
      <c r="AI80" s="3326"/>
      <c r="AJ80" s="3335"/>
      <c r="AK80" s="3295" t="s">
        <v>3140</v>
      </c>
      <c r="AL80" s="3294">
        <v>82253558</v>
      </c>
      <c r="AM80" s="3294"/>
      <c r="AN80" s="3326" t="s">
        <v>3114</v>
      </c>
      <c r="AO80" s="3294" t="s">
        <v>3794</v>
      </c>
      <c r="AP80" s="3295" t="s">
        <v>3245</v>
      </c>
      <c r="AQ80" s="3294" t="s">
        <v>3113</v>
      </c>
      <c r="AR80" s="3295"/>
      <c r="AS80" s="3295"/>
      <c r="AT80" s="3295"/>
      <c r="AU80" s="3295"/>
      <c r="AV80" s="3336"/>
      <c r="AW80" s="3332" t="s">
        <v>3112</v>
      </c>
      <c r="AX80" s="3332"/>
      <c r="AY80" s="3332"/>
      <c r="AZ80" s="3332" t="s">
        <v>3793</v>
      </c>
      <c r="BA80" s="3332"/>
      <c r="BB80" s="3337"/>
      <c r="BC80" s="3332"/>
      <c r="BD80" s="3332"/>
      <c r="BE80" s="3332"/>
      <c r="BF80" s="3329"/>
      <c r="BG80" s="3338">
        <v>38765</v>
      </c>
      <c r="BH80" s="3332"/>
      <c r="BI80" s="3294" t="s">
        <v>3245</v>
      </c>
      <c r="BJ80" s="3331"/>
      <c r="BK80" s="3315"/>
      <c r="BL80" s="3295" t="s">
        <v>3249</v>
      </c>
      <c r="BM80" s="3294" t="s">
        <v>2879</v>
      </c>
      <c r="BN80" s="3295" t="s">
        <v>3111</v>
      </c>
      <c r="BO80" s="3295" t="s">
        <v>3446</v>
      </c>
      <c r="BP80" s="3294"/>
      <c r="BQ80" s="3294" t="e">
        <v>#DIV/0!</v>
      </c>
      <c r="BR80" s="3294" t="e">
        <v>#DIV/0!</v>
      </c>
      <c r="BS80" s="3285"/>
      <c r="BT80" s="3285"/>
      <c r="BU80" s="3285"/>
    </row>
    <row r="81" spans="1:249">
      <c r="A81" s="3267" t="s">
        <v>3795</v>
      </c>
      <c r="B81" s="3267" t="s">
        <v>3796</v>
      </c>
      <c r="C81" s="3269" t="s">
        <v>3797</v>
      </c>
      <c r="D81" s="3268">
        <v>13810048548</v>
      </c>
      <c r="E81" s="3267" t="s">
        <v>2985</v>
      </c>
      <c r="F81" s="3267" t="s">
        <v>3798</v>
      </c>
      <c r="G81" s="3267"/>
      <c r="H81" s="3270" t="s">
        <v>3244</v>
      </c>
      <c r="I81" s="3268"/>
      <c r="J81" s="3270">
        <v>532</v>
      </c>
      <c r="K81" s="3267" t="s">
        <v>3799</v>
      </c>
      <c r="L81" s="3286">
        <v>82.36</v>
      </c>
      <c r="M81" s="3267">
        <v>3</v>
      </c>
      <c r="N81" s="3267" t="s">
        <v>3098</v>
      </c>
      <c r="O81" s="3267"/>
      <c r="P81" s="3267" t="s">
        <v>2963</v>
      </c>
      <c r="Q81" s="3287">
        <v>580000</v>
      </c>
      <c r="R81" s="3267">
        <v>7042</v>
      </c>
      <c r="S81" s="3272">
        <v>49.63</v>
      </c>
      <c r="T81" s="3273">
        <v>496300</v>
      </c>
      <c r="U81" s="3287">
        <v>6027</v>
      </c>
      <c r="V81" s="3289">
        <v>0.05</v>
      </c>
      <c r="W81" s="3272">
        <v>47.14</v>
      </c>
      <c r="X81" s="3275">
        <v>471400</v>
      </c>
      <c r="Y81" s="3276">
        <v>2006</v>
      </c>
      <c r="Z81" s="3267">
        <v>2</v>
      </c>
      <c r="AA81" s="3267">
        <v>24</v>
      </c>
      <c r="AB81" s="3267">
        <v>1485</v>
      </c>
      <c r="AC81" s="3267" t="s">
        <v>3227</v>
      </c>
      <c r="AD81" s="3267"/>
      <c r="AE81" s="3267" t="s">
        <v>3344</v>
      </c>
      <c r="AF81" s="3267" t="s">
        <v>2966</v>
      </c>
      <c r="AG81" s="3267" t="s">
        <v>2967</v>
      </c>
      <c r="AH81" s="3267" t="s">
        <v>3800</v>
      </c>
      <c r="AI81" s="3267" t="s">
        <v>3176</v>
      </c>
      <c r="AJ81" s="3290"/>
      <c r="AK81" s="3267" t="s">
        <v>3140</v>
      </c>
      <c r="AL81" s="3276">
        <v>82253558</v>
      </c>
      <c r="AM81" s="3267"/>
      <c r="AN81" s="3279" t="s">
        <v>2994</v>
      </c>
      <c r="AO81" s="3267" t="s">
        <v>3801</v>
      </c>
      <c r="AP81" s="3276" t="s">
        <v>3180</v>
      </c>
      <c r="AQ81" s="3276"/>
      <c r="AR81" s="3267"/>
      <c r="AS81" s="3267"/>
      <c r="AT81" s="3267"/>
      <c r="AU81" s="3267"/>
      <c r="AV81" s="3267"/>
      <c r="AW81" s="3267" t="s">
        <v>2997</v>
      </c>
      <c r="AX81" s="3267"/>
      <c r="AY81" s="3279"/>
      <c r="AZ81" s="3267" t="s">
        <v>3799</v>
      </c>
      <c r="BA81" s="3267"/>
      <c r="BB81" s="3267"/>
      <c r="BC81" s="3267"/>
      <c r="BD81" s="3267"/>
      <c r="BE81" s="3267"/>
      <c r="BF81" s="3267"/>
      <c r="BG81" s="3290">
        <v>38760</v>
      </c>
      <c r="BH81" s="3267"/>
      <c r="BI81" s="3279" t="s">
        <v>3344</v>
      </c>
      <c r="BJ81" s="3290">
        <v>38768</v>
      </c>
      <c r="BK81" s="3284"/>
      <c r="BL81" s="3267" t="s">
        <v>2998</v>
      </c>
      <c r="BM81" s="3267" t="s">
        <v>2879</v>
      </c>
      <c r="BN81" s="3276" t="s">
        <v>2999</v>
      </c>
      <c r="BO81" s="3276" t="s">
        <v>3000</v>
      </c>
      <c r="BP81" s="3267"/>
      <c r="BQ81" s="3276" t="e">
        <v>#DIV/0!</v>
      </c>
      <c r="BR81" s="3276" t="e">
        <v>#DIV/0!</v>
      </c>
      <c r="BS81" s="3285"/>
      <c r="BT81" s="3285"/>
      <c r="BU81" s="3285"/>
    </row>
    <row r="82" spans="1:249">
      <c r="A82" s="3267" t="s">
        <v>3802</v>
      </c>
      <c r="B82" s="3267" t="s">
        <v>3803</v>
      </c>
      <c r="C82" s="3269" t="s">
        <v>3804</v>
      </c>
      <c r="D82" s="3268">
        <v>13621067936</v>
      </c>
      <c r="E82" s="3267" t="s">
        <v>2985</v>
      </c>
      <c r="F82" s="3267" t="s">
        <v>3805</v>
      </c>
      <c r="G82" s="3267"/>
      <c r="H82" s="3270" t="s">
        <v>3806</v>
      </c>
      <c r="I82" s="3268" t="s">
        <v>3141</v>
      </c>
      <c r="J82" s="3270" t="s">
        <v>3807</v>
      </c>
      <c r="K82" s="3267" t="s">
        <v>3808</v>
      </c>
      <c r="L82" s="3286">
        <v>41.47</v>
      </c>
      <c r="M82" s="3267">
        <v>4</v>
      </c>
      <c r="N82" s="3267" t="s">
        <v>3152</v>
      </c>
      <c r="O82" s="3267"/>
      <c r="P82" s="3267" t="s">
        <v>2963</v>
      </c>
      <c r="Q82" s="3287">
        <v>360000</v>
      </c>
      <c r="R82" s="3267">
        <v>8681</v>
      </c>
      <c r="S82" s="3272">
        <v>29.84</v>
      </c>
      <c r="T82" s="3273">
        <v>298400</v>
      </c>
      <c r="U82" s="3287">
        <v>7197</v>
      </c>
      <c r="V82" s="3289">
        <v>0.05</v>
      </c>
      <c r="W82" s="3272">
        <v>28.34</v>
      </c>
      <c r="X82" s="3275">
        <v>283400</v>
      </c>
      <c r="Y82" s="3276">
        <v>2006</v>
      </c>
      <c r="Z82" s="3267">
        <v>2</v>
      </c>
      <c r="AA82" s="3267">
        <v>20</v>
      </c>
      <c r="AB82" s="3267">
        <v>895</v>
      </c>
      <c r="AC82" s="3267" t="s">
        <v>3227</v>
      </c>
      <c r="AD82" s="3267"/>
      <c r="AE82" s="3267" t="s">
        <v>3344</v>
      </c>
      <c r="AF82" s="3267" t="s">
        <v>2966</v>
      </c>
      <c r="AG82" s="3267" t="s">
        <v>2967</v>
      </c>
      <c r="AH82" s="3267"/>
      <c r="AI82" s="3267" t="s">
        <v>3176</v>
      </c>
      <c r="AJ82" s="3290"/>
      <c r="AK82" s="3267" t="s">
        <v>3140</v>
      </c>
      <c r="AL82" s="3276">
        <v>82253558</v>
      </c>
      <c r="AM82" s="3267"/>
      <c r="AN82" s="3279" t="s">
        <v>2994</v>
      </c>
      <c r="AO82" s="3267"/>
      <c r="AP82" s="3276" t="s">
        <v>3180</v>
      </c>
      <c r="AQ82" s="3276"/>
      <c r="AR82" s="3267"/>
      <c r="AS82" s="3267"/>
      <c r="AT82" s="3267"/>
      <c r="AU82" s="3267"/>
      <c r="AV82" s="3267"/>
      <c r="AW82" s="3267" t="s">
        <v>2997</v>
      </c>
      <c r="AX82" s="3267"/>
      <c r="AY82" s="3279"/>
      <c r="AZ82" s="3267" t="s">
        <v>3808</v>
      </c>
      <c r="BA82" s="3267"/>
      <c r="BB82" s="3267"/>
      <c r="BC82" s="3267"/>
      <c r="BD82" s="3267"/>
      <c r="BE82" s="3267">
        <v>13911603867</v>
      </c>
      <c r="BF82" s="3267"/>
      <c r="BG82" s="3290">
        <v>38764</v>
      </c>
      <c r="BH82" s="3267"/>
      <c r="BI82" s="3267" t="s">
        <v>3344</v>
      </c>
      <c r="BJ82" s="3290">
        <v>38764</v>
      </c>
      <c r="BK82" s="3284"/>
      <c r="BL82" s="3267" t="s">
        <v>2998</v>
      </c>
      <c r="BM82" s="3267" t="s">
        <v>2879</v>
      </c>
      <c r="BN82" s="3276" t="s">
        <v>2999</v>
      </c>
      <c r="BO82" s="3276" t="s">
        <v>3000</v>
      </c>
      <c r="BP82" s="3267"/>
      <c r="BQ82" s="3276" t="e">
        <v>#DIV/0!</v>
      </c>
      <c r="BR82" s="3276" t="e">
        <v>#DIV/0!</v>
      </c>
      <c r="BS82" s="3285"/>
      <c r="BT82" s="3285"/>
      <c r="BU82" s="3285"/>
    </row>
    <row r="83" spans="1:249" hidden="1">
      <c r="A83" s="3267" t="s">
        <v>3809</v>
      </c>
      <c r="B83" s="3267" t="s">
        <v>3810</v>
      </c>
      <c r="C83" s="3269" t="s">
        <v>3811</v>
      </c>
      <c r="D83" s="3269" t="s">
        <v>3812</v>
      </c>
      <c r="E83" s="3267" t="s">
        <v>2985</v>
      </c>
      <c r="F83" s="3244" t="s">
        <v>3813</v>
      </c>
      <c r="G83" s="3267"/>
      <c r="H83" s="3267" t="s">
        <v>3814</v>
      </c>
      <c r="I83" s="3267"/>
      <c r="J83" s="3269" t="s">
        <v>3815</v>
      </c>
      <c r="K83" s="3267" t="s">
        <v>3810</v>
      </c>
      <c r="L83" s="3267">
        <v>69.08</v>
      </c>
      <c r="M83" s="3267">
        <v>3</v>
      </c>
      <c r="N83" s="3267" t="s">
        <v>3122</v>
      </c>
      <c r="O83" s="3267">
        <v>54.71</v>
      </c>
      <c r="P83" s="3267" t="s">
        <v>2963</v>
      </c>
      <c r="Q83" s="3271">
        <v>360000</v>
      </c>
      <c r="R83" s="3267">
        <v>5211</v>
      </c>
      <c r="S83" s="3272">
        <v>34.4</v>
      </c>
      <c r="T83" s="3273">
        <v>344000</v>
      </c>
      <c r="U83" s="3267">
        <v>4980</v>
      </c>
      <c r="V83" s="3289">
        <v>0.05</v>
      </c>
      <c r="W83" s="3272">
        <v>32.68</v>
      </c>
      <c r="X83" s="3275">
        <v>326800</v>
      </c>
      <c r="Y83" s="3276">
        <v>2006</v>
      </c>
      <c r="Z83" s="3276">
        <v>3</v>
      </c>
      <c r="AA83" s="3276">
        <v>22</v>
      </c>
      <c r="AB83" s="3267">
        <v>1030</v>
      </c>
      <c r="AC83" s="3267" t="s">
        <v>3227</v>
      </c>
      <c r="AD83" s="3267"/>
      <c r="AE83" s="3267" t="s">
        <v>3245</v>
      </c>
      <c r="AF83" s="3267" t="s">
        <v>2966</v>
      </c>
      <c r="AG83" s="3267" t="s">
        <v>2967</v>
      </c>
      <c r="AH83" s="3267"/>
      <c r="AI83" s="3267" t="s">
        <v>3115</v>
      </c>
      <c r="AJ83" s="3284"/>
      <c r="AK83" s="3267" t="s">
        <v>3114</v>
      </c>
      <c r="AL83" s="3267">
        <v>82253558</v>
      </c>
      <c r="AM83" s="3276"/>
      <c r="AN83" s="3267" t="s">
        <v>2994</v>
      </c>
      <c r="AO83" s="3276" t="s">
        <v>3816</v>
      </c>
      <c r="AP83" s="3267" t="s">
        <v>3180</v>
      </c>
      <c r="AQ83" s="3267" t="s">
        <v>3228</v>
      </c>
      <c r="AR83" s="3267">
        <v>2006</v>
      </c>
      <c r="AS83" s="3267">
        <v>3</v>
      </c>
      <c r="AT83" s="3267">
        <v>22</v>
      </c>
      <c r="AU83" s="3276"/>
      <c r="AV83" s="3276"/>
      <c r="AW83" s="3276" t="s">
        <v>3119</v>
      </c>
      <c r="AX83" s="3276"/>
      <c r="AY83" s="3291"/>
      <c r="AZ83" s="3276" t="s">
        <v>3817</v>
      </c>
      <c r="BA83" s="3276"/>
      <c r="BB83" s="3291"/>
      <c r="BC83" s="3276"/>
      <c r="BD83" s="3292"/>
      <c r="BE83" s="3276"/>
      <c r="BF83" s="3281"/>
      <c r="BG83" s="3299">
        <v>38732</v>
      </c>
      <c r="BH83" s="3276"/>
      <c r="BI83" s="3267" t="s">
        <v>3239</v>
      </c>
      <c r="BJ83" s="3299">
        <v>38768</v>
      </c>
      <c r="BK83" s="3283"/>
      <c r="BL83" s="3267" t="s">
        <v>2998</v>
      </c>
      <c r="BM83" s="3267" t="s">
        <v>2879</v>
      </c>
      <c r="BN83" s="3267" t="s">
        <v>3111</v>
      </c>
      <c r="BO83" s="3267" t="s">
        <v>3000</v>
      </c>
      <c r="BP83" s="3276"/>
      <c r="BQ83" s="3276">
        <v>6288</v>
      </c>
      <c r="BR83" s="3276">
        <v>6580</v>
      </c>
      <c r="BS83" s="3285"/>
      <c r="BT83" s="3285"/>
      <c r="BU83" s="3285"/>
    </row>
    <row r="84" spans="1:249" hidden="1">
      <c r="A84" s="3267" t="s">
        <v>3818</v>
      </c>
      <c r="B84" s="3268" t="s">
        <v>3819</v>
      </c>
      <c r="C84" s="3269" t="s">
        <v>3820</v>
      </c>
      <c r="D84" s="3268">
        <v>13301165620</v>
      </c>
      <c r="E84" s="3268" t="s">
        <v>2985</v>
      </c>
      <c r="F84" s="3268" t="s">
        <v>3821</v>
      </c>
      <c r="G84" s="3268"/>
      <c r="H84" s="3268" t="s">
        <v>3822</v>
      </c>
      <c r="I84" s="3268" t="s">
        <v>3823</v>
      </c>
      <c r="J84" s="3268" t="s">
        <v>3187</v>
      </c>
      <c r="K84" s="3268" t="s">
        <v>3824</v>
      </c>
      <c r="L84" s="3270">
        <v>84.49</v>
      </c>
      <c r="M84" s="3270">
        <v>14</v>
      </c>
      <c r="N84" s="3268" t="s">
        <v>3122</v>
      </c>
      <c r="O84" s="3270" t="s">
        <v>2968</v>
      </c>
      <c r="P84" s="3267" t="s">
        <v>2963</v>
      </c>
      <c r="Q84" s="3271">
        <v>530000</v>
      </c>
      <c r="R84" s="3267">
        <v>6273</v>
      </c>
      <c r="S84" s="3272">
        <v>46.04</v>
      </c>
      <c r="T84" s="3273">
        <v>460400</v>
      </c>
      <c r="U84" s="3267">
        <v>5450</v>
      </c>
      <c r="V84" s="3289">
        <v>0.05</v>
      </c>
      <c r="W84" s="3272">
        <v>43.73</v>
      </c>
      <c r="X84" s="3275">
        <v>437300</v>
      </c>
      <c r="Y84" s="3276">
        <v>2006</v>
      </c>
      <c r="Z84" s="3276">
        <v>2</v>
      </c>
      <c r="AA84" s="3276">
        <v>23</v>
      </c>
      <c r="AB84" s="3267">
        <v>1380</v>
      </c>
      <c r="AC84" s="3267" t="s">
        <v>3227</v>
      </c>
      <c r="AD84" s="3268"/>
      <c r="AE84" s="3267" t="s">
        <v>3295</v>
      </c>
      <c r="AF84" s="3267" t="s">
        <v>2966</v>
      </c>
      <c r="AG84" s="3268" t="s">
        <v>2967</v>
      </c>
      <c r="AH84" s="3268"/>
      <c r="AI84" s="3267" t="s">
        <v>3115</v>
      </c>
      <c r="AJ84" s="3290"/>
      <c r="AK84" s="3267" t="s">
        <v>3140</v>
      </c>
      <c r="AL84" s="3267">
        <v>82253558</v>
      </c>
      <c r="AM84" s="3276"/>
      <c r="AN84" s="3279" t="s">
        <v>2994</v>
      </c>
      <c r="AO84" s="3267"/>
      <c r="AP84" s="3267" t="s">
        <v>3180</v>
      </c>
      <c r="AQ84" s="3276" t="s">
        <v>3113</v>
      </c>
      <c r="AR84" s="3267"/>
      <c r="AS84" s="3267"/>
      <c r="AT84" s="3267"/>
      <c r="AU84" s="3267"/>
      <c r="AV84" s="3277"/>
      <c r="AW84" s="3276" t="s">
        <v>2997</v>
      </c>
      <c r="AX84" s="3276"/>
      <c r="AY84" s="3276" t="s">
        <v>2968</v>
      </c>
      <c r="AZ84" s="3267" t="s">
        <v>3824</v>
      </c>
      <c r="BA84" s="3296" t="s">
        <v>2968</v>
      </c>
      <c r="BB84" s="3297" t="s">
        <v>2968</v>
      </c>
      <c r="BC84" s="3296" t="s">
        <v>2968</v>
      </c>
      <c r="BD84" s="3298" t="s">
        <v>2968</v>
      </c>
      <c r="BE84" s="3276">
        <v>13701350815</v>
      </c>
      <c r="BF84" s="3281" t="s">
        <v>2968</v>
      </c>
      <c r="BG84" s="3293">
        <v>38762</v>
      </c>
      <c r="BH84" s="3267"/>
      <c r="BI84" s="3314" t="s">
        <v>3295</v>
      </c>
      <c r="BJ84" s="3299">
        <v>38762</v>
      </c>
      <c r="BK84" s="3284"/>
      <c r="BL84" s="3267" t="s">
        <v>2998</v>
      </c>
      <c r="BM84" s="3267" t="s">
        <v>2879</v>
      </c>
      <c r="BN84" s="3267" t="s">
        <v>2999</v>
      </c>
      <c r="BO84" s="3267" t="s">
        <v>3146</v>
      </c>
      <c r="BP84" s="3276"/>
      <c r="BQ84" s="3276" t="e">
        <v>#VALUE!</v>
      </c>
      <c r="BR84" s="3276" t="e">
        <v>#VALUE!</v>
      </c>
      <c r="BS84" s="3285"/>
      <c r="BT84" s="3285"/>
      <c r="BU84" s="3285"/>
    </row>
    <row r="85" spans="1:249" hidden="1">
      <c r="A85" s="3267" t="s">
        <v>3825</v>
      </c>
      <c r="B85" s="3267" t="s">
        <v>3826</v>
      </c>
      <c r="C85" s="3269" t="s">
        <v>3827</v>
      </c>
      <c r="D85" s="3269" t="s">
        <v>3828</v>
      </c>
      <c r="E85" s="3267" t="s">
        <v>2985</v>
      </c>
      <c r="F85" s="3244" t="s">
        <v>3829</v>
      </c>
      <c r="G85" s="3267"/>
      <c r="H85" s="3267" t="s">
        <v>3150</v>
      </c>
      <c r="I85" s="3267" t="s">
        <v>3318</v>
      </c>
      <c r="J85" s="3269" t="s">
        <v>3830</v>
      </c>
      <c r="K85" s="3267" t="s">
        <v>3831</v>
      </c>
      <c r="L85" s="3286">
        <v>58.12</v>
      </c>
      <c r="M85" s="3267">
        <v>1</v>
      </c>
      <c r="N85" s="3267" t="s">
        <v>3122</v>
      </c>
      <c r="O85" s="3267"/>
      <c r="P85" s="3267" t="s">
        <v>2963</v>
      </c>
      <c r="Q85" s="3271">
        <v>425000</v>
      </c>
      <c r="R85" s="3267">
        <v>7312</v>
      </c>
      <c r="S85" s="3272">
        <v>37.42</v>
      </c>
      <c r="T85" s="3273">
        <v>374200</v>
      </c>
      <c r="U85" s="3267">
        <v>6440</v>
      </c>
      <c r="V85" s="3289">
        <v>0.05</v>
      </c>
      <c r="W85" s="3272">
        <v>35.54</v>
      </c>
      <c r="X85" s="3275">
        <v>355400</v>
      </c>
      <c r="Y85" s="3276">
        <v>2006</v>
      </c>
      <c r="Z85" s="3276">
        <v>2</v>
      </c>
      <c r="AA85" s="3276">
        <v>28</v>
      </c>
      <c r="AB85" s="3267">
        <v>1120</v>
      </c>
      <c r="AC85" s="3267" t="s">
        <v>3227</v>
      </c>
      <c r="AD85" s="3267"/>
      <c r="AE85" s="3267" t="s">
        <v>3344</v>
      </c>
      <c r="AF85" s="3267" t="s">
        <v>2966</v>
      </c>
      <c r="AG85" s="3279" t="s">
        <v>2967</v>
      </c>
      <c r="AH85" s="3267"/>
      <c r="AI85" s="3267" t="s">
        <v>3176</v>
      </c>
      <c r="AJ85" s="3284"/>
      <c r="AK85" s="3278">
        <v>2</v>
      </c>
      <c r="AL85" s="3267">
        <v>82253558</v>
      </c>
      <c r="AM85" s="3276"/>
      <c r="AN85" s="3267" t="s">
        <v>3099</v>
      </c>
      <c r="AO85" s="3276" t="s">
        <v>3832</v>
      </c>
      <c r="AP85" s="3267" t="s">
        <v>3180</v>
      </c>
      <c r="AQ85" s="3276" t="s">
        <v>3113</v>
      </c>
      <c r="AR85" s="3276"/>
      <c r="AS85" s="3276"/>
      <c r="AT85" s="3276"/>
      <c r="AU85" s="3276"/>
      <c r="AV85" s="3276"/>
      <c r="AW85" s="3276" t="s">
        <v>2997</v>
      </c>
      <c r="AX85" s="3276"/>
      <c r="AY85" s="3291"/>
      <c r="AZ85" s="3276" t="s">
        <v>3831</v>
      </c>
      <c r="BA85" s="3276"/>
      <c r="BB85" s="3291"/>
      <c r="BC85" s="3276"/>
      <c r="BD85" s="3292"/>
      <c r="BE85" s="3276">
        <v>13701064255</v>
      </c>
      <c r="BF85" s="3281"/>
      <c r="BG85" s="3299">
        <v>38758</v>
      </c>
      <c r="BH85" s="3276"/>
      <c r="BI85" s="3276" t="s">
        <v>3344</v>
      </c>
      <c r="BJ85" s="3283">
        <v>38772</v>
      </c>
      <c r="BK85" s="3299"/>
      <c r="BL85" s="3267" t="s">
        <v>2998</v>
      </c>
      <c r="BM85" s="3267" t="s">
        <v>2879</v>
      </c>
      <c r="BN85" s="3276" t="s">
        <v>2999</v>
      </c>
      <c r="BO85" s="3276" t="s">
        <v>3000</v>
      </c>
      <c r="BP85" s="3276"/>
      <c r="BQ85" s="3276" t="e">
        <v>#DIV/0!</v>
      </c>
      <c r="BR85" s="3276" t="e">
        <v>#DIV/0!</v>
      </c>
      <c r="BS85" s="3285"/>
      <c r="BT85" s="3285"/>
      <c r="BU85" s="3285"/>
    </row>
    <row r="86" spans="1:249" hidden="1">
      <c r="A86" s="3267" t="s">
        <v>3833</v>
      </c>
      <c r="B86" s="3267" t="s">
        <v>3834</v>
      </c>
      <c r="C86" s="3269" t="s">
        <v>3835</v>
      </c>
      <c r="D86" s="3269" t="s">
        <v>3836</v>
      </c>
      <c r="E86" s="3267" t="s">
        <v>2985</v>
      </c>
      <c r="F86" s="3244" t="s">
        <v>3401</v>
      </c>
      <c r="G86" s="3267"/>
      <c r="H86" s="3267" t="s">
        <v>3124</v>
      </c>
      <c r="I86" s="3267" t="s">
        <v>3586</v>
      </c>
      <c r="J86" s="3269" t="s">
        <v>3380</v>
      </c>
      <c r="K86" s="3267" t="s">
        <v>3837</v>
      </c>
      <c r="L86" s="3267">
        <v>57.33</v>
      </c>
      <c r="M86" s="3267">
        <v>3</v>
      </c>
      <c r="N86" s="3267" t="s">
        <v>3838</v>
      </c>
      <c r="O86" s="3267"/>
      <c r="P86" s="3267" t="s">
        <v>2963</v>
      </c>
      <c r="Q86" s="3271">
        <v>380000</v>
      </c>
      <c r="R86" s="3267">
        <v>6628</v>
      </c>
      <c r="S86" s="3272">
        <v>31.96</v>
      </c>
      <c r="T86" s="3273">
        <v>319600</v>
      </c>
      <c r="U86" s="3267">
        <v>5575</v>
      </c>
      <c r="V86" s="3289">
        <v>0.05</v>
      </c>
      <c r="W86" s="3272">
        <v>30.36</v>
      </c>
      <c r="X86" s="3275">
        <v>303600</v>
      </c>
      <c r="Y86" s="3276">
        <v>2006</v>
      </c>
      <c r="Z86" s="3276">
        <v>4</v>
      </c>
      <c r="AA86" s="3276">
        <v>5</v>
      </c>
      <c r="AB86" s="3267">
        <v>955</v>
      </c>
      <c r="AC86" s="3267" t="s">
        <v>3227</v>
      </c>
      <c r="AD86" s="3267"/>
      <c r="AE86" s="3267" t="s">
        <v>3344</v>
      </c>
      <c r="AF86" s="3267" t="s">
        <v>2966</v>
      </c>
      <c r="AG86" s="3279" t="s">
        <v>2967</v>
      </c>
      <c r="AH86" s="3267"/>
      <c r="AI86" s="3267" t="s">
        <v>3176</v>
      </c>
      <c r="AJ86" s="3284"/>
      <c r="AK86" s="3278">
        <v>4</v>
      </c>
      <c r="AL86" s="3267">
        <v>82253558</v>
      </c>
      <c r="AM86" s="3276"/>
      <c r="AN86" s="3267" t="s">
        <v>3131</v>
      </c>
      <c r="AO86" s="3276"/>
      <c r="AP86" s="3267" t="s">
        <v>3180</v>
      </c>
      <c r="AQ86" s="3276" t="s">
        <v>3113</v>
      </c>
      <c r="AR86" s="3276"/>
      <c r="AS86" s="3276"/>
      <c r="AT86" s="3276"/>
      <c r="AU86" s="3276"/>
      <c r="AV86" s="3276"/>
      <c r="AW86" s="3276" t="s">
        <v>2997</v>
      </c>
      <c r="AX86" s="3276"/>
      <c r="AY86" s="3291"/>
      <c r="AZ86" s="3276" t="s">
        <v>3837</v>
      </c>
      <c r="BA86" s="3276"/>
      <c r="BB86" s="3291"/>
      <c r="BC86" s="3276"/>
      <c r="BD86" s="3292"/>
      <c r="BE86" s="3276">
        <v>13801206439</v>
      </c>
      <c r="BF86" s="3281"/>
      <c r="BG86" s="3299">
        <v>38771</v>
      </c>
      <c r="BH86" s="3276"/>
      <c r="BI86" s="3279" t="s">
        <v>3239</v>
      </c>
      <c r="BJ86" s="3283">
        <v>38771</v>
      </c>
      <c r="BK86" s="3299"/>
      <c r="BL86" s="3267" t="s">
        <v>2998</v>
      </c>
      <c r="BM86" s="3267" t="s">
        <v>2879</v>
      </c>
      <c r="BN86" s="3276" t="s">
        <v>2999</v>
      </c>
      <c r="BO86" s="3276" t="s">
        <v>3000</v>
      </c>
      <c r="BP86" s="3276"/>
      <c r="BQ86" s="3276" t="e">
        <v>#DIV/0!</v>
      </c>
      <c r="BR86" s="3276" t="e">
        <v>#DIV/0!</v>
      </c>
      <c r="BS86" s="3285"/>
      <c r="BT86" s="3285"/>
      <c r="BU86" s="3285"/>
    </row>
    <row r="87" spans="1:249" ht="14.25" hidden="1">
      <c r="A87" s="3267" t="s">
        <v>3839</v>
      </c>
      <c r="B87" s="3295" t="s">
        <v>3840</v>
      </c>
      <c r="C87" s="3320" t="s">
        <v>3841</v>
      </c>
      <c r="D87" s="3320" t="s">
        <v>3842</v>
      </c>
      <c r="E87" s="3295" t="s">
        <v>2985</v>
      </c>
      <c r="F87" s="3295" t="s">
        <v>3843</v>
      </c>
      <c r="G87" s="3295"/>
      <c r="H87" s="3295" t="s">
        <v>3668</v>
      </c>
      <c r="I87" s="3332" t="s">
        <v>3844</v>
      </c>
      <c r="J87" s="3320" t="s">
        <v>3845</v>
      </c>
      <c r="K87" s="3295" t="s">
        <v>3846</v>
      </c>
      <c r="L87" s="3333">
        <v>106.87</v>
      </c>
      <c r="M87" s="3295">
        <v>27</v>
      </c>
      <c r="N87" s="3267" t="s">
        <v>3395</v>
      </c>
      <c r="O87" s="3295">
        <v>83.54</v>
      </c>
      <c r="P87" s="3295" t="s">
        <v>2963</v>
      </c>
      <c r="Q87" s="3339">
        <v>650000</v>
      </c>
      <c r="R87" s="3310">
        <v>6082</v>
      </c>
      <c r="S87" s="3311">
        <v>60.91</v>
      </c>
      <c r="T87" s="3312">
        <v>609100</v>
      </c>
      <c r="U87" s="3295">
        <v>5700</v>
      </c>
      <c r="V87" s="3324">
        <v>0.05</v>
      </c>
      <c r="W87" s="3272">
        <v>57.86</v>
      </c>
      <c r="X87" s="3312">
        <v>578600</v>
      </c>
      <c r="Y87" s="3294">
        <v>2006</v>
      </c>
      <c r="Z87" s="3294">
        <v>3</v>
      </c>
      <c r="AA87" s="3294">
        <v>7</v>
      </c>
      <c r="AB87" s="3295">
        <v>1500</v>
      </c>
      <c r="AC87" s="3295" t="s">
        <v>3227</v>
      </c>
      <c r="AD87" s="3295"/>
      <c r="AE87" s="3326" t="s">
        <v>3245</v>
      </c>
      <c r="AF87" s="3332" t="s">
        <v>2966</v>
      </c>
      <c r="AG87" s="3295" t="s">
        <v>2967</v>
      </c>
      <c r="AH87" s="3295"/>
      <c r="AI87" s="3267" t="s">
        <v>3115</v>
      </c>
      <c r="AJ87" s="3335"/>
      <c r="AK87" s="3267" t="s">
        <v>3114</v>
      </c>
      <c r="AL87" s="3267">
        <v>82253558</v>
      </c>
      <c r="AM87" s="3294"/>
      <c r="AN87" s="3267" t="s">
        <v>3140</v>
      </c>
      <c r="AO87" s="3295" t="s">
        <v>3839</v>
      </c>
      <c r="AP87" s="3267" t="s">
        <v>3180</v>
      </c>
      <c r="AQ87" s="3294" t="s">
        <v>3113</v>
      </c>
      <c r="AR87" s="3295"/>
      <c r="AS87" s="3295"/>
      <c r="AT87" s="3295"/>
      <c r="AU87" s="3295"/>
      <c r="AV87" s="3294"/>
      <c r="AW87" s="3294" t="s">
        <v>2997</v>
      </c>
      <c r="AX87" s="3294"/>
      <c r="AY87" s="3327"/>
      <c r="AZ87" s="3295" t="s">
        <v>3846</v>
      </c>
      <c r="BA87" s="3294"/>
      <c r="BB87" s="3327"/>
      <c r="BC87" s="3294"/>
      <c r="BD87" s="3328"/>
      <c r="BE87" s="3327" t="s">
        <v>3847</v>
      </c>
      <c r="BF87" s="3329"/>
      <c r="BG87" s="3340">
        <v>38776</v>
      </c>
      <c r="BH87" s="3294"/>
      <c r="BI87" s="3267" t="s">
        <v>3145</v>
      </c>
      <c r="BJ87" s="3330">
        <v>38777</v>
      </c>
      <c r="BK87" s="3330"/>
      <c r="BL87" s="3267" t="s">
        <v>2998</v>
      </c>
      <c r="BM87" s="3294" t="s">
        <v>2879</v>
      </c>
      <c r="BN87" s="3295" t="s">
        <v>3111</v>
      </c>
      <c r="BO87" s="3294" t="s">
        <v>3146</v>
      </c>
      <c r="BP87" s="3294"/>
      <c r="BQ87" s="3294">
        <v>7292</v>
      </c>
      <c r="BR87" s="3294">
        <v>7781</v>
      </c>
      <c r="BS87" s="3341"/>
      <c r="BT87" s="3341"/>
      <c r="BU87" s="3341"/>
    </row>
    <row r="88" spans="1:249">
      <c r="A88" s="3267" t="s">
        <v>3848</v>
      </c>
      <c r="B88" s="3267" t="s">
        <v>3849</v>
      </c>
      <c r="C88" s="3269" t="s">
        <v>3850</v>
      </c>
      <c r="D88" s="3269" t="s">
        <v>3851</v>
      </c>
      <c r="E88" s="3267" t="s">
        <v>2985</v>
      </c>
      <c r="F88" s="3244" t="s">
        <v>3852</v>
      </c>
      <c r="G88" s="3267"/>
      <c r="H88" s="3267" t="s">
        <v>3244</v>
      </c>
      <c r="I88" s="3267"/>
      <c r="J88" s="3269" t="s">
        <v>3853</v>
      </c>
      <c r="K88" s="3267" t="s">
        <v>3854</v>
      </c>
      <c r="L88" s="3267">
        <v>74.87</v>
      </c>
      <c r="M88" s="3267">
        <v>2</v>
      </c>
      <c r="N88" s="3267" t="s">
        <v>3122</v>
      </c>
      <c r="O88" s="3267"/>
      <c r="P88" s="3267" t="s">
        <v>2963</v>
      </c>
      <c r="Q88" s="3271">
        <v>430000</v>
      </c>
      <c r="R88" s="3267">
        <v>5743</v>
      </c>
      <c r="S88" s="3272">
        <v>41.73</v>
      </c>
      <c r="T88" s="3273">
        <v>417299.99999999994</v>
      </c>
      <c r="U88" s="3267">
        <v>5574</v>
      </c>
      <c r="V88" s="3289">
        <v>0.05</v>
      </c>
      <c r="W88" s="3272">
        <v>39.64</v>
      </c>
      <c r="X88" s="3275">
        <v>396400</v>
      </c>
      <c r="Y88" s="3276">
        <v>2006</v>
      </c>
      <c r="Z88" s="3276">
        <v>5</v>
      </c>
      <c r="AA88" s="3276">
        <v>18</v>
      </c>
      <c r="AB88" s="3267">
        <v>1250</v>
      </c>
      <c r="AC88" s="3267" t="s">
        <v>3227</v>
      </c>
      <c r="AD88" s="3267"/>
      <c r="AE88" s="3267" t="s">
        <v>3344</v>
      </c>
      <c r="AF88" s="3267" t="s">
        <v>2966</v>
      </c>
      <c r="AG88" s="3279" t="s">
        <v>2967</v>
      </c>
      <c r="AH88" s="3267"/>
      <c r="AI88" s="3267" t="s">
        <v>3176</v>
      </c>
      <c r="AJ88" s="3284"/>
      <c r="AK88" s="3278" t="s">
        <v>3099</v>
      </c>
      <c r="AL88" s="3267">
        <v>82253558</v>
      </c>
      <c r="AM88" s="3276"/>
      <c r="AN88" s="3267" t="s">
        <v>3140</v>
      </c>
      <c r="AO88" s="3276"/>
      <c r="AP88" s="3267" t="s">
        <v>3180</v>
      </c>
      <c r="AQ88" s="3276" t="s">
        <v>3113</v>
      </c>
      <c r="AR88" s="3276"/>
      <c r="AS88" s="3276"/>
      <c r="AT88" s="3276"/>
      <c r="AU88" s="3276"/>
      <c r="AV88" s="3276"/>
      <c r="AW88" s="3276" t="s">
        <v>2997</v>
      </c>
      <c r="AX88" s="3276"/>
      <c r="AY88" s="3291"/>
      <c r="AZ88" s="3267" t="s">
        <v>3854</v>
      </c>
      <c r="BA88" s="3276"/>
      <c r="BB88" s="3291"/>
      <c r="BC88" s="3276"/>
      <c r="BD88" s="3292"/>
      <c r="BE88" s="3276"/>
      <c r="BF88" s="3281"/>
      <c r="BG88" s="3299">
        <v>38772</v>
      </c>
      <c r="BH88" s="3276"/>
      <c r="BI88" s="3276" t="s">
        <v>3344</v>
      </c>
      <c r="BJ88" s="3283">
        <v>38771</v>
      </c>
      <c r="BK88" s="3299"/>
      <c r="BL88" s="3267" t="s">
        <v>2998</v>
      </c>
      <c r="BM88" s="3267" t="s">
        <v>2879</v>
      </c>
      <c r="BN88" s="3276" t="s">
        <v>2999</v>
      </c>
      <c r="BO88" s="3276" t="s">
        <v>3000</v>
      </c>
      <c r="BP88" s="3276"/>
      <c r="BQ88" s="3276" t="e">
        <v>#DIV/0!</v>
      </c>
      <c r="BR88" s="3276" t="e">
        <v>#DIV/0!</v>
      </c>
      <c r="BS88" s="3285"/>
      <c r="BT88" s="3285"/>
      <c r="BU88" s="3285"/>
    </row>
    <row r="89" spans="1:249" hidden="1">
      <c r="A89" s="3267" t="s">
        <v>3855</v>
      </c>
      <c r="B89" s="3267" t="s">
        <v>3856</v>
      </c>
      <c r="C89" s="3342" t="s">
        <v>3857</v>
      </c>
      <c r="D89" s="3267">
        <v>13331039975</v>
      </c>
      <c r="E89" s="3267" t="s">
        <v>2985</v>
      </c>
      <c r="F89" s="3267" t="s">
        <v>3641</v>
      </c>
      <c r="G89" s="3267"/>
      <c r="H89" s="3267" t="s">
        <v>3130</v>
      </c>
      <c r="I89" s="3267" t="s">
        <v>3191</v>
      </c>
      <c r="J89" s="3267" t="s">
        <v>3858</v>
      </c>
      <c r="K89" s="3267" t="s">
        <v>3859</v>
      </c>
      <c r="L89" s="3270">
        <v>65.45</v>
      </c>
      <c r="M89" s="3267">
        <v>4</v>
      </c>
      <c r="N89" s="3267" t="s">
        <v>3122</v>
      </c>
      <c r="O89" s="3267"/>
      <c r="P89" s="3267" t="s">
        <v>2963</v>
      </c>
      <c r="Q89" s="3271">
        <v>470000</v>
      </c>
      <c r="R89" s="3267">
        <v>7181</v>
      </c>
      <c r="S89" s="3272">
        <v>40.25</v>
      </c>
      <c r="T89" s="3273">
        <v>402500</v>
      </c>
      <c r="U89" s="3267">
        <v>6150</v>
      </c>
      <c r="V89" s="3289">
        <v>0.05</v>
      </c>
      <c r="W89" s="3272">
        <v>38.229999999999997</v>
      </c>
      <c r="X89" s="3275">
        <v>382300</v>
      </c>
      <c r="Y89" s="3276">
        <v>2006</v>
      </c>
      <c r="Z89" s="3276">
        <v>3</v>
      </c>
      <c r="AA89" s="3267">
        <v>14</v>
      </c>
      <c r="AB89" s="3267">
        <v>1205</v>
      </c>
      <c r="AC89" s="3267" t="s">
        <v>3227</v>
      </c>
      <c r="AD89" s="3267"/>
      <c r="AE89" s="3267" t="s">
        <v>3121</v>
      </c>
      <c r="AF89" s="3267" t="s">
        <v>2966</v>
      </c>
      <c r="AG89" s="3267" t="s">
        <v>2967</v>
      </c>
      <c r="AH89" s="3267" t="s">
        <v>3860</v>
      </c>
      <c r="AI89" s="3267" t="s">
        <v>3245</v>
      </c>
      <c r="AJ89" s="3284"/>
      <c r="AK89" s="3316" t="s">
        <v>3114</v>
      </c>
      <c r="AL89" s="3267">
        <v>82253558</v>
      </c>
      <c r="AM89" s="3267"/>
      <c r="AN89" s="3279" t="s">
        <v>3114</v>
      </c>
      <c r="AO89" s="3267"/>
      <c r="AP89" s="3267" t="s">
        <v>3180</v>
      </c>
      <c r="AQ89" s="3267" t="s">
        <v>3113</v>
      </c>
      <c r="AR89" s="3267"/>
      <c r="AS89" s="3267"/>
      <c r="AT89" s="3267"/>
      <c r="AU89" s="3267"/>
      <c r="AV89" s="3267"/>
      <c r="AW89" s="3267" t="s">
        <v>3119</v>
      </c>
      <c r="AX89" s="3267"/>
      <c r="AY89" s="3269"/>
      <c r="AZ89" s="3267" t="s">
        <v>3859</v>
      </c>
      <c r="BA89" s="3267"/>
      <c r="BB89" s="3269"/>
      <c r="BC89" s="3267"/>
      <c r="BD89" s="3304"/>
      <c r="BE89" s="3267"/>
      <c r="BF89" s="3305"/>
      <c r="BG89" s="3284">
        <v>38771</v>
      </c>
      <c r="BH89" s="3267"/>
      <c r="BI89" s="3276" t="s">
        <v>3121</v>
      </c>
      <c r="BJ89" s="3283">
        <v>38771</v>
      </c>
      <c r="BK89" s="3284"/>
      <c r="BL89" s="3267" t="s">
        <v>2998</v>
      </c>
      <c r="BM89" s="3276"/>
      <c r="BN89" s="3276"/>
      <c r="BO89" s="3267"/>
      <c r="BP89" s="3267"/>
      <c r="BQ89" s="3276" t="e">
        <v>#DIV/0!</v>
      </c>
      <c r="BR89" s="3276" t="e">
        <v>#DIV/0!</v>
      </c>
      <c r="BS89" s="3285"/>
      <c r="BT89" s="3285"/>
      <c r="BU89" s="3285"/>
    </row>
    <row r="90" spans="1:249">
      <c r="A90" s="3267" t="s">
        <v>3861</v>
      </c>
      <c r="B90" s="3267" t="s">
        <v>3862</v>
      </c>
      <c r="C90" s="3269" t="s">
        <v>3863</v>
      </c>
      <c r="D90" s="3267">
        <v>13301311086</v>
      </c>
      <c r="E90" s="3267" t="s">
        <v>2985</v>
      </c>
      <c r="F90" s="3267" t="s">
        <v>3864</v>
      </c>
      <c r="G90" s="3267"/>
      <c r="H90" s="3267" t="s">
        <v>3865</v>
      </c>
      <c r="I90" s="3267"/>
      <c r="J90" s="3267" t="s">
        <v>3866</v>
      </c>
      <c r="K90" s="3268" t="s">
        <v>3867</v>
      </c>
      <c r="L90" s="3267">
        <v>75.97</v>
      </c>
      <c r="M90" s="3267">
        <v>16</v>
      </c>
      <c r="N90" s="3267" t="s">
        <v>3122</v>
      </c>
      <c r="O90" s="3267"/>
      <c r="P90" s="3267" t="s">
        <v>2963</v>
      </c>
      <c r="Q90" s="3267">
        <v>510000</v>
      </c>
      <c r="R90" s="3267">
        <v>6713</v>
      </c>
      <c r="S90" s="3272">
        <v>45.43</v>
      </c>
      <c r="T90" s="3273">
        <v>454300</v>
      </c>
      <c r="U90" s="3267">
        <v>5980</v>
      </c>
      <c r="V90" s="3274">
        <v>0.05</v>
      </c>
      <c r="W90" s="3272">
        <v>43.15</v>
      </c>
      <c r="X90" s="3275">
        <v>431500</v>
      </c>
      <c r="Y90" s="3267">
        <v>2006</v>
      </c>
      <c r="Z90" s="3267">
        <v>3</v>
      </c>
      <c r="AA90" s="3276">
        <v>13</v>
      </c>
      <c r="AB90" s="3267">
        <v>1360</v>
      </c>
      <c r="AC90" s="3267" t="s">
        <v>3227</v>
      </c>
      <c r="AD90" s="3267"/>
      <c r="AE90" s="3267" t="s">
        <v>3180</v>
      </c>
      <c r="AF90" s="3267" t="s">
        <v>2966</v>
      </c>
      <c r="AG90" s="3267" t="s">
        <v>2967</v>
      </c>
      <c r="AH90" s="3267"/>
      <c r="AI90" s="3267" t="s">
        <v>3115</v>
      </c>
      <c r="AJ90" s="3284"/>
      <c r="AK90" s="3267" t="s">
        <v>3114</v>
      </c>
      <c r="AL90" s="3267">
        <v>82253558</v>
      </c>
      <c r="AM90" s="3267"/>
      <c r="AN90" s="3267" t="s">
        <v>3114</v>
      </c>
      <c r="AO90" s="3267"/>
      <c r="AP90" s="3267" t="s">
        <v>3180</v>
      </c>
      <c r="AQ90" s="3267" t="s">
        <v>3228</v>
      </c>
      <c r="AR90" s="3267">
        <v>2006</v>
      </c>
      <c r="AS90" s="3267">
        <v>3</v>
      </c>
      <c r="AT90" s="3267">
        <v>3</v>
      </c>
      <c r="AU90" s="3267"/>
      <c r="AV90" s="3267"/>
      <c r="AW90" s="3267" t="s">
        <v>2997</v>
      </c>
      <c r="AX90" s="3267"/>
      <c r="AY90" s="3269"/>
      <c r="AZ90" s="3267" t="s">
        <v>3867</v>
      </c>
      <c r="BA90" s="3267"/>
      <c r="BB90" s="3267"/>
      <c r="BC90" s="3267"/>
      <c r="BD90" s="3267"/>
      <c r="BE90" s="3267"/>
      <c r="BF90" s="3267"/>
      <c r="BG90" s="3307">
        <v>38772</v>
      </c>
      <c r="BH90" s="3267"/>
      <c r="BI90" s="3267" t="s">
        <v>3180</v>
      </c>
      <c r="BJ90" s="3299">
        <v>38771</v>
      </c>
      <c r="BK90" s="3283"/>
      <c r="BL90" s="3267" t="s">
        <v>2998</v>
      </c>
      <c r="BM90" s="3267" t="s">
        <v>2879</v>
      </c>
      <c r="BN90" s="3267" t="s">
        <v>2999</v>
      </c>
      <c r="BO90" s="3276" t="s">
        <v>3146</v>
      </c>
      <c r="BP90" s="3267"/>
      <c r="BQ90" s="3276" t="e">
        <v>#DIV/0!</v>
      </c>
      <c r="BR90" s="3276" t="e">
        <v>#DIV/0!</v>
      </c>
      <c r="BS90" s="3285"/>
      <c r="BT90" s="3285"/>
      <c r="BU90" s="3285"/>
    </row>
    <row r="91" spans="1:249" hidden="1">
      <c r="A91" s="3267" t="s">
        <v>3868</v>
      </c>
      <c r="B91" s="3267" t="s">
        <v>3869</v>
      </c>
      <c r="C91" s="3269" t="s">
        <v>3870</v>
      </c>
      <c r="D91" s="3269" t="s">
        <v>3871</v>
      </c>
      <c r="E91" s="3280" t="s">
        <v>2985</v>
      </c>
      <c r="F91" s="3308" t="s">
        <v>3872</v>
      </c>
      <c r="G91" s="3267"/>
      <c r="H91" s="3268" t="s">
        <v>3124</v>
      </c>
      <c r="I91" s="3268"/>
      <c r="J91" s="3280" t="s">
        <v>3189</v>
      </c>
      <c r="K91" s="3267" t="s">
        <v>3540</v>
      </c>
      <c r="L91" s="3286">
        <v>55.34</v>
      </c>
      <c r="M91" s="3270">
        <v>1</v>
      </c>
      <c r="N91" s="3267" t="s">
        <v>3122</v>
      </c>
      <c r="O91" s="3270"/>
      <c r="P91" s="3267" t="s">
        <v>2963</v>
      </c>
      <c r="Q91" s="3287">
        <v>430000</v>
      </c>
      <c r="R91" s="3267">
        <v>7770</v>
      </c>
      <c r="S91" s="3318">
        <v>35.08</v>
      </c>
      <c r="T91" s="3273">
        <v>350800</v>
      </c>
      <c r="U91" s="3287">
        <v>6339</v>
      </c>
      <c r="V91" s="3289">
        <v>0.05</v>
      </c>
      <c r="W91" s="3318">
        <v>33.32</v>
      </c>
      <c r="X91" s="3273">
        <v>333200</v>
      </c>
      <c r="Y91" s="3343">
        <v>2006</v>
      </c>
      <c r="Z91" s="3343">
        <v>3</v>
      </c>
      <c r="AA91" s="3343">
        <v>13</v>
      </c>
      <c r="AB91" s="3267">
        <v>1050</v>
      </c>
      <c r="AC91" s="3267" t="s">
        <v>3227</v>
      </c>
      <c r="AD91" s="3267"/>
      <c r="AE91" s="3314" t="s">
        <v>3396</v>
      </c>
      <c r="AF91" s="3268" t="s">
        <v>2966</v>
      </c>
      <c r="AG91" s="3280" t="s">
        <v>2967</v>
      </c>
      <c r="AH91" s="3267"/>
      <c r="AI91" s="3267" t="s">
        <v>3115</v>
      </c>
      <c r="AJ91" s="3290"/>
      <c r="AK91" s="3278" t="s">
        <v>3114</v>
      </c>
      <c r="AL91" s="3267">
        <v>82253558</v>
      </c>
      <c r="AM91" s="3276"/>
      <c r="AN91" s="3267" t="s">
        <v>3114</v>
      </c>
      <c r="AO91" s="3276"/>
      <c r="AP91" s="3267" t="s">
        <v>3180</v>
      </c>
      <c r="AQ91" s="3267" t="s">
        <v>3113</v>
      </c>
      <c r="AR91" s="3267"/>
      <c r="AS91" s="3267"/>
      <c r="AT91" s="3267"/>
      <c r="AU91" s="3276"/>
      <c r="AV91" s="3270"/>
      <c r="AW91" s="3267" t="s">
        <v>3112</v>
      </c>
      <c r="AX91" s="3276"/>
      <c r="AY91" s="3309"/>
      <c r="AZ91" s="3276" t="s">
        <v>3540</v>
      </c>
      <c r="BA91" s="3276"/>
      <c r="BB91" s="3291"/>
      <c r="BC91" s="3343"/>
      <c r="BD91" s="3292"/>
      <c r="BE91" s="3276"/>
      <c r="BF91" s="3344"/>
      <c r="BG91" s="3293">
        <v>38774</v>
      </c>
      <c r="BH91" s="3276"/>
      <c r="BI91" s="3267" t="s">
        <v>3145</v>
      </c>
      <c r="BJ91" s="3345">
        <v>38776</v>
      </c>
      <c r="BK91" s="3299"/>
      <c r="BL91" s="3267" t="s">
        <v>2998</v>
      </c>
      <c r="BM91" s="3276" t="s">
        <v>2879</v>
      </c>
      <c r="BN91" s="3276" t="s">
        <v>2999</v>
      </c>
      <c r="BO91" s="3276" t="s">
        <v>3873</v>
      </c>
      <c r="BP91" s="3276"/>
      <c r="BQ91" s="3276"/>
      <c r="BR91" s="3276"/>
      <c r="BS91" s="3285"/>
      <c r="BT91" s="3285"/>
      <c r="BU91" s="3285"/>
    </row>
    <row r="92" spans="1:249" hidden="1">
      <c r="A92" s="3267" t="s">
        <v>3874</v>
      </c>
      <c r="B92" s="3267" t="s">
        <v>3875</v>
      </c>
      <c r="C92" s="3269" t="s">
        <v>3876</v>
      </c>
      <c r="D92" s="3269" t="s">
        <v>3877</v>
      </c>
      <c r="E92" s="3267" t="s">
        <v>2985</v>
      </c>
      <c r="F92" s="3244" t="s">
        <v>3261</v>
      </c>
      <c r="G92" s="3267"/>
      <c r="H92" s="3267" t="s">
        <v>3150</v>
      </c>
      <c r="I92" s="3267"/>
      <c r="J92" s="3269" t="s">
        <v>3878</v>
      </c>
      <c r="K92" s="3267" t="s">
        <v>3879</v>
      </c>
      <c r="L92" s="3270">
        <v>60.2</v>
      </c>
      <c r="M92" s="3267">
        <v>6</v>
      </c>
      <c r="N92" s="3267" t="s">
        <v>3838</v>
      </c>
      <c r="O92" s="3267"/>
      <c r="P92" s="3267" t="s">
        <v>2963</v>
      </c>
      <c r="Q92" s="3271">
        <v>450000</v>
      </c>
      <c r="R92" s="3346">
        <v>7475</v>
      </c>
      <c r="S92" s="3272">
        <v>38.299999999999997</v>
      </c>
      <c r="T92" s="3273">
        <v>383000</v>
      </c>
      <c r="U92" s="3267">
        <v>6363</v>
      </c>
      <c r="V92" s="3289">
        <v>0.05</v>
      </c>
      <c r="W92" s="3272">
        <v>36.380000000000003</v>
      </c>
      <c r="X92" s="3275">
        <v>363800</v>
      </c>
      <c r="Y92" s="3276">
        <v>2006</v>
      </c>
      <c r="Z92" s="3276">
        <v>3</v>
      </c>
      <c r="AA92" s="3276">
        <v>2</v>
      </c>
      <c r="AB92" s="3346">
        <v>1145</v>
      </c>
      <c r="AC92" s="3267" t="s">
        <v>3227</v>
      </c>
      <c r="AD92" s="3267"/>
      <c r="AE92" s="3295" t="s">
        <v>3344</v>
      </c>
      <c r="AF92" s="3267" t="s">
        <v>2966</v>
      </c>
      <c r="AG92" s="3279" t="s">
        <v>2967</v>
      </c>
      <c r="AH92" s="3267"/>
      <c r="AI92" s="3267" t="s">
        <v>3176</v>
      </c>
      <c r="AJ92" s="3315"/>
      <c r="AK92" s="3278">
        <v>3</v>
      </c>
      <c r="AL92" s="3295">
        <v>82253558</v>
      </c>
      <c r="AM92" s="3276"/>
      <c r="AN92" s="3267" t="s">
        <v>3131</v>
      </c>
      <c r="AO92" s="3276"/>
      <c r="AP92" s="3295" t="s">
        <v>3180</v>
      </c>
      <c r="AQ92" s="3276" t="s">
        <v>3113</v>
      </c>
      <c r="AR92" s="3276"/>
      <c r="AS92" s="3276"/>
      <c r="AT92" s="3276"/>
      <c r="AU92" s="3276"/>
      <c r="AV92" s="3276"/>
      <c r="AW92" s="3276" t="s">
        <v>2997</v>
      </c>
      <c r="AX92" s="3276"/>
      <c r="AY92" s="3291"/>
      <c r="AZ92" s="3267" t="s">
        <v>3879</v>
      </c>
      <c r="BA92" s="3276"/>
      <c r="BB92" s="3291"/>
      <c r="BC92" s="3276"/>
      <c r="BD92" s="3292"/>
      <c r="BE92" s="3276"/>
      <c r="BF92" s="3281"/>
      <c r="BG92" s="3299">
        <v>38776</v>
      </c>
      <c r="BH92" s="3276"/>
      <c r="BI92" s="3294" t="s">
        <v>3344</v>
      </c>
      <c r="BJ92" s="3283">
        <v>38776</v>
      </c>
      <c r="BK92" s="3299"/>
      <c r="BL92" s="3267" t="s">
        <v>2998</v>
      </c>
      <c r="BM92" s="3267" t="s">
        <v>2879</v>
      </c>
      <c r="BN92" s="3276" t="s">
        <v>2999</v>
      </c>
      <c r="BO92" s="3276" t="s">
        <v>3000</v>
      </c>
      <c r="BP92" s="3276"/>
      <c r="BQ92" s="3276" t="e">
        <v>#DIV/0!</v>
      </c>
      <c r="BR92" s="3276" t="e">
        <v>#DIV/0!</v>
      </c>
      <c r="BS92" s="3285"/>
      <c r="BT92" s="3285"/>
      <c r="BU92" s="3285"/>
    </row>
    <row r="93" spans="1:249" hidden="1">
      <c r="A93" s="3267" t="s">
        <v>3880</v>
      </c>
      <c r="B93" s="3268" t="s">
        <v>3881</v>
      </c>
      <c r="C93" s="3269" t="s">
        <v>3882</v>
      </c>
      <c r="D93" s="3268" t="s">
        <v>3883</v>
      </c>
      <c r="E93" s="3268" t="s">
        <v>2985</v>
      </c>
      <c r="F93" s="3268" t="s">
        <v>3884</v>
      </c>
      <c r="G93" s="3268"/>
      <c r="H93" s="3268" t="s">
        <v>3194</v>
      </c>
      <c r="I93" s="3268" t="s">
        <v>3586</v>
      </c>
      <c r="J93" s="3268">
        <v>1503</v>
      </c>
      <c r="K93" s="3268" t="s">
        <v>3885</v>
      </c>
      <c r="L93" s="3270">
        <v>80.72</v>
      </c>
      <c r="M93" s="3270">
        <v>15</v>
      </c>
      <c r="N93" s="3268" t="s">
        <v>3122</v>
      </c>
      <c r="O93" s="3270">
        <v>64.89</v>
      </c>
      <c r="P93" s="3268" t="s">
        <v>2963</v>
      </c>
      <c r="Q93" s="3271">
        <v>480000</v>
      </c>
      <c r="R93" s="3267">
        <v>5946</v>
      </c>
      <c r="S93" s="3272">
        <v>51.34</v>
      </c>
      <c r="T93" s="3273">
        <v>513400.00000000006</v>
      </c>
      <c r="U93" s="3267">
        <v>6361</v>
      </c>
      <c r="V93" s="3289">
        <v>0.05</v>
      </c>
      <c r="W93" s="3272">
        <v>48.77</v>
      </c>
      <c r="X93" s="3275">
        <v>369300</v>
      </c>
      <c r="Y93" s="3276">
        <v>2006</v>
      </c>
      <c r="Z93" s="3276">
        <v>3</v>
      </c>
      <c r="AA93" s="3276">
        <v>9</v>
      </c>
      <c r="AB93" s="3267">
        <v>1500</v>
      </c>
      <c r="AC93" s="3267" t="s">
        <v>3227</v>
      </c>
      <c r="AD93" s="3268"/>
      <c r="AE93" s="3279" t="s">
        <v>3344</v>
      </c>
      <c r="AF93" s="3268" t="s">
        <v>2966</v>
      </c>
      <c r="AG93" s="3268" t="s">
        <v>2967</v>
      </c>
      <c r="AH93" s="3268"/>
      <c r="AI93" s="3279" t="s">
        <v>3176</v>
      </c>
      <c r="AJ93" s="3290"/>
      <c r="AK93" s="3278" t="s">
        <v>3114</v>
      </c>
      <c r="AL93" s="3276">
        <v>82253558</v>
      </c>
      <c r="AM93" s="3276"/>
      <c r="AN93" s="3279" t="s">
        <v>3140</v>
      </c>
      <c r="AO93" s="3276" t="s">
        <v>3886</v>
      </c>
      <c r="AP93" s="3279" t="s">
        <v>3344</v>
      </c>
      <c r="AQ93" s="3276" t="s">
        <v>3113</v>
      </c>
      <c r="AR93" s="3267"/>
      <c r="AS93" s="3267"/>
      <c r="AT93" s="3267"/>
      <c r="AU93" s="3267"/>
      <c r="AV93" s="3277"/>
      <c r="AW93" s="3276" t="s">
        <v>2997</v>
      </c>
      <c r="AX93" s="3276"/>
      <c r="AY93" s="3291"/>
      <c r="AZ93" s="3267" t="s">
        <v>3885</v>
      </c>
      <c r="BA93" s="3296"/>
      <c r="BB93" s="3297"/>
      <c r="BC93" s="3296"/>
      <c r="BD93" s="3298"/>
      <c r="BE93" s="3276" t="s">
        <v>3887</v>
      </c>
      <c r="BF93" s="3281"/>
      <c r="BG93" s="3293">
        <v>38740</v>
      </c>
      <c r="BH93" s="3276"/>
      <c r="BI93" s="3267" t="s">
        <v>3344</v>
      </c>
      <c r="BJ93" s="3299">
        <v>38783</v>
      </c>
      <c r="BK93" s="3299"/>
      <c r="BL93" s="3267" t="s">
        <v>2998</v>
      </c>
      <c r="BM93" s="3267" t="s">
        <v>2879</v>
      </c>
      <c r="BN93" s="3276" t="s">
        <v>2999</v>
      </c>
      <c r="BO93" s="3267" t="s">
        <v>3146</v>
      </c>
      <c r="BP93" s="3276"/>
      <c r="BQ93" s="3276">
        <v>7912</v>
      </c>
      <c r="BR93" s="3276">
        <v>7397</v>
      </c>
      <c r="BS93" s="3285"/>
      <c r="BT93" s="3285"/>
      <c r="BU93" s="3285"/>
    </row>
    <row r="94" spans="1:249" hidden="1">
      <c r="A94" s="3267" t="s">
        <v>3888</v>
      </c>
      <c r="B94" s="3267" t="s">
        <v>3889</v>
      </c>
      <c r="C94" s="3269" t="s">
        <v>3890</v>
      </c>
      <c r="D94" s="3267">
        <v>13910389669</v>
      </c>
      <c r="E94" s="3267" t="s">
        <v>2985</v>
      </c>
      <c r="F94" s="3267" t="s">
        <v>3891</v>
      </c>
      <c r="G94" s="3267"/>
      <c r="H94" s="3267" t="s">
        <v>3194</v>
      </c>
      <c r="I94" s="3267" t="s">
        <v>3318</v>
      </c>
      <c r="J94" s="3267" t="s">
        <v>3437</v>
      </c>
      <c r="K94" s="3268" t="s">
        <v>3892</v>
      </c>
      <c r="L94" s="3270">
        <v>98.2</v>
      </c>
      <c r="M94" s="3267">
        <v>4</v>
      </c>
      <c r="N94" s="3267" t="s">
        <v>3395</v>
      </c>
      <c r="O94" s="3267"/>
      <c r="P94" s="3267" t="s">
        <v>2963</v>
      </c>
      <c r="Q94" s="3267">
        <v>600000</v>
      </c>
      <c r="R94" s="3267">
        <v>6110</v>
      </c>
      <c r="S94" s="3272">
        <v>44.6</v>
      </c>
      <c r="T94" s="3273">
        <v>446000</v>
      </c>
      <c r="U94" s="3267">
        <v>4542</v>
      </c>
      <c r="V94" s="3274">
        <v>0.05</v>
      </c>
      <c r="W94" s="3272">
        <v>42.37</v>
      </c>
      <c r="X94" s="3275">
        <v>423700</v>
      </c>
      <c r="Y94" s="3267">
        <v>2006</v>
      </c>
      <c r="Z94" s="3267">
        <v>3</v>
      </c>
      <c r="AA94" s="3276">
        <v>27</v>
      </c>
      <c r="AB94" s="3267">
        <v>1335</v>
      </c>
      <c r="AC94" s="3267" t="s">
        <v>3227</v>
      </c>
      <c r="AD94" s="3267"/>
      <c r="AE94" s="3267" t="s">
        <v>3176</v>
      </c>
      <c r="AF94" s="3267" t="s">
        <v>2966</v>
      </c>
      <c r="AG94" s="3267" t="s">
        <v>2967</v>
      </c>
      <c r="AH94" s="3267"/>
      <c r="AI94" s="3267" t="s">
        <v>3115</v>
      </c>
      <c r="AJ94" s="3284"/>
      <c r="AK94" s="3267" t="s">
        <v>3114</v>
      </c>
      <c r="AL94" s="3267">
        <v>82253558</v>
      </c>
      <c r="AM94" s="3267"/>
      <c r="AN94" s="3267" t="s">
        <v>2994</v>
      </c>
      <c r="AO94" s="3267" t="s">
        <v>2968</v>
      </c>
      <c r="AP94" s="3267" t="s">
        <v>3180</v>
      </c>
      <c r="AQ94" s="3267" t="s">
        <v>3113</v>
      </c>
      <c r="AR94" s="3267"/>
      <c r="AS94" s="3267"/>
      <c r="AT94" s="3267"/>
      <c r="AU94" s="3267"/>
      <c r="AV94" s="3267"/>
      <c r="AW94" s="3267" t="s">
        <v>2997</v>
      </c>
      <c r="AX94" s="3267"/>
      <c r="AY94" s="3269"/>
      <c r="AZ94" s="3267" t="s">
        <v>3892</v>
      </c>
      <c r="BA94" s="3267"/>
      <c r="BB94" s="3267"/>
      <c r="BC94" s="3267"/>
      <c r="BD94" s="3267"/>
      <c r="BE94" s="3267">
        <v>13910391589</v>
      </c>
      <c r="BF94" s="3267"/>
      <c r="BG94" s="3307">
        <v>38782</v>
      </c>
      <c r="BH94" s="3267"/>
      <c r="BI94" s="3267" t="s">
        <v>3239</v>
      </c>
      <c r="BJ94" s="3283">
        <v>38782</v>
      </c>
      <c r="BK94" s="3283"/>
      <c r="BL94" s="3267" t="s">
        <v>2998</v>
      </c>
      <c r="BM94" s="3267" t="s">
        <v>2879</v>
      </c>
      <c r="BN94" s="3267" t="s">
        <v>2999</v>
      </c>
      <c r="BO94" s="3267" t="s">
        <v>3000</v>
      </c>
      <c r="BP94" s="3267"/>
      <c r="BQ94" s="3276" t="e">
        <v>#DIV/0!</v>
      </c>
      <c r="BR94" s="3276" t="e">
        <v>#DIV/0!</v>
      </c>
      <c r="BS94" s="3285"/>
      <c r="BT94" s="3285"/>
      <c r="BU94" s="3285"/>
      <c r="BV94" s="3347"/>
      <c r="BW94" s="3347"/>
      <c r="BX94" s="3347"/>
      <c r="BY94" s="3347"/>
      <c r="BZ94" s="3347"/>
      <c r="CA94" s="3347"/>
      <c r="CB94" s="3347"/>
      <c r="CC94" s="3347"/>
      <c r="CD94" s="3347"/>
      <c r="CE94" s="3347"/>
      <c r="CF94" s="3347"/>
      <c r="CG94" s="3347"/>
      <c r="CH94" s="3347"/>
      <c r="CI94" s="3347"/>
      <c r="CJ94" s="3347"/>
      <c r="CK94" s="3347"/>
      <c r="CL94" s="3347"/>
      <c r="CM94" s="3347"/>
      <c r="CN94" s="3347"/>
      <c r="CO94" s="3347"/>
      <c r="CP94" s="3347"/>
      <c r="CQ94" s="3347"/>
      <c r="CR94" s="3347"/>
      <c r="CS94" s="3347"/>
      <c r="CT94" s="3347"/>
      <c r="CU94" s="3347"/>
      <c r="CV94" s="3347"/>
      <c r="CW94" s="3347"/>
      <c r="CX94" s="3347"/>
      <c r="CY94" s="3347"/>
      <c r="CZ94" s="3347"/>
      <c r="DA94" s="3347"/>
      <c r="DB94" s="3347"/>
      <c r="DC94" s="3347"/>
      <c r="DD94" s="3347"/>
      <c r="DE94" s="3347"/>
      <c r="DF94" s="3347"/>
      <c r="DG94" s="3347"/>
      <c r="DH94" s="3347"/>
      <c r="DI94" s="3347"/>
      <c r="DJ94" s="3347"/>
      <c r="DK94" s="3347"/>
      <c r="DL94" s="3347"/>
      <c r="DM94" s="3347"/>
      <c r="DN94" s="3347"/>
      <c r="DO94" s="3347"/>
      <c r="DP94" s="3347"/>
      <c r="DQ94" s="3347"/>
      <c r="DR94" s="3347"/>
      <c r="DS94" s="3347"/>
      <c r="DT94" s="3347"/>
      <c r="DU94" s="3347"/>
      <c r="DV94" s="3347"/>
      <c r="DW94" s="3347"/>
      <c r="DX94" s="3347"/>
      <c r="DY94" s="3347"/>
      <c r="DZ94" s="3347"/>
      <c r="EA94" s="3347"/>
      <c r="EB94" s="3347"/>
      <c r="EC94" s="3347"/>
      <c r="ED94" s="3347"/>
      <c r="EE94" s="3347"/>
      <c r="EF94" s="3347"/>
      <c r="EG94" s="3347"/>
      <c r="EH94" s="3347"/>
      <c r="EI94" s="3347"/>
      <c r="EJ94" s="3347"/>
      <c r="EK94" s="3347"/>
      <c r="EL94" s="3347"/>
      <c r="EM94" s="3347"/>
      <c r="EN94" s="3347"/>
      <c r="EO94" s="3347"/>
      <c r="EP94" s="3347"/>
      <c r="EQ94" s="3347"/>
      <c r="ER94" s="3347"/>
      <c r="ES94" s="3347"/>
      <c r="ET94" s="3347"/>
      <c r="EU94" s="3347"/>
      <c r="EV94" s="3347"/>
      <c r="EW94" s="3347"/>
      <c r="EX94" s="3347"/>
      <c r="EY94" s="3347"/>
      <c r="EZ94" s="3347"/>
      <c r="FA94" s="3347"/>
      <c r="FB94" s="3347"/>
      <c r="FC94" s="3347"/>
      <c r="FD94" s="3347"/>
      <c r="FE94" s="3347"/>
      <c r="FF94" s="3347"/>
      <c r="FG94" s="3347"/>
      <c r="FH94" s="3347"/>
      <c r="FI94" s="3347"/>
      <c r="FJ94" s="3347"/>
      <c r="FK94" s="3347"/>
      <c r="FL94" s="3347"/>
      <c r="FM94" s="3347"/>
      <c r="FN94" s="3347"/>
      <c r="FO94" s="3347"/>
      <c r="FP94" s="3347"/>
      <c r="FQ94" s="3347"/>
      <c r="FR94" s="3347"/>
      <c r="FS94" s="3347"/>
      <c r="FT94" s="3347"/>
      <c r="FU94" s="3347"/>
      <c r="FV94" s="3347"/>
      <c r="FW94" s="3347"/>
      <c r="FX94" s="3347"/>
      <c r="FY94" s="3347"/>
      <c r="FZ94" s="3347"/>
      <c r="GA94" s="3347"/>
      <c r="GB94" s="3347"/>
      <c r="GC94" s="3347"/>
      <c r="GD94" s="3347"/>
      <c r="GE94" s="3347"/>
      <c r="GF94" s="3347"/>
      <c r="GG94" s="3347"/>
      <c r="GH94" s="3347"/>
      <c r="GI94" s="3347"/>
      <c r="GJ94" s="3347"/>
      <c r="GK94" s="3347"/>
      <c r="GL94" s="3347"/>
      <c r="GM94" s="3347"/>
      <c r="GN94" s="3347"/>
      <c r="GO94" s="3347"/>
      <c r="GP94" s="3347"/>
      <c r="GQ94" s="3347"/>
      <c r="GR94" s="3347"/>
      <c r="GS94" s="3347"/>
      <c r="GT94" s="3347"/>
      <c r="GU94" s="3347"/>
      <c r="GV94" s="3347"/>
      <c r="GW94" s="3347"/>
      <c r="GX94" s="3347"/>
      <c r="GY94" s="3347"/>
      <c r="GZ94" s="3347"/>
      <c r="HA94" s="3347"/>
      <c r="HB94" s="3347"/>
      <c r="HC94" s="3347"/>
      <c r="HD94" s="3347"/>
      <c r="HE94" s="3347"/>
      <c r="HF94" s="3347"/>
      <c r="HG94" s="3347"/>
      <c r="HH94" s="3347"/>
      <c r="HI94" s="3347"/>
      <c r="HJ94" s="3347"/>
      <c r="HK94" s="3347"/>
      <c r="HL94" s="3347"/>
      <c r="HM94" s="3347"/>
      <c r="HN94" s="3347"/>
      <c r="HO94" s="3347"/>
      <c r="HP94" s="3347"/>
      <c r="HQ94" s="3347"/>
      <c r="HR94" s="3347"/>
      <c r="HS94" s="3347"/>
      <c r="HT94" s="3347"/>
      <c r="HU94" s="3347"/>
      <c r="HV94" s="3347"/>
      <c r="HW94" s="3347"/>
      <c r="HX94" s="3347"/>
      <c r="HY94" s="3347"/>
      <c r="HZ94" s="3347"/>
      <c r="IA94" s="3347"/>
      <c r="IB94" s="3347"/>
      <c r="IC94" s="3347"/>
      <c r="ID94" s="3347"/>
      <c r="IE94" s="3347"/>
      <c r="IF94" s="3347"/>
      <c r="IG94" s="3347"/>
      <c r="IH94" s="3347"/>
      <c r="II94" s="3347"/>
    </row>
    <row r="95" spans="1:249" hidden="1">
      <c r="A95" s="3267" t="s">
        <v>3893</v>
      </c>
      <c r="B95" s="3267" t="s">
        <v>3894</v>
      </c>
      <c r="C95" s="3269" t="s">
        <v>3895</v>
      </c>
      <c r="D95" s="3269" t="s">
        <v>3896</v>
      </c>
      <c r="E95" s="3268" t="s">
        <v>2985</v>
      </c>
      <c r="F95" s="3268" t="s">
        <v>3897</v>
      </c>
      <c r="G95" s="3267"/>
      <c r="H95" s="3268" t="s">
        <v>3898</v>
      </c>
      <c r="I95" s="3268" t="s">
        <v>3188</v>
      </c>
      <c r="J95" s="3267" t="s">
        <v>3899</v>
      </c>
      <c r="K95" s="3267" t="s">
        <v>3900</v>
      </c>
      <c r="L95" s="3270">
        <v>57.81</v>
      </c>
      <c r="M95" s="3267">
        <v>1</v>
      </c>
      <c r="N95" s="3267" t="s">
        <v>3838</v>
      </c>
      <c r="O95" s="3267"/>
      <c r="P95" s="3267" t="s">
        <v>2963</v>
      </c>
      <c r="Q95" s="3271">
        <v>380000</v>
      </c>
      <c r="R95" s="3267">
        <v>6573</v>
      </c>
      <c r="S95" s="3272">
        <v>28.3</v>
      </c>
      <c r="T95" s="3273">
        <v>283000</v>
      </c>
      <c r="U95" s="3267">
        <v>4896</v>
      </c>
      <c r="V95" s="3289">
        <v>0.05</v>
      </c>
      <c r="W95" s="3272">
        <v>26.88</v>
      </c>
      <c r="X95" s="3275">
        <v>268800</v>
      </c>
      <c r="Y95" s="3276">
        <v>2006</v>
      </c>
      <c r="Z95" s="3276">
        <v>3</v>
      </c>
      <c r="AA95" s="3276">
        <v>8</v>
      </c>
      <c r="AB95" s="3267">
        <v>845</v>
      </c>
      <c r="AC95" s="3267" t="s">
        <v>3227</v>
      </c>
      <c r="AD95" s="3267"/>
      <c r="AE95" s="3279" t="s">
        <v>3344</v>
      </c>
      <c r="AF95" s="3268" t="s">
        <v>2966</v>
      </c>
      <c r="AG95" s="3279" t="s">
        <v>2967</v>
      </c>
      <c r="AH95" s="3267"/>
      <c r="AI95" s="3279" t="s">
        <v>3176</v>
      </c>
      <c r="AJ95" s="3284"/>
      <c r="AK95" s="3278" t="s">
        <v>3114</v>
      </c>
      <c r="AL95" s="3276">
        <v>82253558</v>
      </c>
      <c r="AM95" s="3276"/>
      <c r="AN95" s="3279" t="s">
        <v>3140</v>
      </c>
      <c r="AO95" s="3276"/>
      <c r="AP95" s="3279" t="s">
        <v>3344</v>
      </c>
      <c r="AQ95" s="3276" t="s">
        <v>3113</v>
      </c>
      <c r="AR95" s="3276"/>
      <c r="AS95" s="3276"/>
      <c r="AT95" s="3276"/>
      <c r="AU95" s="3276"/>
      <c r="AV95" s="3276"/>
      <c r="AW95" s="3276" t="s">
        <v>2997</v>
      </c>
      <c r="AX95" s="3276" t="s">
        <v>2968</v>
      </c>
      <c r="AY95" s="3291"/>
      <c r="AZ95" s="3267" t="s">
        <v>3900</v>
      </c>
      <c r="BA95" s="3296"/>
      <c r="BB95" s="3297"/>
      <c r="BC95" s="3296"/>
      <c r="BD95" s="3298"/>
      <c r="BE95" s="3276">
        <v>84718675</v>
      </c>
      <c r="BF95" s="3281" t="s">
        <v>2968</v>
      </c>
      <c r="BG95" s="3293">
        <v>38782</v>
      </c>
      <c r="BH95" s="3267"/>
      <c r="BI95" s="3267" t="s">
        <v>3344</v>
      </c>
      <c r="BJ95" s="3299">
        <v>38782</v>
      </c>
      <c r="BK95" s="3283"/>
      <c r="BL95" s="3267" t="s">
        <v>2998</v>
      </c>
      <c r="BM95" s="3276" t="s">
        <v>2879</v>
      </c>
      <c r="BN95" s="3276" t="s">
        <v>2999</v>
      </c>
      <c r="BO95" s="3276" t="s">
        <v>3146</v>
      </c>
      <c r="BP95" s="3276"/>
      <c r="BQ95" s="3276" t="e">
        <v>#DIV/0!</v>
      </c>
      <c r="BR95" s="3276" t="e">
        <v>#DIV/0!</v>
      </c>
      <c r="BS95" s="3285"/>
      <c r="BT95" s="3285"/>
      <c r="BU95" s="3285"/>
    </row>
    <row r="96" spans="1:249" hidden="1">
      <c r="A96" s="3267" t="s">
        <v>3901</v>
      </c>
      <c r="B96" s="3267" t="s">
        <v>3902</v>
      </c>
      <c r="C96" s="3269" t="s">
        <v>3903</v>
      </c>
      <c r="D96" s="3267">
        <v>13641128767</v>
      </c>
      <c r="E96" s="3267" t="s">
        <v>2985</v>
      </c>
      <c r="F96" s="3267" t="s">
        <v>3904</v>
      </c>
      <c r="G96" s="3267"/>
      <c r="H96" s="3267" t="s">
        <v>3130</v>
      </c>
      <c r="I96" s="3267"/>
      <c r="J96" s="3267" t="s">
        <v>3905</v>
      </c>
      <c r="K96" s="3268" t="s">
        <v>3906</v>
      </c>
      <c r="L96" s="3270">
        <v>49.03</v>
      </c>
      <c r="M96" s="3267">
        <v>2</v>
      </c>
      <c r="N96" s="3267" t="s">
        <v>3152</v>
      </c>
      <c r="O96" s="3267"/>
      <c r="P96" s="3267" t="s">
        <v>2963</v>
      </c>
      <c r="Q96" s="3267">
        <v>335000</v>
      </c>
      <c r="R96" s="3267">
        <v>6833</v>
      </c>
      <c r="S96" s="3272">
        <v>31.92</v>
      </c>
      <c r="T96" s="3273">
        <v>319200</v>
      </c>
      <c r="U96" s="3267">
        <v>6512</v>
      </c>
      <c r="V96" s="3274">
        <v>0.05</v>
      </c>
      <c r="W96" s="3272">
        <v>30.32</v>
      </c>
      <c r="X96" s="3275">
        <v>303200</v>
      </c>
      <c r="Y96" s="3267">
        <v>2006</v>
      </c>
      <c r="Z96" s="3267">
        <v>3</v>
      </c>
      <c r="AA96" s="3276">
        <v>17</v>
      </c>
      <c r="AB96" s="3267">
        <v>955</v>
      </c>
      <c r="AC96" s="3267" t="s">
        <v>3227</v>
      </c>
      <c r="AD96" s="3267"/>
      <c r="AE96" s="3276" t="s">
        <v>3176</v>
      </c>
      <c r="AF96" s="3267" t="s">
        <v>2966</v>
      </c>
      <c r="AG96" s="3267" t="s">
        <v>2967</v>
      </c>
      <c r="AH96" s="3267"/>
      <c r="AI96" s="3267" t="s">
        <v>3115</v>
      </c>
      <c r="AJ96" s="3284"/>
      <c r="AK96" s="3267" t="s">
        <v>3114</v>
      </c>
      <c r="AL96" s="3267">
        <v>82253558</v>
      </c>
      <c r="AM96" s="3267"/>
      <c r="AN96" s="3267" t="s">
        <v>3114</v>
      </c>
      <c r="AO96" s="3267" t="s">
        <v>2968</v>
      </c>
      <c r="AP96" s="3267" t="s">
        <v>3180</v>
      </c>
      <c r="AQ96" s="3267" t="s">
        <v>3113</v>
      </c>
      <c r="AR96" s="3267"/>
      <c r="AS96" s="3267"/>
      <c r="AT96" s="3267"/>
      <c r="AU96" s="3267"/>
      <c r="AV96" s="3267"/>
      <c r="AW96" s="3267" t="s">
        <v>2997</v>
      </c>
      <c r="AX96" s="3267"/>
      <c r="AY96" s="3269"/>
      <c r="AZ96" s="3267" t="s">
        <v>3906</v>
      </c>
      <c r="BA96" s="3267"/>
      <c r="BB96" s="3267"/>
      <c r="BC96" s="3267"/>
      <c r="BD96" s="3267"/>
      <c r="BE96" s="3267"/>
      <c r="BF96" s="3267"/>
      <c r="BG96" s="3307">
        <v>38782</v>
      </c>
      <c r="BH96" s="3267"/>
      <c r="BI96" s="3267" t="s">
        <v>3239</v>
      </c>
      <c r="BJ96" s="3283">
        <v>38782</v>
      </c>
      <c r="BK96" s="3299"/>
      <c r="BL96" s="3267" t="s">
        <v>2998</v>
      </c>
      <c r="BM96" s="3267" t="s">
        <v>2879</v>
      </c>
      <c r="BN96" s="3267" t="s">
        <v>2999</v>
      </c>
      <c r="BO96" s="3267" t="s">
        <v>3000</v>
      </c>
      <c r="BP96" s="3267"/>
      <c r="BQ96" s="3276" t="e">
        <v>#DIV/0!</v>
      </c>
      <c r="BR96" s="3276" t="e">
        <v>#DIV/0!</v>
      </c>
      <c r="BS96" s="3285"/>
      <c r="BT96" s="3285"/>
      <c r="BU96" s="3285"/>
      <c r="BV96" s="3347"/>
      <c r="BW96" s="3347"/>
      <c r="BX96" s="3347"/>
      <c r="BY96" s="3347"/>
      <c r="BZ96" s="3347"/>
      <c r="CA96" s="3347"/>
      <c r="CB96" s="3347"/>
      <c r="CC96" s="3347"/>
      <c r="CD96" s="3347"/>
      <c r="CE96" s="3347"/>
      <c r="CF96" s="3347"/>
      <c r="CG96" s="3347"/>
      <c r="CH96" s="3347"/>
      <c r="CI96" s="3347"/>
      <c r="CJ96" s="3347"/>
      <c r="CK96" s="3347"/>
      <c r="CL96" s="3347"/>
      <c r="CM96" s="3347"/>
      <c r="CN96" s="3347"/>
      <c r="CO96" s="3347"/>
      <c r="CP96" s="3347"/>
      <c r="CQ96" s="3347"/>
      <c r="CR96" s="3347"/>
      <c r="CS96" s="3347"/>
      <c r="CT96" s="3347"/>
      <c r="CU96" s="3347"/>
      <c r="CV96" s="3347"/>
      <c r="CW96" s="3347"/>
      <c r="CX96" s="3347"/>
      <c r="CY96" s="3347"/>
      <c r="CZ96" s="3347"/>
      <c r="DA96" s="3347"/>
      <c r="DB96" s="3347"/>
      <c r="DC96" s="3347"/>
      <c r="DD96" s="3347"/>
      <c r="DE96" s="3347"/>
      <c r="DF96" s="3347"/>
      <c r="DG96" s="3347"/>
      <c r="DH96" s="3347"/>
      <c r="DI96" s="3347"/>
      <c r="DJ96" s="3347"/>
      <c r="DK96" s="3347"/>
      <c r="DL96" s="3347"/>
      <c r="DM96" s="3347"/>
      <c r="DN96" s="3347"/>
      <c r="DO96" s="3347"/>
      <c r="DP96" s="3347"/>
      <c r="DQ96" s="3347"/>
      <c r="DR96" s="3347"/>
      <c r="DS96" s="3347"/>
      <c r="DT96" s="3347"/>
      <c r="DU96" s="3347"/>
      <c r="DV96" s="3347"/>
      <c r="DW96" s="3347"/>
      <c r="DX96" s="3347"/>
      <c r="DY96" s="3347"/>
      <c r="DZ96" s="3347"/>
      <c r="EA96" s="3347"/>
      <c r="EB96" s="3347"/>
      <c r="EC96" s="3347"/>
      <c r="ED96" s="3347"/>
      <c r="EE96" s="3347"/>
      <c r="EF96" s="3347"/>
      <c r="EG96" s="3347"/>
      <c r="EH96" s="3347"/>
      <c r="EI96" s="3347"/>
      <c r="EJ96" s="3347"/>
      <c r="EK96" s="3347"/>
      <c r="EL96" s="3347"/>
      <c r="EM96" s="3347"/>
      <c r="EN96" s="3347"/>
      <c r="EO96" s="3347"/>
      <c r="EP96" s="3347"/>
      <c r="EQ96" s="3347"/>
      <c r="ER96" s="3347"/>
      <c r="ES96" s="3347"/>
      <c r="ET96" s="3347"/>
      <c r="EU96" s="3347"/>
      <c r="EV96" s="3347"/>
      <c r="EW96" s="3347"/>
      <c r="EX96" s="3347"/>
      <c r="EY96" s="3347"/>
      <c r="EZ96" s="3347"/>
      <c r="FA96" s="3347"/>
      <c r="FB96" s="3347"/>
      <c r="FC96" s="3347"/>
      <c r="FD96" s="3347"/>
      <c r="FE96" s="3347"/>
      <c r="FF96" s="3347"/>
      <c r="FG96" s="3347"/>
      <c r="FH96" s="3347"/>
      <c r="FI96" s="3347"/>
      <c r="FJ96" s="3347"/>
      <c r="FK96" s="3347"/>
      <c r="FL96" s="3347"/>
      <c r="FM96" s="3347"/>
      <c r="FN96" s="3347"/>
      <c r="FO96" s="3347"/>
      <c r="FP96" s="3347"/>
      <c r="FQ96" s="3347"/>
      <c r="FR96" s="3347"/>
      <c r="FS96" s="3347"/>
      <c r="FT96" s="3347"/>
      <c r="FU96" s="3347"/>
      <c r="FV96" s="3347"/>
      <c r="FW96" s="3347"/>
      <c r="FX96" s="3347"/>
      <c r="FY96" s="3347"/>
      <c r="FZ96" s="3347"/>
      <c r="GA96" s="3347"/>
      <c r="GB96" s="3347"/>
      <c r="GC96" s="3347"/>
      <c r="GD96" s="3347"/>
      <c r="GE96" s="3347"/>
      <c r="GF96" s="3347"/>
      <c r="GG96" s="3347"/>
      <c r="GH96" s="3347"/>
      <c r="GI96" s="3347"/>
      <c r="GJ96" s="3347"/>
      <c r="GK96" s="3347"/>
      <c r="GL96" s="3347"/>
      <c r="GM96" s="3347"/>
      <c r="GN96" s="3347"/>
      <c r="GO96" s="3347"/>
      <c r="GP96" s="3347"/>
      <c r="GQ96" s="3347"/>
      <c r="GR96" s="3347"/>
      <c r="GS96" s="3347"/>
      <c r="GT96" s="3347"/>
      <c r="GU96" s="3347"/>
      <c r="GV96" s="3347"/>
      <c r="GW96" s="3347"/>
      <c r="GX96" s="3347"/>
      <c r="GY96" s="3347"/>
      <c r="GZ96" s="3347"/>
      <c r="HA96" s="3347"/>
      <c r="HB96" s="3347"/>
      <c r="HC96" s="3347"/>
      <c r="HD96" s="3347"/>
      <c r="HE96" s="3347"/>
      <c r="HF96" s="3347"/>
      <c r="HG96" s="3347"/>
      <c r="HH96" s="3347"/>
      <c r="HI96" s="3347"/>
      <c r="HJ96" s="3347"/>
      <c r="HK96" s="3347"/>
      <c r="HL96" s="3347"/>
      <c r="HM96" s="3347"/>
      <c r="HN96" s="3347"/>
      <c r="HO96" s="3347"/>
      <c r="HP96" s="3347"/>
      <c r="HQ96" s="3347"/>
      <c r="HR96" s="3347"/>
      <c r="HS96" s="3347"/>
      <c r="HT96" s="3347"/>
      <c r="HU96" s="3347"/>
      <c r="HV96" s="3347"/>
      <c r="HW96" s="3347"/>
      <c r="HX96" s="3347"/>
      <c r="HY96" s="3347"/>
      <c r="HZ96" s="3347"/>
      <c r="IA96" s="3347"/>
      <c r="IB96" s="3347"/>
      <c r="IC96" s="3347"/>
      <c r="ID96" s="3347"/>
      <c r="IE96" s="3347"/>
      <c r="IF96" s="3347"/>
      <c r="IG96" s="3347"/>
      <c r="IH96" s="3347"/>
      <c r="II96" s="3347"/>
      <c r="IJ96" s="3347"/>
      <c r="IK96" s="3347"/>
      <c r="IL96" s="3347"/>
      <c r="IM96" s="3347"/>
      <c r="IN96" s="3347"/>
      <c r="IO96" s="3347"/>
    </row>
    <row r="97" spans="1:249" hidden="1">
      <c r="A97" s="3267" t="s">
        <v>3907</v>
      </c>
      <c r="B97" s="3267" t="s">
        <v>3908</v>
      </c>
      <c r="C97" s="3269" t="s">
        <v>3909</v>
      </c>
      <c r="D97" s="3269" t="s">
        <v>3910</v>
      </c>
      <c r="E97" s="3267" t="s">
        <v>3911</v>
      </c>
      <c r="F97" s="3244" t="s">
        <v>3912</v>
      </c>
      <c r="G97" s="3267"/>
      <c r="H97" s="3267" t="s">
        <v>3182</v>
      </c>
      <c r="I97" s="3267"/>
      <c r="J97" s="3269" t="s">
        <v>3913</v>
      </c>
      <c r="K97" s="3267" t="s">
        <v>3914</v>
      </c>
      <c r="L97" s="3286">
        <v>80.510000000000005</v>
      </c>
      <c r="M97" s="3267">
        <v>2</v>
      </c>
      <c r="N97" s="3267" t="s">
        <v>3122</v>
      </c>
      <c r="O97" s="3267"/>
      <c r="P97" s="3267" t="s">
        <v>2963</v>
      </c>
      <c r="Q97" s="3287">
        <v>450000</v>
      </c>
      <c r="R97" s="3267">
        <v>5589</v>
      </c>
      <c r="S97" s="3272">
        <v>44.42</v>
      </c>
      <c r="T97" s="3273">
        <v>444200</v>
      </c>
      <c r="U97" s="3287">
        <v>5518</v>
      </c>
      <c r="V97" s="3289">
        <v>0.2</v>
      </c>
      <c r="W97" s="3272">
        <v>35.53</v>
      </c>
      <c r="X97" s="3275">
        <v>355300</v>
      </c>
      <c r="Y97" s="3267">
        <v>2006</v>
      </c>
      <c r="Z97" s="3276">
        <v>3</v>
      </c>
      <c r="AA97" s="3276">
        <v>15</v>
      </c>
      <c r="AB97" s="3267">
        <v>1330</v>
      </c>
      <c r="AC97" s="3267" t="s">
        <v>3444</v>
      </c>
      <c r="AD97" s="3267"/>
      <c r="AE97" s="3267" t="s">
        <v>3176</v>
      </c>
      <c r="AF97" s="3268" t="s">
        <v>2966</v>
      </c>
      <c r="AG97" s="3279" t="s">
        <v>2967</v>
      </c>
      <c r="AH97" s="3267"/>
      <c r="AI97" s="3267" t="s">
        <v>3115</v>
      </c>
      <c r="AJ97" s="3290"/>
      <c r="AK97" s="3278">
        <v>3</v>
      </c>
      <c r="AL97" s="3276">
        <v>82253558</v>
      </c>
      <c r="AM97" s="3276"/>
      <c r="AN97" s="3267" t="s">
        <v>3114</v>
      </c>
      <c r="AO97" s="3276"/>
      <c r="AP97" s="3267" t="s">
        <v>3180</v>
      </c>
      <c r="AQ97" s="3276" t="s">
        <v>3113</v>
      </c>
      <c r="AR97" s="3276"/>
      <c r="AS97" s="3276"/>
      <c r="AT97" s="3276"/>
      <c r="AU97" s="3276"/>
      <c r="AV97" s="3276"/>
      <c r="AW97" s="3276" t="s">
        <v>3171</v>
      </c>
      <c r="AX97" s="3276"/>
      <c r="AY97" s="3291"/>
      <c r="AZ97" s="3276" t="s">
        <v>3914</v>
      </c>
      <c r="BA97" s="3276"/>
      <c r="BB97" s="3291"/>
      <c r="BC97" s="3276"/>
      <c r="BD97" s="3292"/>
      <c r="BE97" s="3276"/>
      <c r="BF97" s="3281"/>
      <c r="BG97" s="3290">
        <v>38776</v>
      </c>
      <c r="BH97" s="3276"/>
      <c r="BI97" s="3267" t="s">
        <v>3239</v>
      </c>
      <c r="BJ97" s="3283"/>
      <c r="BK97" s="3283"/>
      <c r="BL97" s="3267" t="s">
        <v>2998</v>
      </c>
      <c r="BM97" s="3267" t="s">
        <v>2879</v>
      </c>
      <c r="BN97" s="3276" t="s">
        <v>3111</v>
      </c>
      <c r="BO97" s="3267" t="s">
        <v>3146</v>
      </c>
      <c r="BP97" s="3276"/>
      <c r="BQ97" s="3276" t="e">
        <v>#DIV/0!</v>
      </c>
      <c r="BR97" s="3276" t="e">
        <v>#DIV/0!</v>
      </c>
      <c r="BS97" s="3285"/>
      <c r="BT97" s="3285"/>
      <c r="BU97" s="3285"/>
    </row>
    <row r="98" spans="1:249" hidden="1">
      <c r="A98" s="3267" t="s">
        <v>3915</v>
      </c>
      <c r="B98" s="3267" t="s">
        <v>3916</v>
      </c>
      <c r="C98" s="3269" t="s">
        <v>3917</v>
      </c>
      <c r="D98" s="3269" t="s">
        <v>3918</v>
      </c>
      <c r="E98" s="3267" t="s">
        <v>2985</v>
      </c>
      <c r="F98" s="3308" t="s">
        <v>3919</v>
      </c>
      <c r="G98" s="3267"/>
      <c r="H98" s="3270" t="s">
        <v>3181</v>
      </c>
      <c r="I98" s="3268" t="s">
        <v>3264</v>
      </c>
      <c r="J98" s="3269" t="s">
        <v>3301</v>
      </c>
      <c r="K98" s="3267" t="s">
        <v>3920</v>
      </c>
      <c r="L98" s="3270">
        <v>95.44</v>
      </c>
      <c r="M98" s="3267">
        <v>5</v>
      </c>
      <c r="N98" s="3267" t="s">
        <v>3098</v>
      </c>
      <c r="O98" s="3267"/>
      <c r="P98" s="3267" t="s">
        <v>2963</v>
      </c>
      <c r="Q98" s="3271">
        <v>500000</v>
      </c>
      <c r="R98" s="3267">
        <v>5239</v>
      </c>
      <c r="S98" s="3272">
        <v>50.01</v>
      </c>
      <c r="T98" s="3273">
        <v>500100</v>
      </c>
      <c r="U98" s="3267">
        <v>5240</v>
      </c>
      <c r="V98" s="3289">
        <v>0.2</v>
      </c>
      <c r="W98" s="3272">
        <v>40</v>
      </c>
      <c r="X98" s="3275">
        <v>400000</v>
      </c>
      <c r="Y98" s="3276">
        <v>2006</v>
      </c>
      <c r="Z98" s="3276">
        <v>3</v>
      </c>
      <c r="AA98" s="3276">
        <v>13</v>
      </c>
      <c r="AB98" s="3267">
        <v>1500</v>
      </c>
      <c r="AC98" s="3267" t="s">
        <v>3110</v>
      </c>
      <c r="AD98" s="3267"/>
      <c r="AE98" s="3276" t="s">
        <v>3180</v>
      </c>
      <c r="AF98" s="3268" t="s">
        <v>2966</v>
      </c>
      <c r="AG98" s="3279" t="s">
        <v>2967</v>
      </c>
      <c r="AH98" s="3267" t="s">
        <v>2968</v>
      </c>
      <c r="AI98" s="3267" t="s">
        <v>3115</v>
      </c>
      <c r="AJ98" s="3284"/>
      <c r="AK98" s="3278" t="s">
        <v>3114</v>
      </c>
      <c r="AL98" s="3276">
        <v>82253558</v>
      </c>
      <c r="AM98" s="3276"/>
      <c r="AN98" s="3267" t="s">
        <v>3114</v>
      </c>
      <c r="AO98" s="3276" t="s">
        <v>3921</v>
      </c>
      <c r="AP98" s="3276" t="s">
        <v>3180</v>
      </c>
      <c r="AQ98" s="3276" t="s">
        <v>3113</v>
      </c>
      <c r="AR98" s="3276"/>
      <c r="AS98" s="3276"/>
      <c r="AT98" s="3276"/>
      <c r="AU98" s="3276" t="s">
        <v>2968</v>
      </c>
      <c r="AV98" s="3276" t="s">
        <v>2968</v>
      </c>
      <c r="AW98" s="3268" t="s">
        <v>2997</v>
      </c>
      <c r="AX98" s="3276" t="s">
        <v>2968</v>
      </c>
      <c r="AY98" s="3291"/>
      <c r="AZ98" s="3267" t="s">
        <v>3920</v>
      </c>
      <c r="BA98" s="3268"/>
      <c r="BB98" s="3280"/>
      <c r="BC98" s="3268"/>
      <c r="BD98" s="3268"/>
      <c r="BE98" s="3268"/>
      <c r="BF98" s="3281"/>
      <c r="BG98" s="3299">
        <v>38784</v>
      </c>
      <c r="BH98" s="3276"/>
      <c r="BI98" s="3276" t="s">
        <v>3180</v>
      </c>
      <c r="BJ98" s="3299"/>
      <c r="BK98" s="3299" t="s">
        <v>2968</v>
      </c>
      <c r="BL98" s="3276" t="s">
        <v>2998</v>
      </c>
      <c r="BM98" s="3276" t="s">
        <v>2879</v>
      </c>
      <c r="BN98" s="3276" t="s">
        <v>2999</v>
      </c>
      <c r="BO98" s="3276" t="s">
        <v>3922</v>
      </c>
      <c r="BP98" s="3276"/>
      <c r="BQ98" s="3276" t="e">
        <v>#DIV/0!</v>
      </c>
      <c r="BR98" s="3276" t="e">
        <v>#DIV/0!</v>
      </c>
      <c r="BS98" s="3285"/>
      <c r="BT98" s="3285"/>
      <c r="BU98" s="3285"/>
    </row>
    <row r="99" spans="1:249" hidden="1">
      <c r="A99" s="3267" t="s">
        <v>3923</v>
      </c>
      <c r="B99" s="3268" t="s">
        <v>3924</v>
      </c>
      <c r="C99" s="3269" t="s">
        <v>3925</v>
      </c>
      <c r="D99" s="3268">
        <v>13701245870</v>
      </c>
      <c r="E99" s="3268" t="s">
        <v>2985</v>
      </c>
      <c r="F99" s="3268" t="s">
        <v>3926</v>
      </c>
      <c r="G99" s="3268"/>
      <c r="H99" s="3268" t="s">
        <v>3927</v>
      </c>
      <c r="I99" s="3268"/>
      <c r="J99" s="3268" t="s">
        <v>3928</v>
      </c>
      <c r="K99" s="3268" t="s">
        <v>3929</v>
      </c>
      <c r="L99" s="3270">
        <v>90.2</v>
      </c>
      <c r="M99" s="3270">
        <v>10</v>
      </c>
      <c r="N99" s="3268" t="s">
        <v>3122</v>
      </c>
      <c r="O99" s="3270">
        <v>74.72</v>
      </c>
      <c r="P99" s="3268" t="s">
        <v>2963</v>
      </c>
      <c r="Q99" s="3271">
        <v>710000</v>
      </c>
      <c r="R99" s="3267">
        <v>7871</v>
      </c>
      <c r="S99" s="3272">
        <v>58.31</v>
      </c>
      <c r="T99" s="3273">
        <v>583100</v>
      </c>
      <c r="U99" s="3267">
        <v>6465</v>
      </c>
      <c r="V99" s="3274">
        <v>0.05</v>
      </c>
      <c r="W99" s="3272">
        <v>55.39</v>
      </c>
      <c r="X99" s="3275">
        <v>553900</v>
      </c>
      <c r="Y99" s="3276">
        <v>2006</v>
      </c>
      <c r="Z99" s="3276">
        <v>3</v>
      </c>
      <c r="AA99" s="3276">
        <v>16</v>
      </c>
      <c r="AB99" s="3267">
        <v>1500</v>
      </c>
      <c r="AC99" s="3267" t="s">
        <v>3227</v>
      </c>
      <c r="AD99" s="3268"/>
      <c r="AE99" s="3267" t="s">
        <v>3344</v>
      </c>
      <c r="AF99" s="3268" t="s">
        <v>2966</v>
      </c>
      <c r="AG99" s="3268" t="s">
        <v>2967</v>
      </c>
      <c r="AH99" s="3268"/>
      <c r="AI99" s="3279" t="s">
        <v>3176</v>
      </c>
      <c r="AJ99" s="3290"/>
      <c r="AK99" s="3278" t="s">
        <v>3114</v>
      </c>
      <c r="AL99" s="3267">
        <v>82253558</v>
      </c>
      <c r="AM99" s="3276"/>
      <c r="AN99" s="3276" t="s">
        <v>3114</v>
      </c>
      <c r="AO99" s="3276"/>
      <c r="AP99" s="3267" t="s">
        <v>3180</v>
      </c>
      <c r="AQ99" s="3276" t="s">
        <v>3113</v>
      </c>
      <c r="AR99" s="3267"/>
      <c r="AS99" s="3267"/>
      <c r="AT99" s="3267"/>
      <c r="AU99" s="3267"/>
      <c r="AV99" s="3277"/>
      <c r="AW99" s="3306" t="s">
        <v>2997</v>
      </c>
      <c r="AX99" s="3268"/>
      <c r="AY99" s="3268"/>
      <c r="AZ99" s="3268" t="s">
        <v>3929</v>
      </c>
      <c r="BA99" s="3268"/>
      <c r="BB99" s="3280"/>
      <c r="BC99" s="3268"/>
      <c r="BD99" s="3268"/>
      <c r="BE99" s="3268">
        <v>13601365726</v>
      </c>
      <c r="BF99" s="3281"/>
      <c r="BG99" s="3307">
        <v>38784</v>
      </c>
      <c r="BH99" s="3268"/>
      <c r="BI99" s="3314" t="s">
        <v>3344</v>
      </c>
      <c r="BJ99" s="3299">
        <v>38784</v>
      </c>
      <c r="BK99" s="3284"/>
      <c r="BL99" s="3267" t="s">
        <v>2998</v>
      </c>
      <c r="BM99" s="3267" t="s">
        <v>2879</v>
      </c>
      <c r="BN99" s="3276" t="s">
        <v>3111</v>
      </c>
      <c r="BO99" s="3267" t="s">
        <v>3146</v>
      </c>
      <c r="BP99" s="3276"/>
      <c r="BQ99" s="3276">
        <v>7804</v>
      </c>
      <c r="BR99" s="3276">
        <v>9502</v>
      </c>
      <c r="BS99" s="3285"/>
      <c r="BT99" s="3285"/>
      <c r="BU99" s="3285"/>
      <c r="BV99" s="3262"/>
      <c r="BW99" s="3262"/>
      <c r="BX99" s="3262"/>
      <c r="BY99" s="3262"/>
      <c r="BZ99" s="3262"/>
      <c r="CA99" s="3262"/>
      <c r="CB99" s="3262"/>
      <c r="CC99" s="3262"/>
      <c r="CD99" s="3262"/>
      <c r="CE99" s="3262"/>
      <c r="CF99" s="3262"/>
      <c r="CG99" s="3262"/>
      <c r="CH99" s="3262"/>
      <c r="CI99" s="3262"/>
      <c r="CJ99" s="3262"/>
      <c r="CK99" s="3262"/>
      <c r="CL99" s="3262"/>
      <c r="CM99" s="3262"/>
      <c r="CN99" s="3262"/>
      <c r="CO99" s="3262"/>
      <c r="CP99" s="3262"/>
      <c r="CQ99" s="3262"/>
      <c r="CR99" s="3262"/>
      <c r="CS99" s="3262"/>
      <c r="CT99" s="3262"/>
      <c r="CU99" s="3262"/>
      <c r="CV99" s="3262"/>
      <c r="CW99" s="3262"/>
      <c r="CX99" s="3262"/>
      <c r="CY99" s="3262"/>
      <c r="CZ99" s="3262"/>
      <c r="DA99" s="3262"/>
      <c r="DB99" s="3262"/>
      <c r="DC99" s="3262"/>
      <c r="DD99" s="3262"/>
      <c r="DE99" s="3262"/>
      <c r="DF99" s="3262"/>
      <c r="DG99" s="3262"/>
      <c r="DH99" s="3262"/>
      <c r="DI99" s="3262"/>
      <c r="DJ99" s="3262"/>
      <c r="DK99" s="3262"/>
      <c r="DL99" s="3262"/>
      <c r="DM99" s="3262"/>
      <c r="DN99" s="3262"/>
      <c r="DO99" s="3262"/>
      <c r="DP99" s="3262"/>
      <c r="DQ99" s="3262"/>
      <c r="DR99" s="3262"/>
      <c r="DS99" s="3262"/>
      <c r="DT99" s="3262"/>
      <c r="DU99" s="3262"/>
      <c r="DV99" s="3262"/>
      <c r="DW99" s="3262"/>
      <c r="DX99" s="3262"/>
      <c r="DY99" s="3262"/>
      <c r="DZ99" s="3262"/>
      <c r="EA99" s="3262"/>
      <c r="EB99" s="3262"/>
      <c r="EC99" s="3262"/>
      <c r="ED99" s="3262"/>
      <c r="EE99" s="3262"/>
      <c r="EF99" s="3262"/>
      <c r="EG99" s="3262"/>
      <c r="EH99" s="3262"/>
      <c r="EI99" s="3262"/>
      <c r="EJ99" s="3262"/>
      <c r="EK99" s="3262"/>
      <c r="EL99" s="3262"/>
      <c r="EM99" s="3262"/>
      <c r="EN99" s="3262"/>
      <c r="EO99" s="3262"/>
      <c r="EP99" s="3262"/>
      <c r="EQ99" s="3262"/>
      <c r="ER99" s="3262"/>
      <c r="ES99" s="3262"/>
      <c r="ET99" s="3262"/>
      <c r="EU99" s="3262"/>
      <c r="EV99" s="3262"/>
      <c r="EW99" s="3262"/>
      <c r="EX99" s="3262"/>
      <c r="EY99" s="3262"/>
      <c r="EZ99" s="3262"/>
      <c r="FA99" s="3262"/>
      <c r="FB99" s="3262"/>
      <c r="FC99" s="3262"/>
      <c r="FD99" s="3262"/>
      <c r="FE99" s="3262"/>
      <c r="FF99" s="3262"/>
      <c r="FG99" s="3262"/>
      <c r="FH99" s="3262"/>
      <c r="FI99" s="3262"/>
      <c r="FJ99" s="3262"/>
      <c r="FK99" s="3262"/>
      <c r="FL99" s="3262"/>
      <c r="FM99" s="3262"/>
      <c r="FN99" s="3262"/>
      <c r="FO99" s="3262"/>
      <c r="FP99" s="3262"/>
      <c r="FQ99" s="3262"/>
      <c r="FR99" s="3262"/>
      <c r="FS99" s="3262"/>
      <c r="FT99" s="3262"/>
      <c r="FU99" s="3262"/>
      <c r="FV99" s="3262"/>
      <c r="FW99" s="3262"/>
      <c r="FX99" s="3262"/>
      <c r="FY99" s="3262"/>
      <c r="FZ99" s="3262"/>
      <c r="GA99" s="3262"/>
      <c r="GB99" s="3262"/>
      <c r="GC99" s="3262"/>
      <c r="GD99" s="3262"/>
      <c r="GE99" s="3262"/>
      <c r="GF99" s="3262"/>
      <c r="GG99" s="3262"/>
      <c r="GH99" s="3262"/>
      <c r="GI99" s="3262"/>
      <c r="GJ99" s="3262"/>
      <c r="GK99" s="3262"/>
      <c r="GL99" s="3262"/>
      <c r="GM99" s="3262"/>
      <c r="GN99" s="3262"/>
      <c r="GO99" s="3262"/>
      <c r="GP99" s="3262"/>
      <c r="GQ99" s="3262"/>
      <c r="GR99" s="3262"/>
      <c r="GS99" s="3262"/>
      <c r="GT99" s="3262"/>
      <c r="GU99" s="3262"/>
      <c r="GV99" s="3262"/>
      <c r="GW99" s="3262"/>
      <c r="GX99" s="3262"/>
      <c r="GY99" s="3262"/>
      <c r="GZ99" s="3262"/>
      <c r="HA99" s="3262"/>
      <c r="HB99" s="3262"/>
      <c r="HC99" s="3262"/>
      <c r="HD99" s="3262"/>
      <c r="HE99" s="3262"/>
      <c r="HF99" s="3262"/>
      <c r="HG99" s="3262"/>
      <c r="HH99" s="3262"/>
      <c r="HI99" s="3262"/>
      <c r="HJ99" s="3262"/>
      <c r="HK99" s="3262"/>
      <c r="HL99" s="3262"/>
      <c r="HM99" s="3262"/>
      <c r="HN99" s="3262"/>
      <c r="HO99" s="3262"/>
      <c r="HP99" s="3262"/>
      <c r="HQ99" s="3262"/>
      <c r="HR99" s="3262"/>
      <c r="HS99" s="3262"/>
      <c r="HT99" s="3262"/>
      <c r="HU99" s="3262"/>
      <c r="HV99" s="3262"/>
      <c r="HW99" s="3262"/>
      <c r="HX99" s="3262"/>
      <c r="HY99" s="3262"/>
      <c r="HZ99" s="3262"/>
      <c r="IA99" s="3262"/>
      <c r="IB99" s="3262"/>
      <c r="IC99" s="3262"/>
      <c r="ID99" s="3262"/>
      <c r="IE99" s="3262"/>
      <c r="IF99" s="3262"/>
      <c r="IG99" s="3262"/>
      <c r="IH99" s="3262"/>
      <c r="II99" s="3262"/>
      <c r="IJ99" s="3262"/>
      <c r="IK99" s="3262"/>
      <c r="IL99" s="3262"/>
      <c r="IM99" s="3262"/>
      <c r="IN99" s="3262"/>
      <c r="IO99" s="3262"/>
    </row>
    <row r="100" spans="1:249" hidden="1">
      <c r="A100" s="3267" t="s">
        <v>3930</v>
      </c>
      <c r="B100" s="3267" t="s">
        <v>3931</v>
      </c>
      <c r="C100" s="3269" t="s">
        <v>3932</v>
      </c>
      <c r="D100" s="3267">
        <v>13901029242</v>
      </c>
      <c r="E100" s="3267" t="s">
        <v>2985</v>
      </c>
      <c r="F100" s="3267" t="s">
        <v>3933</v>
      </c>
      <c r="G100" s="3267"/>
      <c r="H100" s="3267" t="s">
        <v>3130</v>
      </c>
      <c r="I100" s="3267"/>
      <c r="J100" s="3267" t="s">
        <v>3333</v>
      </c>
      <c r="K100" s="3268" t="s">
        <v>3934</v>
      </c>
      <c r="L100" s="3270">
        <v>65.36</v>
      </c>
      <c r="M100" s="3267">
        <v>3</v>
      </c>
      <c r="N100" s="3267" t="s">
        <v>3122</v>
      </c>
      <c r="O100" s="3267"/>
      <c r="P100" s="3267" t="s">
        <v>2963</v>
      </c>
      <c r="Q100" s="3267">
        <v>535000</v>
      </c>
      <c r="R100" s="3267">
        <v>8185</v>
      </c>
      <c r="S100" s="3272">
        <v>44.66</v>
      </c>
      <c r="T100" s="3273">
        <v>446600</v>
      </c>
      <c r="U100" s="3267">
        <v>6834</v>
      </c>
      <c r="V100" s="3274">
        <v>0.05</v>
      </c>
      <c r="W100" s="3272">
        <v>42.42</v>
      </c>
      <c r="X100" s="3275">
        <v>424200</v>
      </c>
      <c r="Y100" s="3267">
        <v>2006</v>
      </c>
      <c r="Z100" s="3267">
        <v>3</v>
      </c>
      <c r="AA100" s="3276">
        <v>28</v>
      </c>
      <c r="AB100" s="3267">
        <v>1335</v>
      </c>
      <c r="AC100" s="3267" t="s">
        <v>3227</v>
      </c>
      <c r="AD100" s="3267"/>
      <c r="AE100" s="3276" t="s">
        <v>3176</v>
      </c>
      <c r="AF100" s="3267" t="s">
        <v>2966</v>
      </c>
      <c r="AG100" s="3267" t="s">
        <v>2967</v>
      </c>
      <c r="AH100" s="3267"/>
      <c r="AI100" s="3267" t="s">
        <v>3115</v>
      </c>
      <c r="AJ100" s="3284"/>
      <c r="AK100" s="3267" t="s">
        <v>3114</v>
      </c>
      <c r="AL100" s="3267">
        <v>82253558</v>
      </c>
      <c r="AM100" s="3267"/>
      <c r="AN100" s="3276" t="s">
        <v>2994</v>
      </c>
      <c r="AO100" s="3267" t="s">
        <v>2968</v>
      </c>
      <c r="AP100" s="3267" t="s">
        <v>3180</v>
      </c>
      <c r="AQ100" s="3267" t="s">
        <v>3113</v>
      </c>
      <c r="AR100" s="3267"/>
      <c r="AS100" s="3267"/>
      <c r="AT100" s="3267"/>
      <c r="AU100" s="3267"/>
      <c r="AV100" s="3267"/>
      <c r="AW100" s="3267" t="s">
        <v>2997</v>
      </c>
      <c r="AX100" s="3267"/>
      <c r="AY100" s="3269"/>
      <c r="AZ100" s="3267" t="s">
        <v>3934</v>
      </c>
      <c r="BA100" s="3267"/>
      <c r="BB100" s="3267"/>
      <c r="BC100" s="3267"/>
      <c r="BD100" s="3267"/>
      <c r="BE100" s="3267"/>
      <c r="BF100" s="3267"/>
      <c r="BG100" s="3307">
        <v>38784</v>
      </c>
      <c r="BH100" s="3267"/>
      <c r="BI100" s="3267" t="s">
        <v>3239</v>
      </c>
      <c r="BJ100" s="3283">
        <v>38784</v>
      </c>
      <c r="BK100" s="3299"/>
      <c r="BL100" s="3267" t="s">
        <v>2998</v>
      </c>
      <c r="BM100" s="3267" t="s">
        <v>3935</v>
      </c>
      <c r="BN100" s="3267" t="s">
        <v>2999</v>
      </c>
      <c r="BO100" s="3267" t="s">
        <v>3000</v>
      </c>
      <c r="BP100" s="3267"/>
      <c r="BQ100" s="3276" t="e">
        <v>#DIV/0!</v>
      </c>
      <c r="BR100" s="3276" t="e">
        <v>#DIV/0!</v>
      </c>
      <c r="BS100" s="3285"/>
      <c r="BT100" s="3285"/>
      <c r="BU100" s="3285"/>
      <c r="BV100" s="3347"/>
      <c r="BW100" s="3347"/>
      <c r="BX100" s="3347"/>
      <c r="BY100" s="3347"/>
      <c r="BZ100" s="3347"/>
      <c r="CA100" s="3347"/>
      <c r="CB100" s="3347"/>
      <c r="CC100" s="3347"/>
      <c r="CD100" s="3347"/>
      <c r="CE100" s="3347"/>
      <c r="CF100" s="3347"/>
      <c r="CG100" s="3347"/>
      <c r="CH100" s="3347"/>
      <c r="CI100" s="3347"/>
      <c r="CJ100" s="3347"/>
      <c r="CK100" s="3347"/>
      <c r="CL100" s="3347"/>
      <c r="CM100" s="3347"/>
      <c r="CN100" s="3347"/>
      <c r="CO100" s="3347"/>
      <c r="CP100" s="3347"/>
      <c r="CQ100" s="3347"/>
      <c r="CR100" s="3347"/>
      <c r="CS100" s="3347"/>
      <c r="CT100" s="3347"/>
      <c r="CU100" s="3347"/>
      <c r="CV100" s="3347"/>
      <c r="CW100" s="3347"/>
      <c r="CX100" s="3347"/>
      <c r="CY100" s="3347"/>
      <c r="CZ100" s="3347"/>
      <c r="DA100" s="3347"/>
      <c r="DB100" s="3347"/>
      <c r="DC100" s="3347"/>
      <c r="DD100" s="3347"/>
      <c r="DE100" s="3347"/>
      <c r="DF100" s="3347"/>
      <c r="DG100" s="3347"/>
      <c r="DH100" s="3347"/>
      <c r="DI100" s="3347"/>
      <c r="DJ100" s="3347"/>
      <c r="DK100" s="3347"/>
      <c r="DL100" s="3347"/>
      <c r="DM100" s="3347"/>
      <c r="DN100" s="3347"/>
      <c r="DO100" s="3347"/>
      <c r="DP100" s="3347"/>
      <c r="DQ100" s="3347"/>
      <c r="DR100" s="3347"/>
      <c r="DS100" s="3347"/>
      <c r="DT100" s="3347"/>
      <c r="DU100" s="3347"/>
      <c r="DV100" s="3347"/>
      <c r="DW100" s="3347"/>
      <c r="DX100" s="3347"/>
      <c r="DY100" s="3347"/>
      <c r="DZ100" s="3347"/>
      <c r="EA100" s="3347"/>
      <c r="EB100" s="3347"/>
      <c r="EC100" s="3347"/>
      <c r="ED100" s="3347"/>
      <c r="EE100" s="3347"/>
      <c r="EF100" s="3347"/>
      <c r="EG100" s="3347"/>
      <c r="EH100" s="3347"/>
      <c r="EI100" s="3347"/>
      <c r="EJ100" s="3347"/>
      <c r="EK100" s="3347"/>
      <c r="EL100" s="3347"/>
      <c r="EM100" s="3347"/>
      <c r="EN100" s="3347"/>
      <c r="EO100" s="3347"/>
      <c r="EP100" s="3347"/>
      <c r="EQ100" s="3347"/>
      <c r="ER100" s="3347"/>
      <c r="ES100" s="3347"/>
      <c r="ET100" s="3347"/>
      <c r="EU100" s="3347"/>
      <c r="EV100" s="3347"/>
      <c r="EW100" s="3347"/>
      <c r="EX100" s="3347"/>
      <c r="EY100" s="3347"/>
      <c r="EZ100" s="3347"/>
      <c r="FA100" s="3347"/>
      <c r="FB100" s="3347"/>
      <c r="FC100" s="3347"/>
      <c r="FD100" s="3347"/>
      <c r="FE100" s="3347"/>
      <c r="FF100" s="3347"/>
      <c r="FG100" s="3347"/>
      <c r="FH100" s="3347"/>
      <c r="FI100" s="3347"/>
      <c r="FJ100" s="3347"/>
      <c r="FK100" s="3347"/>
      <c r="FL100" s="3347"/>
      <c r="FM100" s="3347"/>
      <c r="FN100" s="3347"/>
      <c r="FO100" s="3347"/>
      <c r="FP100" s="3347"/>
      <c r="FQ100" s="3347"/>
      <c r="FR100" s="3347"/>
      <c r="FS100" s="3347"/>
      <c r="FT100" s="3347"/>
      <c r="FU100" s="3347"/>
      <c r="FV100" s="3347"/>
      <c r="FW100" s="3347"/>
      <c r="FX100" s="3347"/>
      <c r="FY100" s="3347"/>
      <c r="FZ100" s="3347"/>
      <c r="GA100" s="3347"/>
      <c r="GB100" s="3347"/>
      <c r="GC100" s="3347"/>
      <c r="GD100" s="3347"/>
      <c r="GE100" s="3347"/>
      <c r="GF100" s="3347"/>
      <c r="GG100" s="3347"/>
      <c r="GH100" s="3347"/>
      <c r="GI100" s="3347"/>
      <c r="GJ100" s="3347"/>
      <c r="GK100" s="3347"/>
      <c r="GL100" s="3347"/>
      <c r="GM100" s="3347"/>
      <c r="GN100" s="3347"/>
      <c r="GO100" s="3347"/>
      <c r="GP100" s="3347"/>
      <c r="GQ100" s="3347"/>
      <c r="GR100" s="3347"/>
      <c r="GS100" s="3347"/>
      <c r="GT100" s="3347"/>
      <c r="GU100" s="3347"/>
      <c r="GV100" s="3347"/>
      <c r="GW100" s="3347"/>
      <c r="GX100" s="3347"/>
      <c r="GY100" s="3347"/>
      <c r="GZ100" s="3347"/>
      <c r="HA100" s="3347"/>
      <c r="HB100" s="3347"/>
      <c r="HC100" s="3347"/>
      <c r="HD100" s="3347"/>
      <c r="HE100" s="3347"/>
      <c r="HF100" s="3347"/>
      <c r="HG100" s="3347"/>
      <c r="HH100" s="3347"/>
      <c r="HI100" s="3347"/>
      <c r="HJ100" s="3347"/>
      <c r="HK100" s="3347"/>
      <c r="HL100" s="3347"/>
      <c r="HM100" s="3347"/>
      <c r="HN100" s="3347"/>
      <c r="HO100" s="3347"/>
      <c r="HP100" s="3347"/>
      <c r="HQ100" s="3347"/>
      <c r="HR100" s="3347"/>
      <c r="HS100" s="3347"/>
      <c r="HT100" s="3347"/>
      <c r="HU100" s="3347"/>
      <c r="HV100" s="3347"/>
      <c r="HW100" s="3347"/>
      <c r="HX100" s="3347"/>
      <c r="HY100" s="3347"/>
      <c r="HZ100" s="3347"/>
      <c r="IA100" s="3347"/>
      <c r="IB100" s="3347"/>
      <c r="IC100" s="3347"/>
      <c r="ID100" s="3347"/>
      <c r="IE100" s="3347"/>
      <c r="IF100" s="3347"/>
      <c r="IG100" s="3347"/>
      <c r="IH100" s="3347"/>
      <c r="II100" s="3347"/>
    </row>
    <row r="101" spans="1:249" hidden="1">
      <c r="A101" s="3267" t="s">
        <v>3936</v>
      </c>
      <c r="B101" s="3268" t="s">
        <v>3937</v>
      </c>
      <c r="C101" s="3269" t="s">
        <v>3938</v>
      </c>
      <c r="D101" s="3268" t="s">
        <v>3939</v>
      </c>
      <c r="E101" s="3268" t="s">
        <v>2985</v>
      </c>
      <c r="F101" s="3268" t="s">
        <v>3940</v>
      </c>
      <c r="G101" s="3268"/>
      <c r="H101" s="3268" t="s">
        <v>3941</v>
      </c>
      <c r="I101" s="3268" t="s">
        <v>3942</v>
      </c>
      <c r="J101" s="3268" t="s">
        <v>3943</v>
      </c>
      <c r="K101" s="3268" t="s">
        <v>3944</v>
      </c>
      <c r="L101" s="3270">
        <v>61.45</v>
      </c>
      <c r="M101" s="3270">
        <v>2</v>
      </c>
      <c r="N101" s="3268" t="s">
        <v>3838</v>
      </c>
      <c r="O101" s="3270" t="s">
        <v>2968</v>
      </c>
      <c r="P101" s="3267" t="s">
        <v>2963</v>
      </c>
      <c r="Q101" s="3271">
        <v>380000</v>
      </c>
      <c r="R101" s="3267">
        <v>6184</v>
      </c>
      <c r="S101" s="3272">
        <v>30.74</v>
      </c>
      <c r="T101" s="3273">
        <v>307400</v>
      </c>
      <c r="U101" s="3267">
        <v>5003</v>
      </c>
      <c r="V101" s="3289">
        <v>0.05</v>
      </c>
      <c r="W101" s="3272">
        <v>29.2</v>
      </c>
      <c r="X101" s="3275">
        <v>437300</v>
      </c>
      <c r="Y101" s="3276">
        <v>2006</v>
      </c>
      <c r="Z101" s="3276">
        <v>3</v>
      </c>
      <c r="AA101" s="3276">
        <v>14</v>
      </c>
      <c r="AB101" s="3267">
        <v>920</v>
      </c>
      <c r="AC101" s="3267" t="s">
        <v>3227</v>
      </c>
      <c r="AD101" s="3268"/>
      <c r="AE101" s="3279" t="s">
        <v>3344</v>
      </c>
      <c r="AF101" s="3267" t="s">
        <v>2966</v>
      </c>
      <c r="AG101" s="3268" t="s">
        <v>2967</v>
      </c>
      <c r="AH101" s="3268"/>
      <c r="AI101" s="3279" t="s">
        <v>3176</v>
      </c>
      <c r="AJ101" s="3290"/>
      <c r="AK101" s="3267" t="s">
        <v>3114</v>
      </c>
      <c r="AL101" s="3267">
        <v>82253558</v>
      </c>
      <c r="AM101" s="3276"/>
      <c r="AN101" s="3279" t="s">
        <v>3114</v>
      </c>
      <c r="AO101" s="3267" t="s">
        <v>3945</v>
      </c>
      <c r="AP101" s="3267" t="s">
        <v>3180</v>
      </c>
      <c r="AQ101" s="3276" t="s">
        <v>3113</v>
      </c>
      <c r="AR101" s="3267"/>
      <c r="AS101" s="3267"/>
      <c r="AT101" s="3267"/>
      <c r="AU101" s="3267"/>
      <c r="AV101" s="3277"/>
      <c r="AW101" s="3276" t="s">
        <v>2997</v>
      </c>
      <c r="AX101" s="3276"/>
      <c r="AY101" s="3276" t="s">
        <v>2968</v>
      </c>
      <c r="AZ101" s="3267" t="s">
        <v>3944</v>
      </c>
      <c r="BA101" s="3296" t="s">
        <v>2968</v>
      </c>
      <c r="BB101" s="3297" t="s">
        <v>2968</v>
      </c>
      <c r="BC101" s="3296" t="s">
        <v>2968</v>
      </c>
      <c r="BD101" s="3298" t="s">
        <v>2968</v>
      </c>
      <c r="BE101" s="3276">
        <v>13801323441</v>
      </c>
      <c r="BF101" s="3281" t="s">
        <v>2968</v>
      </c>
      <c r="BG101" s="3293">
        <v>38764</v>
      </c>
      <c r="BH101" s="3267"/>
      <c r="BI101" s="3314" t="s">
        <v>3344</v>
      </c>
      <c r="BJ101" s="3299">
        <v>38786</v>
      </c>
      <c r="BK101" s="3284"/>
      <c r="BL101" s="3267" t="s">
        <v>2998</v>
      </c>
      <c r="BM101" s="3267" t="s">
        <v>2879</v>
      </c>
      <c r="BN101" s="3267" t="s">
        <v>2999</v>
      </c>
      <c r="BO101" s="3267" t="s">
        <v>3146</v>
      </c>
      <c r="BP101" s="3276"/>
      <c r="BQ101" s="3276" t="e">
        <v>#VALUE!</v>
      </c>
      <c r="BR101" s="3276" t="e">
        <v>#VALUE!</v>
      </c>
      <c r="BS101" s="3285"/>
      <c r="BT101" s="3285"/>
      <c r="BU101" s="3285"/>
    </row>
    <row r="102" spans="1:249" hidden="1">
      <c r="A102" s="3267" t="s">
        <v>3946</v>
      </c>
      <c r="B102" s="3268" t="s">
        <v>3947</v>
      </c>
      <c r="C102" s="3269" t="s">
        <v>3948</v>
      </c>
      <c r="D102" s="3268">
        <v>13683509069</v>
      </c>
      <c r="E102" s="3268" t="s">
        <v>2985</v>
      </c>
      <c r="F102" s="3268" t="s">
        <v>3949</v>
      </c>
      <c r="G102" s="3268"/>
      <c r="H102" s="3268" t="s">
        <v>3950</v>
      </c>
      <c r="I102" s="3268" t="s">
        <v>3191</v>
      </c>
      <c r="J102" s="3268" t="s">
        <v>3173</v>
      </c>
      <c r="K102" s="3268" t="s">
        <v>3951</v>
      </c>
      <c r="L102" s="3270">
        <v>54.7</v>
      </c>
      <c r="M102" s="3270">
        <v>2</v>
      </c>
      <c r="N102" s="3268" t="s">
        <v>3838</v>
      </c>
      <c r="O102" s="3270"/>
      <c r="P102" s="3268" t="s">
        <v>2963</v>
      </c>
      <c r="Q102" s="3271">
        <v>430000</v>
      </c>
      <c r="R102" s="3267">
        <v>7861</v>
      </c>
      <c r="S102" s="3272">
        <v>31.32</v>
      </c>
      <c r="T102" s="3273">
        <v>313200</v>
      </c>
      <c r="U102" s="3267">
        <v>5727</v>
      </c>
      <c r="V102" s="3289">
        <v>0.05</v>
      </c>
      <c r="W102" s="3272">
        <v>29.75</v>
      </c>
      <c r="X102" s="3275">
        <v>369300</v>
      </c>
      <c r="Y102" s="3276">
        <v>2006</v>
      </c>
      <c r="Z102" s="3276">
        <v>3</v>
      </c>
      <c r="AA102" s="3276">
        <v>13</v>
      </c>
      <c r="AB102" s="3267">
        <v>935</v>
      </c>
      <c r="AC102" s="3267" t="s">
        <v>3227</v>
      </c>
      <c r="AD102" s="3268"/>
      <c r="AE102" s="3279" t="s">
        <v>3344</v>
      </c>
      <c r="AF102" s="3268" t="s">
        <v>2966</v>
      </c>
      <c r="AG102" s="3268" t="s">
        <v>2967</v>
      </c>
      <c r="AH102" s="3268"/>
      <c r="AI102" s="3279" t="s">
        <v>3176</v>
      </c>
      <c r="AJ102" s="3290"/>
      <c r="AK102" s="3278" t="s">
        <v>3114</v>
      </c>
      <c r="AL102" s="3276">
        <v>82253558</v>
      </c>
      <c r="AM102" s="3276"/>
      <c r="AN102" s="3279" t="s">
        <v>3952</v>
      </c>
      <c r="AO102" s="3276"/>
      <c r="AP102" s="3267" t="s">
        <v>3180</v>
      </c>
      <c r="AQ102" s="3276" t="s">
        <v>3113</v>
      </c>
      <c r="AR102" s="3267"/>
      <c r="AS102" s="3267"/>
      <c r="AT102" s="3267"/>
      <c r="AU102" s="3267"/>
      <c r="AV102" s="3277"/>
      <c r="AW102" s="3276" t="s">
        <v>2997</v>
      </c>
      <c r="AX102" s="3276"/>
      <c r="AY102" s="3291"/>
      <c r="AZ102" s="3267" t="s">
        <v>3951</v>
      </c>
      <c r="BA102" s="3296"/>
      <c r="BB102" s="3297"/>
      <c r="BC102" s="3296"/>
      <c r="BD102" s="3298"/>
      <c r="BE102" s="3276"/>
      <c r="BF102" s="3281"/>
      <c r="BG102" s="3293">
        <v>38785</v>
      </c>
      <c r="BH102" s="3276"/>
      <c r="BI102" s="3314" t="s">
        <v>3344</v>
      </c>
      <c r="BJ102" s="3299">
        <v>38786</v>
      </c>
      <c r="BK102" s="3299"/>
      <c r="BL102" s="3267" t="s">
        <v>2998</v>
      </c>
      <c r="BM102" s="3267" t="s">
        <v>2879</v>
      </c>
      <c r="BN102" s="3276" t="s">
        <v>2999</v>
      </c>
      <c r="BO102" s="3267" t="s">
        <v>3146</v>
      </c>
      <c r="BP102" s="3276"/>
      <c r="BQ102" s="3276" t="e">
        <v>#DIV/0!</v>
      </c>
      <c r="BR102" s="3276" t="e">
        <v>#DIV/0!</v>
      </c>
      <c r="BS102" s="3285"/>
      <c r="BT102" s="3285"/>
      <c r="BU102" s="3285"/>
    </row>
    <row r="103" spans="1:249">
      <c r="A103" s="3267" t="s">
        <v>3953</v>
      </c>
      <c r="B103" s="3268" t="s">
        <v>3954</v>
      </c>
      <c r="C103" s="3269" t="s">
        <v>3955</v>
      </c>
      <c r="D103" s="3268" t="s">
        <v>3956</v>
      </c>
      <c r="E103" s="3268" t="s">
        <v>2985</v>
      </c>
      <c r="F103" s="3268" t="s">
        <v>3957</v>
      </c>
      <c r="G103" s="3268"/>
      <c r="H103" s="3268" t="s">
        <v>3402</v>
      </c>
      <c r="I103" s="3268" t="s">
        <v>3318</v>
      </c>
      <c r="J103" s="3268" t="s">
        <v>3958</v>
      </c>
      <c r="K103" s="3268" t="s">
        <v>3959</v>
      </c>
      <c r="L103" s="3270">
        <v>49.04</v>
      </c>
      <c r="M103" s="3270">
        <v>1</v>
      </c>
      <c r="N103" s="3268" t="s">
        <v>3838</v>
      </c>
      <c r="O103" s="3270"/>
      <c r="P103" s="3268" t="s">
        <v>2963</v>
      </c>
      <c r="Q103" s="3271">
        <v>330000</v>
      </c>
      <c r="R103" s="3267">
        <v>6729</v>
      </c>
      <c r="S103" s="3272">
        <v>27.51</v>
      </c>
      <c r="T103" s="3273">
        <v>275100</v>
      </c>
      <c r="U103" s="3267">
        <v>5610</v>
      </c>
      <c r="V103" s="3289">
        <v>0.05</v>
      </c>
      <c r="W103" s="3272">
        <v>26.13</v>
      </c>
      <c r="X103" s="3275">
        <v>369300</v>
      </c>
      <c r="Y103" s="3276">
        <v>2006</v>
      </c>
      <c r="Z103" s="3276">
        <v>3</v>
      </c>
      <c r="AA103" s="3276">
        <v>13</v>
      </c>
      <c r="AB103" s="3267">
        <v>825</v>
      </c>
      <c r="AC103" s="3267" t="s">
        <v>3227</v>
      </c>
      <c r="AD103" s="3268"/>
      <c r="AE103" s="3279" t="s">
        <v>3344</v>
      </c>
      <c r="AF103" s="3268" t="s">
        <v>2966</v>
      </c>
      <c r="AG103" s="3268" t="s">
        <v>2967</v>
      </c>
      <c r="AH103" s="3268"/>
      <c r="AI103" s="3279" t="s">
        <v>3176</v>
      </c>
      <c r="AJ103" s="3290"/>
      <c r="AK103" s="3278" t="s">
        <v>3114</v>
      </c>
      <c r="AL103" s="3276">
        <v>82253558</v>
      </c>
      <c r="AM103" s="3276"/>
      <c r="AN103" s="3279" t="s">
        <v>3140</v>
      </c>
      <c r="AO103" s="3276"/>
      <c r="AP103" s="3267" t="s">
        <v>3180</v>
      </c>
      <c r="AQ103" s="3276" t="s">
        <v>3113</v>
      </c>
      <c r="AR103" s="3267"/>
      <c r="AS103" s="3267"/>
      <c r="AT103" s="3267"/>
      <c r="AU103" s="3267"/>
      <c r="AV103" s="3277"/>
      <c r="AW103" s="3276" t="s">
        <v>2997</v>
      </c>
      <c r="AX103" s="3276"/>
      <c r="AY103" s="3291"/>
      <c r="AZ103" s="3267" t="s">
        <v>3959</v>
      </c>
      <c r="BA103" s="3296"/>
      <c r="BB103" s="3297"/>
      <c r="BC103" s="3296"/>
      <c r="BD103" s="3298"/>
      <c r="BE103" s="3276"/>
      <c r="BF103" s="3281"/>
      <c r="BG103" s="3293">
        <v>38786</v>
      </c>
      <c r="BH103" s="3276"/>
      <c r="BI103" s="3314" t="s">
        <v>3344</v>
      </c>
      <c r="BJ103" s="3299">
        <v>38786</v>
      </c>
      <c r="BK103" s="3299"/>
      <c r="BL103" s="3267" t="s">
        <v>2998</v>
      </c>
      <c r="BM103" s="3267" t="s">
        <v>2879</v>
      </c>
      <c r="BN103" s="3276" t="s">
        <v>2999</v>
      </c>
      <c r="BO103" s="3267" t="s">
        <v>3146</v>
      </c>
      <c r="BP103" s="3276"/>
      <c r="BQ103" s="3276" t="e">
        <v>#DIV/0!</v>
      </c>
      <c r="BR103" s="3276" t="e">
        <v>#DIV/0!</v>
      </c>
      <c r="BS103" s="3285"/>
      <c r="BT103" s="3285"/>
      <c r="BU103" s="3285"/>
    </row>
    <row r="104" spans="1:249" hidden="1">
      <c r="A104" s="3267" t="s">
        <v>3960</v>
      </c>
      <c r="B104" s="3268" t="s">
        <v>3961</v>
      </c>
      <c r="C104" s="3269" t="s">
        <v>3962</v>
      </c>
      <c r="D104" s="3268" t="s">
        <v>3963</v>
      </c>
      <c r="E104" s="3268" t="s">
        <v>2985</v>
      </c>
      <c r="F104" s="3268" t="s">
        <v>3350</v>
      </c>
      <c r="G104" s="3268"/>
      <c r="H104" s="3268" t="s">
        <v>3964</v>
      </c>
      <c r="I104" s="3268"/>
      <c r="J104" s="3268" t="s">
        <v>3965</v>
      </c>
      <c r="K104" s="3268" t="s">
        <v>3966</v>
      </c>
      <c r="L104" s="3270">
        <v>99.14</v>
      </c>
      <c r="M104" s="3270">
        <v>8</v>
      </c>
      <c r="N104" s="3268" t="s">
        <v>3122</v>
      </c>
      <c r="O104" s="3270">
        <v>80.8</v>
      </c>
      <c r="P104" s="3268" t="s">
        <v>2963</v>
      </c>
      <c r="Q104" s="3271">
        <v>600000</v>
      </c>
      <c r="R104" s="3267">
        <v>6052</v>
      </c>
      <c r="S104" s="3272">
        <v>58.2</v>
      </c>
      <c r="T104" s="3273">
        <v>582000</v>
      </c>
      <c r="U104" s="3267">
        <v>5871</v>
      </c>
      <c r="V104" s="3274">
        <v>0.05</v>
      </c>
      <c r="W104" s="3272">
        <v>55.29</v>
      </c>
      <c r="X104" s="3275">
        <v>552900</v>
      </c>
      <c r="Y104" s="3276">
        <v>2006</v>
      </c>
      <c r="Z104" s="3276">
        <v>3</v>
      </c>
      <c r="AA104" s="3276">
        <v>17</v>
      </c>
      <c r="AB104" s="3267">
        <v>1500</v>
      </c>
      <c r="AC104" s="3267" t="s">
        <v>3227</v>
      </c>
      <c r="AD104" s="3268"/>
      <c r="AE104" s="3267" t="s">
        <v>3344</v>
      </c>
      <c r="AF104" s="3268" t="s">
        <v>2966</v>
      </c>
      <c r="AG104" s="3268" t="s">
        <v>2967</v>
      </c>
      <c r="AH104" s="3268"/>
      <c r="AI104" s="3279" t="s">
        <v>3176</v>
      </c>
      <c r="AJ104" s="3290"/>
      <c r="AK104" s="3278" t="s">
        <v>3114</v>
      </c>
      <c r="AL104" s="3267">
        <v>82253558</v>
      </c>
      <c r="AM104" s="3276"/>
      <c r="AN104" s="3276" t="s">
        <v>3114</v>
      </c>
      <c r="AO104" s="3276" t="s">
        <v>3967</v>
      </c>
      <c r="AP104" s="3267" t="s">
        <v>3180</v>
      </c>
      <c r="AQ104" s="3276" t="s">
        <v>3113</v>
      </c>
      <c r="AR104" s="3267"/>
      <c r="AS104" s="3267"/>
      <c r="AT104" s="3267"/>
      <c r="AU104" s="3267"/>
      <c r="AV104" s="3277"/>
      <c r="AW104" s="3306" t="s">
        <v>2997</v>
      </c>
      <c r="AX104" s="3268"/>
      <c r="AY104" s="3268"/>
      <c r="AZ104" s="3268" t="s">
        <v>3966</v>
      </c>
      <c r="BA104" s="3268"/>
      <c r="BB104" s="3280"/>
      <c r="BC104" s="3268"/>
      <c r="BD104" s="3268"/>
      <c r="BE104" s="3268"/>
      <c r="BF104" s="3281"/>
      <c r="BG104" s="3307">
        <v>38658</v>
      </c>
      <c r="BH104" s="3268"/>
      <c r="BI104" s="3314" t="s">
        <v>3344</v>
      </c>
      <c r="BJ104" s="3299">
        <v>38791</v>
      </c>
      <c r="BK104" s="3284"/>
      <c r="BL104" s="3267" t="s">
        <v>2998</v>
      </c>
      <c r="BM104" s="3267" t="s">
        <v>2879</v>
      </c>
      <c r="BN104" s="3276" t="s">
        <v>2999</v>
      </c>
      <c r="BO104" s="3267" t="s">
        <v>3146</v>
      </c>
      <c r="BP104" s="3276"/>
      <c r="BQ104" s="3276">
        <v>7204</v>
      </c>
      <c r="BR104" s="3276">
        <v>7426</v>
      </c>
      <c r="BS104" s="3285"/>
      <c r="BT104" s="3285"/>
      <c r="BU104" s="3285"/>
      <c r="BV104" s="3262"/>
      <c r="BW104" s="3262"/>
      <c r="BX104" s="3262"/>
      <c r="BY104" s="3262"/>
      <c r="BZ104" s="3262"/>
      <c r="CA104" s="3262"/>
      <c r="CB104" s="3262"/>
      <c r="CC104" s="3262"/>
      <c r="CD104" s="3262"/>
      <c r="CE104" s="3262"/>
      <c r="CF104" s="3262"/>
      <c r="CG104" s="3262"/>
      <c r="CH104" s="3262"/>
      <c r="CI104" s="3262"/>
      <c r="CJ104" s="3262"/>
      <c r="CK104" s="3262"/>
      <c r="CL104" s="3262"/>
      <c r="CM104" s="3262"/>
      <c r="CN104" s="3262"/>
      <c r="CO104" s="3262"/>
      <c r="CP104" s="3262"/>
      <c r="CQ104" s="3262"/>
      <c r="CR104" s="3262"/>
      <c r="CS104" s="3262"/>
      <c r="CT104" s="3262"/>
      <c r="CU104" s="3262"/>
      <c r="CV104" s="3262"/>
      <c r="CW104" s="3262"/>
      <c r="CX104" s="3262"/>
      <c r="CY104" s="3262"/>
      <c r="CZ104" s="3262"/>
      <c r="DA104" s="3262"/>
      <c r="DB104" s="3262"/>
      <c r="DC104" s="3262"/>
      <c r="DD104" s="3262"/>
      <c r="DE104" s="3262"/>
      <c r="DF104" s="3262"/>
      <c r="DG104" s="3262"/>
      <c r="DH104" s="3262"/>
      <c r="DI104" s="3262"/>
      <c r="DJ104" s="3262"/>
      <c r="DK104" s="3262"/>
      <c r="DL104" s="3262"/>
      <c r="DM104" s="3262"/>
      <c r="DN104" s="3262"/>
      <c r="DO104" s="3262"/>
      <c r="DP104" s="3262"/>
      <c r="DQ104" s="3262"/>
      <c r="DR104" s="3262"/>
      <c r="DS104" s="3262"/>
      <c r="DT104" s="3262"/>
      <c r="DU104" s="3262"/>
      <c r="DV104" s="3262"/>
      <c r="DW104" s="3262"/>
      <c r="DX104" s="3262"/>
      <c r="DY104" s="3262"/>
      <c r="DZ104" s="3262"/>
      <c r="EA104" s="3262"/>
      <c r="EB104" s="3262"/>
      <c r="EC104" s="3262"/>
      <c r="ED104" s="3262"/>
      <c r="EE104" s="3262"/>
      <c r="EF104" s="3262"/>
      <c r="EG104" s="3262"/>
      <c r="EH104" s="3262"/>
      <c r="EI104" s="3262"/>
      <c r="EJ104" s="3262"/>
      <c r="EK104" s="3262"/>
      <c r="EL104" s="3262"/>
      <c r="EM104" s="3262"/>
      <c r="EN104" s="3262"/>
      <c r="EO104" s="3262"/>
      <c r="EP104" s="3262"/>
      <c r="EQ104" s="3262"/>
      <c r="ER104" s="3262"/>
      <c r="ES104" s="3262"/>
      <c r="ET104" s="3262"/>
      <c r="EU104" s="3262"/>
      <c r="EV104" s="3262"/>
      <c r="EW104" s="3262"/>
      <c r="EX104" s="3262"/>
      <c r="EY104" s="3262"/>
      <c r="EZ104" s="3262"/>
      <c r="FA104" s="3262"/>
      <c r="FB104" s="3262"/>
      <c r="FC104" s="3262"/>
      <c r="FD104" s="3262"/>
      <c r="FE104" s="3262"/>
      <c r="FF104" s="3262"/>
      <c r="FG104" s="3262"/>
      <c r="FH104" s="3262"/>
      <c r="FI104" s="3262"/>
      <c r="FJ104" s="3262"/>
      <c r="FK104" s="3262"/>
      <c r="FL104" s="3262"/>
      <c r="FM104" s="3262"/>
      <c r="FN104" s="3262"/>
      <c r="FO104" s="3262"/>
      <c r="FP104" s="3262"/>
      <c r="FQ104" s="3262"/>
      <c r="FR104" s="3262"/>
      <c r="FS104" s="3262"/>
      <c r="FT104" s="3262"/>
      <c r="FU104" s="3262"/>
      <c r="FV104" s="3262"/>
      <c r="FW104" s="3262"/>
      <c r="FX104" s="3262"/>
      <c r="FY104" s="3262"/>
      <c r="FZ104" s="3262"/>
      <c r="GA104" s="3262"/>
      <c r="GB104" s="3262"/>
      <c r="GC104" s="3262"/>
      <c r="GD104" s="3262"/>
      <c r="GE104" s="3262"/>
      <c r="GF104" s="3262"/>
      <c r="GG104" s="3262"/>
      <c r="GH104" s="3262"/>
      <c r="GI104" s="3262"/>
      <c r="GJ104" s="3262"/>
      <c r="GK104" s="3262"/>
      <c r="GL104" s="3262"/>
      <c r="GM104" s="3262"/>
      <c r="GN104" s="3262"/>
      <c r="GO104" s="3262"/>
      <c r="GP104" s="3262"/>
      <c r="GQ104" s="3262"/>
      <c r="GR104" s="3262"/>
      <c r="GS104" s="3262"/>
      <c r="GT104" s="3262"/>
      <c r="GU104" s="3262"/>
      <c r="GV104" s="3262"/>
      <c r="GW104" s="3262"/>
      <c r="GX104" s="3262"/>
      <c r="GY104" s="3262"/>
      <c r="GZ104" s="3262"/>
      <c r="HA104" s="3262"/>
      <c r="HB104" s="3262"/>
      <c r="HC104" s="3262"/>
      <c r="HD104" s="3262"/>
      <c r="HE104" s="3262"/>
      <c r="HF104" s="3262"/>
      <c r="HG104" s="3262"/>
      <c r="HH104" s="3262"/>
      <c r="HI104" s="3262"/>
      <c r="HJ104" s="3262"/>
      <c r="HK104" s="3262"/>
      <c r="HL104" s="3262"/>
      <c r="HM104" s="3262"/>
      <c r="HN104" s="3262"/>
      <c r="HO104" s="3262"/>
      <c r="HP104" s="3262"/>
      <c r="HQ104" s="3262"/>
      <c r="HR104" s="3262"/>
      <c r="HS104" s="3262"/>
      <c r="HT104" s="3262"/>
      <c r="HU104" s="3262"/>
      <c r="HV104" s="3262"/>
      <c r="HW104" s="3262"/>
      <c r="HX104" s="3262"/>
      <c r="HY104" s="3262"/>
      <c r="HZ104" s="3262"/>
      <c r="IA104" s="3262"/>
      <c r="IB104" s="3262"/>
      <c r="IC104" s="3262"/>
      <c r="ID104" s="3262"/>
      <c r="IE104" s="3262"/>
      <c r="IF104" s="3262"/>
      <c r="IG104" s="3262"/>
      <c r="IH104" s="3262"/>
      <c r="II104" s="3262"/>
      <c r="IJ104" s="3262"/>
      <c r="IK104" s="3262"/>
      <c r="IL104" s="3262"/>
      <c r="IM104" s="3262"/>
      <c r="IN104" s="3262"/>
      <c r="IO104" s="3262"/>
    </row>
    <row r="105" spans="1:249" hidden="1">
      <c r="A105" s="3267" t="s">
        <v>3968</v>
      </c>
      <c r="B105" s="3268" t="s">
        <v>3969</v>
      </c>
      <c r="C105" s="3269" t="s">
        <v>3970</v>
      </c>
      <c r="D105" s="3268">
        <v>13520266782</v>
      </c>
      <c r="E105" s="3268" t="s">
        <v>2985</v>
      </c>
      <c r="F105" s="3268" t="s">
        <v>3971</v>
      </c>
      <c r="G105" s="3268"/>
      <c r="H105" s="3268" t="s">
        <v>3402</v>
      </c>
      <c r="I105" s="3268"/>
      <c r="J105" s="3268">
        <v>1902</v>
      </c>
      <c r="K105" s="3268" t="s">
        <v>3157</v>
      </c>
      <c r="L105" s="3270">
        <v>109.18</v>
      </c>
      <c r="M105" s="3270">
        <v>19</v>
      </c>
      <c r="N105" s="3268" t="s">
        <v>3395</v>
      </c>
      <c r="O105" s="3270">
        <v>89.03</v>
      </c>
      <c r="P105" s="3267" t="s">
        <v>2963</v>
      </c>
      <c r="Q105" s="3271">
        <v>850000</v>
      </c>
      <c r="R105" s="3267">
        <v>7785</v>
      </c>
      <c r="S105" s="3272">
        <v>64.59</v>
      </c>
      <c r="T105" s="3273">
        <v>645900</v>
      </c>
      <c r="U105" s="3267">
        <v>5916</v>
      </c>
      <c r="V105" s="3289">
        <v>0.2</v>
      </c>
      <c r="W105" s="3272">
        <v>51.67</v>
      </c>
      <c r="X105" s="3275">
        <v>516700</v>
      </c>
      <c r="Y105" s="3276">
        <v>2006</v>
      </c>
      <c r="Z105" s="3276">
        <v>3</v>
      </c>
      <c r="AA105" s="3276">
        <v>16</v>
      </c>
      <c r="AB105" s="3267">
        <v>1500</v>
      </c>
      <c r="AC105" s="3267" t="s">
        <v>3110</v>
      </c>
      <c r="AD105" s="3268"/>
      <c r="AE105" s="3267" t="s">
        <v>3344</v>
      </c>
      <c r="AF105" s="3267" t="s">
        <v>2966</v>
      </c>
      <c r="AG105" s="3268" t="s">
        <v>2967</v>
      </c>
      <c r="AH105" s="3268"/>
      <c r="AI105" s="3267" t="s">
        <v>3115</v>
      </c>
      <c r="AJ105" s="3290"/>
      <c r="AK105" s="3267" t="s">
        <v>3114</v>
      </c>
      <c r="AL105" s="3267">
        <v>82253558</v>
      </c>
      <c r="AM105" s="3276"/>
      <c r="AN105" s="3279" t="s">
        <v>3114</v>
      </c>
      <c r="AO105" s="3267" t="s">
        <v>3972</v>
      </c>
      <c r="AP105" s="3267" t="s">
        <v>3180</v>
      </c>
      <c r="AQ105" s="3276" t="s">
        <v>3113</v>
      </c>
      <c r="AR105" s="3267"/>
      <c r="AS105" s="3267"/>
      <c r="AT105" s="3267"/>
      <c r="AU105" s="3267"/>
      <c r="AV105" s="3277"/>
      <c r="AW105" s="3276" t="s">
        <v>2997</v>
      </c>
      <c r="AX105" s="3276"/>
      <c r="AY105" s="3276" t="s">
        <v>2968</v>
      </c>
      <c r="AZ105" s="3267" t="s">
        <v>3157</v>
      </c>
      <c r="BA105" s="3296" t="s">
        <v>2968</v>
      </c>
      <c r="BB105" s="3297" t="s">
        <v>2968</v>
      </c>
      <c r="BC105" s="3296" t="s">
        <v>2968</v>
      </c>
      <c r="BD105" s="3298" t="s">
        <v>2968</v>
      </c>
      <c r="BE105" s="3276">
        <v>13701116332</v>
      </c>
      <c r="BF105" s="3281" t="s">
        <v>2968</v>
      </c>
      <c r="BG105" s="3293">
        <v>38783</v>
      </c>
      <c r="BH105" s="3267"/>
      <c r="BI105" s="3314" t="s">
        <v>3344</v>
      </c>
      <c r="BJ105" s="3299"/>
      <c r="BK105" s="3284"/>
      <c r="BL105" s="3267" t="s">
        <v>2998</v>
      </c>
      <c r="BM105" s="3267" t="s">
        <v>2879</v>
      </c>
      <c r="BN105" s="3267" t="s">
        <v>2999</v>
      </c>
      <c r="BO105" s="3267" t="s">
        <v>3146</v>
      </c>
      <c r="BP105" s="3276"/>
      <c r="BQ105" s="3276">
        <v>7255</v>
      </c>
      <c r="BR105" s="3276">
        <v>9547</v>
      </c>
      <c r="BS105" s="3285"/>
      <c r="BT105" s="3285"/>
      <c r="BU105" s="3285"/>
    </row>
    <row r="106" spans="1:249" hidden="1">
      <c r="A106" s="3268" t="s">
        <v>3973</v>
      </c>
      <c r="B106" s="3267" t="s">
        <v>3974</v>
      </c>
      <c r="C106" s="3269" t="s">
        <v>3975</v>
      </c>
      <c r="D106" s="3269" t="s">
        <v>3976</v>
      </c>
      <c r="E106" s="3267" t="s">
        <v>2985</v>
      </c>
      <c r="F106" s="3267" t="s">
        <v>3977</v>
      </c>
      <c r="G106" s="3267"/>
      <c r="H106" s="3267" t="s">
        <v>3978</v>
      </c>
      <c r="I106" s="3267" t="s">
        <v>3436</v>
      </c>
      <c r="J106" s="3269" t="s">
        <v>3151</v>
      </c>
      <c r="K106" s="3267" t="s">
        <v>3974</v>
      </c>
      <c r="L106" s="3267">
        <v>93.87</v>
      </c>
      <c r="M106" s="3267">
        <v>5</v>
      </c>
      <c r="N106" s="3267" t="s">
        <v>3125</v>
      </c>
      <c r="O106" s="3267"/>
      <c r="P106" s="3267" t="s">
        <v>2963</v>
      </c>
      <c r="Q106" s="3271">
        <v>512000</v>
      </c>
      <c r="R106" s="3267">
        <v>5454</v>
      </c>
      <c r="S106" s="3272">
        <v>42.24</v>
      </c>
      <c r="T106" s="3273">
        <v>422400</v>
      </c>
      <c r="U106" s="3267">
        <v>4500</v>
      </c>
      <c r="V106" s="3289">
        <v>0.05</v>
      </c>
      <c r="W106" s="3272">
        <v>40.119999999999997</v>
      </c>
      <c r="X106" s="3275">
        <v>401200</v>
      </c>
      <c r="Y106" s="3276">
        <v>2006</v>
      </c>
      <c r="Z106" s="3276">
        <v>5</v>
      </c>
      <c r="AA106" s="3276">
        <v>23</v>
      </c>
      <c r="AB106" s="3267">
        <v>1265</v>
      </c>
      <c r="AC106" s="3267" t="s">
        <v>3227</v>
      </c>
      <c r="AD106" s="3267"/>
      <c r="AE106" s="3276" t="s">
        <v>3180</v>
      </c>
      <c r="AF106" s="3267" t="s">
        <v>2966</v>
      </c>
      <c r="AG106" s="3279" t="s">
        <v>2967</v>
      </c>
      <c r="AH106" s="3267" t="s">
        <v>2968</v>
      </c>
      <c r="AI106" s="3267" t="s">
        <v>3115</v>
      </c>
      <c r="AJ106" s="3284" t="s">
        <v>2968</v>
      </c>
      <c r="AK106" s="3269" t="s">
        <v>3099</v>
      </c>
      <c r="AL106" s="3276">
        <v>82253558</v>
      </c>
      <c r="AM106" s="3276"/>
      <c r="AN106" s="3269" t="s">
        <v>3114</v>
      </c>
      <c r="AO106" s="3267" t="s">
        <v>3979</v>
      </c>
      <c r="AP106" s="3276" t="s">
        <v>3180</v>
      </c>
      <c r="AQ106" s="3267" t="s">
        <v>3228</v>
      </c>
      <c r="AR106" s="3276"/>
      <c r="AS106" s="3276"/>
      <c r="AT106" s="3276"/>
      <c r="AU106" s="3276"/>
      <c r="AV106" s="3276" t="s">
        <v>2968</v>
      </c>
      <c r="AW106" s="3276" t="s">
        <v>2997</v>
      </c>
      <c r="AX106" s="3276"/>
      <c r="AY106" s="3291"/>
      <c r="AZ106" s="3276" t="s">
        <v>3980</v>
      </c>
      <c r="BA106" s="3276"/>
      <c r="BB106" s="3291"/>
      <c r="BC106" s="3276"/>
      <c r="BD106" s="3292"/>
      <c r="BE106" s="3276">
        <v>13910516798</v>
      </c>
      <c r="BF106" s="3281"/>
      <c r="BG106" s="3299">
        <v>38780</v>
      </c>
      <c r="BH106" s="3276"/>
      <c r="BI106" s="3276" t="s">
        <v>3295</v>
      </c>
      <c r="BJ106" s="3284">
        <v>38796</v>
      </c>
      <c r="BK106" s="3283"/>
      <c r="BL106" s="3267" t="s">
        <v>2998</v>
      </c>
      <c r="BM106" s="3276" t="s">
        <v>2879</v>
      </c>
      <c r="BN106" s="3276" t="s">
        <v>2999</v>
      </c>
      <c r="BO106" s="3276" t="s">
        <v>3146</v>
      </c>
      <c r="BP106" s="3276"/>
      <c r="BQ106" s="3276"/>
      <c r="BR106" s="3276"/>
      <c r="BS106" s="3285"/>
      <c r="BT106" s="3285"/>
      <c r="BU106" s="3285"/>
    </row>
    <row r="107" spans="1:249" hidden="1">
      <c r="A107" s="3267" t="s">
        <v>3981</v>
      </c>
      <c r="B107" s="3267" t="s">
        <v>3982</v>
      </c>
      <c r="C107" s="3269" t="s">
        <v>3983</v>
      </c>
      <c r="D107" s="3269" t="s">
        <v>3984</v>
      </c>
      <c r="E107" s="3267" t="s">
        <v>2985</v>
      </c>
      <c r="F107" s="3244" t="s">
        <v>3985</v>
      </c>
      <c r="G107" s="3267"/>
      <c r="H107" s="3267" t="s">
        <v>3130</v>
      </c>
      <c r="I107" s="3267"/>
      <c r="J107" s="3269" t="s">
        <v>3175</v>
      </c>
      <c r="K107" s="3267" t="s">
        <v>3982</v>
      </c>
      <c r="L107" s="3267">
        <v>93.15</v>
      </c>
      <c r="M107" s="3267">
        <v>6</v>
      </c>
      <c r="N107" s="3267" t="s">
        <v>3122</v>
      </c>
      <c r="O107" s="3267">
        <v>75.62</v>
      </c>
      <c r="P107" s="3267" t="s">
        <v>2963</v>
      </c>
      <c r="Q107" s="3271">
        <v>550000</v>
      </c>
      <c r="R107" s="3271">
        <v>5904</v>
      </c>
      <c r="S107" s="3272">
        <v>54.2</v>
      </c>
      <c r="T107" s="3273">
        <v>542000</v>
      </c>
      <c r="U107" s="3267">
        <v>5819</v>
      </c>
      <c r="V107" s="3274">
        <v>0.05</v>
      </c>
      <c r="W107" s="3272">
        <v>51.49</v>
      </c>
      <c r="X107" s="3275">
        <v>514900</v>
      </c>
      <c r="Y107" s="3267">
        <v>2006</v>
      </c>
      <c r="Z107" s="3267">
        <v>5</v>
      </c>
      <c r="AA107" s="3276">
        <v>10</v>
      </c>
      <c r="AB107" s="3267">
        <v>1500</v>
      </c>
      <c r="AC107" s="3267" t="s">
        <v>3227</v>
      </c>
      <c r="AD107" s="3267"/>
      <c r="AE107" s="3279" t="s">
        <v>2979</v>
      </c>
      <c r="AF107" s="3267" t="s">
        <v>2966</v>
      </c>
      <c r="AG107" s="3267" t="s">
        <v>2967</v>
      </c>
      <c r="AH107" s="3267"/>
      <c r="AI107" s="3267" t="s">
        <v>3115</v>
      </c>
      <c r="AJ107" s="3284"/>
      <c r="AK107" s="3278" t="s">
        <v>3099</v>
      </c>
      <c r="AL107" s="3267">
        <v>82253558</v>
      </c>
      <c r="AM107" s="3276"/>
      <c r="AN107" s="3276" t="s">
        <v>3140</v>
      </c>
      <c r="AO107" s="3276" t="s">
        <v>3986</v>
      </c>
      <c r="AP107" s="3267" t="s">
        <v>3180</v>
      </c>
      <c r="AQ107" s="3267" t="s">
        <v>3228</v>
      </c>
      <c r="AR107" s="3276"/>
      <c r="AS107" s="3276"/>
      <c r="AT107" s="3276"/>
      <c r="AU107" s="3276"/>
      <c r="AV107" s="3276"/>
      <c r="AW107" s="3267" t="s">
        <v>3171</v>
      </c>
      <c r="AX107" s="3276"/>
      <c r="AY107" s="3291"/>
      <c r="AZ107" s="3276" t="s">
        <v>3987</v>
      </c>
      <c r="BA107" s="3276"/>
      <c r="BB107" s="3291"/>
      <c r="BC107" s="3276"/>
      <c r="BD107" s="3292"/>
      <c r="BE107" s="3276">
        <v>13910677641</v>
      </c>
      <c r="BF107" s="3281"/>
      <c r="BG107" s="3299">
        <v>38770</v>
      </c>
      <c r="BH107" s="3267" t="s">
        <v>2968</v>
      </c>
      <c r="BI107" s="3314" t="s">
        <v>3344</v>
      </c>
      <c r="BJ107" s="3299">
        <v>38800</v>
      </c>
      <c r="BK107" s="3283"/>
      <c r="BL107" s="3267" t="s">
        <v>2998</v>
      </c>
      <c r="BM107" s="3267" t="s">
        <v>2879</v>
      </c>
      <c r="BN107" s="3267" t="s">
        <v>3111</v>
      </c>
      <c r="BO107" s="3267" t="s">
        <v>3616</v>
      </c>
      <c r="BP107" s="3276"/>
      <c r="BQ107" s="3276">
        <v>7168</v>
      </c>
      <c r="BR107" s="3276">
        <v>7273</v>
      </c>
      <c r="BS107" s="3285"/>
      <c r="BT107" s="3285"/>
      <c r="BU107" s="3285"/>
      <c r="BV107" s="3347"/>
      <c r="BW107" s="3347"/>
      <c r="BX107" s="3347"/>
      <c r="BY107" s="3347"/>
    </row>
    <row r="108" spans="1:249" hidden="1">
      <c r="A108" s="3267" t="s">
        <v>3988</v>
      </c>
      <c r="B108" s="3267" t="s">
        <v>3989</v>
      </c>
      <c r="C108" s="3269" t="s">
        <v>3990</v>
      </c>
      <c r="D108" s="3269">
        <v>13466648711</v>
      </c>
      <c r="E108" s="3268" t="s">
        <v>2985</v>
      </c>
      <c r="F108" s="3268" t="s">
        <v>3991</v>
      </c>
      <c r="G108" s="3267"/>
      <c r="H108" s="3268" t="s">
        <v>3182</v>
      </c>
      <c r="I108" s="3268"/>
      <c r="J108" s="3267" t="s">
        <v>3992</v>
      </c>
      <c r="K108" s="3267" t="s">
        <v>3993</v>
      </c>
      <c r="L108" s="3267">
        <v>57.13</v>
      </c>
      <c r="M108" s="3269">
        <v>17</v>
      </c>
      <c r="N108" s="3267" t="s">
        <v>3152</v>
      </c>
      <c r="O108" s="3267">
        <v>44.75</v>
      </c>
      <c r="P108" s="3267" t="s">
        <v>2963</v>
      </c>
      <c r="Q108" s="3271">
        <v>450000</v>
      </c>
      <c r="R108" s="3267">
        <v>7877</v>
      </c>
      <c r="S108" s="3272">
        <v>40.47</v>
      </c>
      <c r="T108" s="3273">
        <v>404700</v>
      </c>
      <c r="U108" s="3267">
        <v>7084</v>
      </c>
      <c r="V108" s="3289">
        <v>0.2</v>
      </c>
      <c r="W108" s="3272">
        <v>32.369999999999997</v>
      </c>
      <c r="X108" s="3275">
        <v>323700</v>
      </c>
      <c r="Y108" s="3276">
        <v>2006</v>
      </c>
      <c r="Z108" s="3276">
        <v>5</v>
      </c>
      <c r="AA108" s="3276">
        <v>30</v>
      </c>
      <c r="AB108" s="3267">
        <v>1210</v>
      </c>
      <c r="AC108" s="3267" t="s">
        <v>3227</v>
      </c>
      <c r="AD108" s="3267"/>
      <c r="AE108" s="3267" t="s">
        <v>3344</v>
      </c>
      <c r="AF108" s="3268" t="s">
        <v>2966</v>
      </c>
      <c r="AG108" s="3267" t="s">
        <v>2967</v>
      </c>
      <c r="AH108" s="3267"/>
      <c r="AI108" s="3267" t="s">
        <v>3115</v>
      </c>
      <c r="AJ108" s="3284"/>
      <c r="AK108" s="3278">
        <v>5</v>
      </c>
      <c r="AL108" s="3267">
        <v>82253558</v>
      </c>
      <c r="AM108" s="3276"/>
      <c r="AN108" s="3267" t="s">
        <v>2994</v>
      </c>
      <c r="AO108" s="3267"/>
      <c r="AP108" s="3267" t="s">
        <v>3180</v>
      </c>
      <c r="AQ108" s="3267" t="s">
        <v>3113</v>
      </c>
      <c r="AR108" s="3276"/>
      <c r="AS108" s="3276"/>
      <c r="AT108" s="3276"/>
      <c r="AU108" s="3276"/>
      <c r="AV108" s="3276"/>
      <c r="AW108" s="3276" t="s">
        <v>2997</v>
      </c>
      <c r="AX108" s="3276"/>
      <c r="AY108" s="3291"/>
      <c r="AZ108" s="3267" t="s">
        <v>3993</v>
      </c>
      <c r="BA108" s="3296"/>
      <c r="BB108" s="3297"/>
      <c r="BC108" s="3296"/>
      <c r="BD108" s="3298"/>
      <c r="BE108" s="3276">
        <v>13701267070</v>
      </c>
      <c r="BF108" s="3281"/>
      <c r="BG108" s="3293">
        <v>38791</v>
      </c>
      <c r="BH108" s="3267"/>
      <c r="BI108" s="3276" t="s">
        <v>3295</v>
      </c>
      <c r="BJ108" s="3283">
        <v>38793</v>
      </c>
      <c r="BK108" s="3283"/>
      <c r="BL108" s="3267" t="s">
        <v>2998</v>
      </c>
      <c r="BM108" s="3276" t="s">
        <v>2879</v>
      </c>
      <c r="BN108" s="3276" t="s">
        <v>2999</v>
      </c>
      <c r="BO108" s="3276" t="s">
        <v>3146</v>
      </c>
      <c r="BP108" s="3276"/>
      <c r="BQ108" s="3276">
        <v>9044</v>
      </c>
      <c r="BR108" s="3276">
        <v>10056</v>
      </c>
      <c r="BS108" s="3285"/>
      <c r="BT108" s="3285"/>
      <c r="BU108" s="3285"/>
    </row>
    <row r="109" spans="1:249" hidden="1">
      <c r="A109" s="3267" t="s">
        <v>3994</v>
      </c>
      <c r="B109" s="3267" t="s">
        <v>3995</v>
      </c>
      <c r="C109" s="3269" t="s">
        <v>3996</v>
      </c>
      <c r="D109" s="3269" t="s">
        <v>3997</v>
      </c>
      <c r="E109" s="3267" t="s">
        <v>2985</v>
      </c>
      <c r="F109" s="3244" t="s">
        <v>3998</v>
      </c>
      <c r="G109" s="3267" t="s">
        <v>3262</v>
      </c>
      <c r="H109" s="3267" t="s">
        <v>3999</v>
      </c>
      <c r="I109" s="3267" t="s">
        <v>3318</v>
      </c>
      <c r="J109" s="3269" t="s">
        <v>4000</v>
      </c>
      <c r="K109" s="3267" t="s">
        <v>4001</v>
      </c>
      <c r="L109" s="3270" t="s">
        <v>4002</v>
      </c>
      <c r="M109" s="3267" t="s">
        <v>4003</v>
      </c>
      <c r="N109" s="3267" t="s">
        <v>3122</v>
      </c>
      <c r="O109" s="3267" t="s">
        <v>3262</v>
      </c>
      <c r="P109" s="3267" t="s">
        <v>2963</v>
      </c>
      <c r="Q109" s="3271" t="s">
        <v>4004</v>
      </c>
      <c r="R109" s="3346">
        <v>7979</v>
      </c>
      <c r="S109" s="3272">
        <v>42.62</v>
      </c>
      <c r="T109" s="3348">
        <v>426200</v>
      </c>
      <c r="U109" s="3267" t="s">
        <v>4005</v>
      </c>
      <c r="V109" s="3289" t="s">
        <v>4006</v>
      </c>
      <c r="W109" s="3349">
        <v>40.479999999999997</v>
      </c>
      <c r="X109" s="3350">
        <v>404800</v>
      </c>
      <c r="Y109" s="3276" t="s">
        <v>4007</v>
      </c>
      <c r="Z109" s="3276" t="s">
        <v>3155</v>
      </c>
      <c r="AA109" s="3276" t="s">
        <v>4008</v>
      </c>
      <c r="AB109" s="3267">
        <v>1275</v>
      </c>
      <c r="AC109" s="3267" t="s">
        <v>3227</v>
      </c>
      <c r="AD109" s="3267" t="s">
        <v>3262</v>
      </c>
      <c r="AE109" s="3276" t="s">
        <v>2991</v>
      </c>
      <c r="AF109" s="3267" t="s">
        <v>2966</v>
      </c>
      <c r="AG109" s="3279" t="s">
        <v>2967</v>
      </c>
      <c r="AH109" s="3267" t="s">
        <v>3262</v>
      </c>
      <c r="AI109" s="3267" t="s">
        <v>3115</v>
      </c>
      <c r="AJ109" s="3284" t="s">
        <v>3262</v>
      </c>
      <c r="AK109" s="3316" t="s">
        <v>3114</v>
      </c>
      <c r="AL109" s="3276" t="s">
        <v>3706</v>
      </c>
      <c r="AM109" s="3276" t="s">
        <v>3262</v>
      </c>
      <c r="AN109" s="3276" t="s">
        <v>3099</v>
      </c>
      <c r="AO109" s="3276" t="s">
        <v>3262</v>
      </c>
      <c r="AP109" s="3276" t="s">
        <v>3180</v>
      </c>
      <c r="AQ109" s="3276" t="s">
        <v>3113</v>
      </c>
      <c r="AR109" s="3276" t="s">
        <v>3262</v>
      </c>
      <c r="AS109" s="3276" t="s">
        <v>3262</v>
      </c>
      <c r="AT109" s="3276" t="s">
        <v>3262</v>
      </c>
      <c r="AU109" s="3276" t="s">
        <v>3262</v>
      </c>
      <c r="AV109" s="3276" t="s">
        <v>3262</v>
      </c>
      <c r="AW109" s="3276" t="s">
        <v>2997</v>
      </c>
      <c r="AX109" s="3276" t="s">
        <v>3262</v>
      </c>
      <c r="AY109" s="3291" t="s">
        <v>3262</v>
      </c>
      <c r="AZ109" s="3276" t="s">
        <v>4001</v>
      </c>
      <c r="BA109" s="3276" t="s">
        <v>3262</v>
      </c>
      <c r="BB109" s="3291" t="s">
        <v>3262</v>
      </c>
      <c r="BC109" s="3276" t="s">
        <v>3262</v>
      </c>
      <c r="BD109" s="3292" t="s">
        <v>3262</v>
      </c>
      <c r="BE109" s="3276" t="s">
        <v>3262</v>
      </c>
      <c r="BF109" s="3281" t="s">
        <v>3262</v>
      </c>
      <c r="BG109" s="3299">
        <v>38796</v>
      </c>
      <c r="BH109" s="3276" t="s">
        <v>3262</v>
      </c>
      <c r="BI109" s="3276" t="s">
        <v>3295</v>
      </c>
      <c r="BJ109" s="3283" t="s">
        <v>4009</v>
      </c>
      <c r="BK109" s="3283" t="s">
        <v>3262</v>
      </c>
      <c r="BL109" s="3267" t="s">
        <v>2998</v>
      </c>
      <c r="BM109" s="3276" t="s">
        <v>2879</v>
      </c>
      <c r="BN109" s="3276" t="s">
        <v>2999</v>
      </c>
      <c r="BO109" s="3276" t="s">
        <v>3146</v>
      </c>
      <c r="BP109" s="3276" t="s">
        <v>3262</v>
      </c>
      <c r="BQ109" s="3276" t="s">
        <v>4010</v>
      </c>
      <c r="BR109" s="3276" t="s">
        <v>4010</v>
      </c>
      <c r="BS109" s="3285"/>
      <c r="BT109" s="3285"/>
      <c r="BU109" s="3285"/>
      <c r="BV109" s="3262"/>
      <c r="BW109" s="3262" t="s">
        <v>3262</v>
      </c>
      <c r="BX109" s="3262" t="s">
        <v>3262</v>
      </c>
      <c r="BY109" s="3262" t="s">
        <v>3262</v>
      </c>
      <c r="BZ109" s="3262" t="s">
        <v>3262</v>
      </c>
      <c r="CA109" s="3262" t="s">
        <v>3262</v>
      </c>
      <c r="CB109" s="3262" t="s">
        <v>3262</v>
      </c>
      <c r="CC109" s="3262" t="s">
        <v>3262</v>
      </c>
      <c r="CD109" s="3262" t="s">
        <v>3262</v>
      </c>
      <c r="CE109" s="3262" t="s">
        <v>3262</v>
      </c>
      <c r="CF109" s="3262" t="s">
        <v>3262</v>
      </c>
      <c r="CG109" s="3262" t="s">
        <v>3262</v>
      </c>
      <c r="CH109" s="3262" t="s">
        <v>3262</v>
      </c>
      <c r="CI109" s="3262" t="s">
        <v>3262</v>
      </c>
      <c r="CJ109" s="3262" t="s">
        <v>3262</v>
      </c>
      <c r="CK109" s="3262" t="s">
        <v>3262</v>
      </c>
      <c r="CL109" s="3262" t="s">
        <v>3262</v>
      </c>
      <c r="CM109" s="3262" t="s">
        <v>3262</v>
      </c>
      <c r="CN109" s="3262" t="s">
        <v>3262</v>
      </c>
      <c r="CO109" s="3262" t="s">
        <v>3262</v>
      </c>
      <c r="CP109" s="3262" t="s">
        <v>3262</v>
      </c>
      <c r="CQ109" s="3262" t="s">
        <v>3262</v>
      </c>
      <c r="CR109" s="3262" t="s">
        <v>3262</v>
      </c>
      <c r="CS109" s="3262" t="s">
        <v>3262</v>
      </c>
      <c r="CT109" s="3262" t="s">
        <v>3262</v>
      </c>
      <c r="CU109" s="3262" t="s">
        <v>3262</v>
      </c>
      <c r="CV109" s="3262" t="s">
        <v>3262</v>
      </c>
      <c r="CW109" s="3262" t="s">
        <v>3262</v>
      </c>
      <c r="CX109" s="3262" t="s">
        <v>3262</v>
      </c>
      <c r="CY109" s="3262" t="s">
        <v>3262</v>
      </c>
      <c r="CZ109" s="3262" t="s">
        <v>3262</v>
      </c>
      <c r="DA109" s="3262" t="s">
        <v>3262</v>
      </c>
      <c r="DB109" s="3262" t="s">
        <v>3262</v>
      </c>
      <c r="DC109" s="3262" t="s">
        <v>3262</v>
      </c>
      <c r="DD109" s="3262" t="s">
        <v>3262</v>
      </c>
      <c r="DE109" s="3262" t="s">
        <v>3262</v>
      </c>
      <c r="DF109" s="3262" t="s">
        <v>3262</v>
      </c>
      <c r="DG109" s="3262" t="s">
        <v>3262</v>
      </c>
      <c r="DH109" s="3262" t="s">
        <v>3262</v>
      </c>
      <c r="DI109" s="3262" t="s">
        <v>3262</v>
      </c>
      <c r="DJ109" s="3262" t="s">
        <v>3262</v>
      </c>
      <c r="DK109" s="3262" t="s">
        <v>3262</v>
      </c>
      <c r="DL109" s="3262" t="s">
        <v>3262</v>
      </c>
      <c r="DM109" s="3262" t="s">
        <v>3262</v>
      </c>
      <c r="DN109" s="3262" t="s">
        <v>3262</v>
      </c>
      <c r="DO109" s="3262" t="s">
        <v>3262</v>
      </c>
      <c r="DP109" s="3262" t="s">
        <v>3262</v>
      </c>
      <c r="DQ109" s="3262" t="s">
        <v>3262</v>
      </c>
      <c r="DR109" s="3262" t="s">
        <v>3262</v>
      </c>
      <c r="DS109" s="3262" t="s">
        <v>3262</v>
      </c>
      <c r="DT109" s="3262" t="s">
        <v>3262</v>
      </c>
      <c r="DU109" s="3262" t="s">
        <v>3262</v>
      </c>
      <c r="DV109" s="3262" t="s">
        <v>3262</v>
      </c>
      <c r="DW109" s="3262" t="s">
        <v>3262</v>
      </c>
      <c r="DX109" s="3262" t="s">
        <v>3262</v>
      </c>
      <c r="DY109" s="3262" t="s">
        <v>3262</v>
      </c>
      <c r="DZ109" s="3262" t="s">
        <v>3262</v>
      </c>
      <c r="EA109" s="3262" t="s">
        <v>3262</v>
      </c>
      <c r="EB109" s="3262" t="s">
        <v>3262</v>
      </c>
      <c r="EC109" s="3262" t="s">
        <v>3262</v>
      </c>
      <c r="ED109" s="3262" t="s">
        <v>3262</v>
      </c>
      <c r="EE109" s="3262" t="s">
        <v>3262</v>
      </c>
      <c r="EF109" s="3262" t="s">
        <v>3262</v>
      </c>
      <c r="EG109" s="3262" t="s">
        <v>3262</v>
      </c>
      <c r="EH109" s="3262" t="s">
        <v>3262</v>
      </c>
      <c r="EI109" s="3262" t="s">
        <v>3262</v>
      </c>
      <c r="EJ109" s="3262" t="s">
        <v>3262</v>
      </c>
      <c r="EK109" s="3262" t="s">
        <v>3262</v>
      </c>
      <c r="EL109" s="3262" t="s">
        <v>3262</v>
      </c>
      <c r="EM109" s="3262" t="s">
        <v>3262</v>
      </c>
      <c r="EN109" s="3262" t="s">
        <v>3262</v>
      </c>
      <c r="EO109" s="3262" t="s">
        <v>3262</v>
      </c>
      <c r="EP109" s="3262" t="s">
        <v>3262</v>
      </c>
      <c r="EQ109" s="3262" t="s">
        <v>3262</v>
      </c>
      <c r="ER109" s="3262" t="s">
        <v>3262</v>
      </c>
      <c r="ES109" s="3262" t="s">
        <v>3262</v>
      </c>
      <c r="ET109" s="3262" t="s">
        <v>3262</v>
      </c>
      <c r="EU109" s="3262" t="s">
        <v>3262</v>
      </c>
      <c r="EV109" s="3262" t="s">
        <v>3262</v>
      </c>
      <c r="EW109" s="3262" t="s">
        <v>3262</v>
      </c>
      <c r="EX109" s="3262" t="s">
        <v>3262</v>
      </c>
      <c r="EY109" s="3262" t="s">
        <v>3262</v>
      </c>
      <c r="EZ109" s="3262" t="s">
        <v>3262</v>
      </c>
      <c r="FA109" s="3262" t="s">
        <v>3262</v>
      </c>
      <c r="FB109" s="3262" t="s">
        <v>3262</v>
      </c>
      <c r="FC109" s="3262" t="s">
        <v>3262</v>
      </c>
      <c r="FD109" s="3262" t="s">
        <v>3262</v>
      </c>
      <c r="FE109" s="3262" t="s">
        <v>3262</v>
      </c>
      <c r="FF109" s="3262" t="s">
        <v>3262</v>
      </c>
      <c r="FG109" s="3262" t="s">
        <v>3262</v>
      </c>
      <c r="FH109" s="3262" t="s">
        <v>3262</v>
      </c>
      <c r="FI109" s="3262" t="s">
        <v>3262</v>
      </c>
      <c r="FJ109" s="3262" t="s">
        <v>3262</v>
      </c>
      <c r="FK109" s="3262" t="s">
        <v>3262</v>
      </c>
      <c r="FL109" s="3262" t="s">
        <v>3262</v>
      </c>
      <c r="FM109" s="3262" t="s">
        <v>3262</v>
      </c>
      <c r="FN109" s="3262" t="s">
        <v>3262</v>
      </c>
      <c r="FO109" s="3262" t="s">
        <v>3262</v>
      </c>
      <c r="FP109" s="3262" t="s">
        <v>3262</v>
      </c>
      <c r="FQ109" s="3262" t="s">
        <v>3262</v>
      </c>
      <c r="FR109" s="3262" t="s">
        <v>3262</v>
      </c>
      <c r="FS109" s="3262" t="s">
        <v>3262</v>
      </c>
      <c r="FT109" s="3262" t="s">
        <v>3262</v>
      </c>
      <c r="FU109" s="3262" t="s">
        <v>3262</v>
      </c>
      <c r="FV109" s="3262" t="s">
        <v>3262</v>
      </c>
      <c r="FW109" s="3262" t="s">
        <v>3262</v>
      </c>
      <c r="FX109" s="3262" t="s">
        <v>3262</v>
      </c>
      <c r="FY109" s="3262" t="s">
        <v>3262</v>
      </c>
      <c r="FZ109" s="3262" t="s">
        <v>3262</v>
      </c>
      <c r="GA109" s="3262" t="s">
        <v>3262</v>
      </c>
      <c r="GB109" s="3262" t="s">
        <v>3262</v>
      </c>
      <c r="GC109" s="3262" t="s">
        <v>3262</v>
      </c>
      <c r="GD109" s="3262" t="s">
        <v>3262</v>
      </c>
      <c r="GE109" s="3262" t="s">
        <v>3262</v>
      </c>
      <c r="GF109" s="3262" t="s">
        <v>3262</v>
      </c>
      <c r="GG109" s="3262" t="s">
        <v>3262</v>
      </c>
      <c r="GH109" s="3262" t="s">
        <v>3262</v>
      </c>
      <c r="GI109" s="3262" t="s">
        <v>3262</v>
      </c>
      <c r="GJ109" s="3262" t="s">
        <v>3262</v>
      </c>
      <c r="GK109" s="3262" t="s">
        <v>3262</v>
      </c>
      <c r="GL109" s="3262" t="s">
        <v>3262</v>
      </c>
      <c r="GM109" s="3262" t="s">
        <v>3262</v>
      </c>
      <c r="GN109" s="3262" t="s">
        <v>3262</v>
      </c>
      <c r="GO109" s="3262" t="s">
        <v>3262</v>
      </c>
      <c r="GP109" s="3262" t="s">
        <v>3262</v>
      </c>
      <c r="GQ109" s="3262" t="s">
        <v>3262</v>
      </c>
      <c r="GR109" s="3262" t="s">
        <v>3262</v>
      </c>
      <c r="GS109" s="3262" t="s">
        <v>3262</v>
      </c>
      <c r="GT109" s="3262" t="s">
        <v>3262</v>
      </c>
      <c r="GU109" s="3262" t="s">
        <v>3262</v>
      </c>
      <c r="GV109" s="3262" t="s">
        <v>3262</v>
      </c>
      <c r="GW109" s="3262" t="s">
        <v>3262</v>
      </c>
      <c r="GX109" s="3262" t="s">
        <v>3262</v>
      </c>
      <c r="GY109" s="3262" t="s">
        <v>3262</v>
      </c>
      <c r="GZ109" s="3262" t="s">
        <v>3262</v>
      </c>
      <c r="HA109" s="3262" t="s">
        <v>3262</v>
      </c>
      <c r="HB109" s="3262" t="s">
        <v>3262</v>
      </c>
      <c r="HC109" s="3262" t="s">
        <v>3262</v>
      </c>
      <c r="HD109" s="3262" t="s">
        <v>3262</v>
      </c>
      <c r="HE109" s="3262" t="s">
        <v>3262</v>
      </c>
      <c r="HF109" s="3262" t="s">
        <v>3262</v>
      </c>
      <c r="HG109" s="3262" t="s">
        <v>3262</v>
      </c>
      <c r="HH109" s="3262" t="s">
        <v>3262</v>
      </c>
      <c r="HI109" s="3262" t="s">
        <v>3262</v>
      </c>
      <c r="HJ109" s="3262" t="s">
        <v>3262</v>
      </c>
      <c r="HK109" s="3262" t="s">
        <v>3262</v>
      </c>
      <c r="HL109" s="3262" t="s">
        <v>3262</v>
      </c>
      <c r="HM109" s="3262" t="s">
        <v>3262</v>
      </c>
      <c r="HN109" s="3262" t="s">
        <v>3262</v>
      </c>
      <c r="HO109" s="3262" t="s">
        <v>3262</v>
      </c>
      <c r="HP109" s="3262" t="s">
        <v>3262</v>
      </c>
      <c r="HQ109" s="3262" t="s">
        <v>3262</v>
      </c>
      <c r="HR109" s="3262" t="s">
        <v>3262</v>
      </c>
      <c r="HS109" s="3262" t="s">
        <v>3262</v>
      </c>
      <c r="HT109" s="3262" t="s">
        <v>3262</v>
      </c>
      <c r="HU109" s="3262" t="s">
        <v>3262</v>
      </c>
      <c r="HV109" s="3262" t="s">
        <v>3262</v>
      </c>
      <c r="HW109" s="3262" t="s">
        <v>3262</v>
      </c>
      <c r="HX109" s="3262" t="s">
        <v>3262</v>
      </c>
      <c r="HY109" s="3262" t="s">
        <v>3262</v>
      </c>
      <c r="HZ109" s="3262" t="s">
        <v>3262</v>
      </c>
      <c r="IA109" s="3262" t="s">
        <v>3262</v>
      </c>
      <c r="IB109" s="3262" t="s">
        <v>3262</v>
      </c>
      <c r="IC109" s="3262" t="s">
        <v>3262</v>
      </c>
      <c r="ID109" s="3262" t="s">
        <v>3262</v>
      </c>
      <c r="IE109" s="3262" t="s">
        <v>3262</v>
      </c>
      <c r="IF109" s="3262" t="s">
        <v>3262</v>
      </c>
      <c r="IG109" s="3262" t="s">
        <v>3262</v>
      </c>
      <c r="IH109" s="3262" t="s">
        <v>3262</v>
      </c>
      <c r="II109" s="3262" t="s">
        <v>3262</v>
      </c>
    </row>
    <row r="110" spans="1:249" hidden="1">
      <c r="A110" s="3267" t="s">
        <v>4011</v>
      </c>
      <c r="B110" s="3267" t="s">
        <v>4012</v>
      </c>
      <c r="C110" s="3269" t="s">
        <v>4013</v>
      </c>
      <c r="D110" s="3269" t="s">
        <v>4014</v>
      </c>
      <c r="E110" s="3267" t="s">
        <v>2985</v>
      </c>
      <c r="F110" s="3308" t="s">
        <v>3279</v>
      </c>
      <c r="G110" s="3267"/>
      <c r="H110" s="3267" t="s">
        <v>4015</v>
      </c>
      <c r="I110" s="3268"/>
      <c r="J110" s="3267" t="s">
        <v>4016</v>
      </c>
      <c r="K110" s="3267" t="s">
        <v>4017</v>
      </c>
      <c r="L110" s="3270">
        <v>86.23</v>
      </c>
      <c r="M110" s="3267">
        <v>2</v>
      </c>
      <c r="N110" s="3267" t="s">
        <v>3125</v>
      </c>
      <c r="O110" s="3267"/>
      <c r="P110" s="3267" t="s">
        <v>2963</v>
      </c>
      <c r="Q110" s="3287">
        <v>550000</v>
      </c>
      <c r="R110" s="3271">
        <v>6378</v>
      </c>
      <c r="S110" s="3272">
        <v>47.42</v>
      </c>
      <c r="T110" s="3273">
        <v>474200</v>
      </c>
      <c r="U110" s="3267">
        <v>5500</v>
      </c>
      <c r="V110" s="3289">
        <v>0.2</v>
      </c>
      <c r="W110" s="3272">
        <v>37.93</v>
      </c>
      <c r="X110" s="3273">
        <v>379300</v>
      </c>
      <c r="Y110" s="3276">
        <v>2006</v>
      </c>
      <c r="Z110" s="3267">
        <v>3</v>
      </c>
      <c r="AA110" s="3276">
        <v>22</v>
      </c>
      <c r="AB110" s="3267">
        <v>1420</v>
      </c>
      <c r="AC110" s="3267" t="s">
        <v>4018</v>
      </c>
      <c r="AD110" s="3267"/>
      <c r="AE110" s="3267" t="s">
        <v>3176</v>
      </c>
      <c r="AF110" s="3267" t="s">
        <v>2966</v>
      </c>
      <c r="AG110" s="3279" t="s">
        <v>2967</v>
      </c>
      <c r="AH110" s="3267"/>
      <c r="AI110" s="3267" t="s">
        <v>3115</v>
      </c>
      <c r="AJ110" s="3284"/>
      <c r="AK110" s="3267" t="s">
        <v>3114</v>
      </c>
      <c r="AL110" s="3276">
        <v>82253558</v>
      </c>
      <c r="AM110" s="3276"/>
      <c r="AN110" s="3267" t="s">
        <v>2994</v>
      </c>
      <c r="AO110" s="3276" t="s">
        <v>2968</v>
      </c>
      <c r="AP110" s="3267" t="s">
        <v>3180</v>
      </c>
      <c r="AQ110" s="3267" t="s">
        <v>3113</v>
      </c>
      <c r="AR110" s="3276"/>
      <c r="AS110" s="3276"/>
      <c r="AT110" s="3276"/>
      <c r="AU110" s="3276"/>
      <c r="AV110" s="3276"/>
      <c r="AW110" s="3276" t="s">
        <v>3112</v>
      </c>
      <c r="AX110" s="3276"/>
      <c r="AY110" s="3291"/>
      <c r="AZ110" s="3276" t="s">
        <v>4017</v>
      </c>
      <c r="BA110" s="3276"/>
      <c r="BB110" s="3291"/>
      <c r="BC110" s="3276"/>
      <c r="BD110" s="3292"/>
      <c r="BE110" s="3276"/>
      <c r="BF110" s="3281"/>
      <c r="BG110" s="3290">
        <v>38791</v>
      </c>
      <c r="BH110" s="3276"/>
      <c r="BI110" s="3267" t="s">
        <v>3239</v>
      </c>
      <c r="BJ110" s="3284" t="s">
        <v>2968</v>
      </c>
      <c r="BK110" s="3283"/>
      <c r="BL110" s="3267" t="s">
        <v>2998</v>
      </c>
      <c r="BM110" s="3276" t="s">
        <v>2879</v>
      </c>
      <c r="BN110" s="3276" t="s">
        <v>3111</v>
      </c>
      <c r="BO110" s="3267" t="s">
        <v>3000</v>
      </c>
      <c r="BP110" s="3276"/>
      <c r="BQ110" s="3276" t="e">
        <v>#DIV/0!</v>
      </c>
      <c r="BR110" s="3276" t="e">
        <v>#DIV/0!</v>
      </c>
      <c r="BS110" s="3285"/>
      <c r="BT110" s="3285"/>
      <c r="BU110" s="3285"/>
      <c r="BV110" s="3347"/>
      <c r="BW110" s="3347"/>
      <c r="BX110" s="3347"/>
      <c r="BY110" s="3347"/>
      <c r="BZ110" s="3347"/>
      <c r="CA110" s="3347"/>
      <c r="CB110" s="3347"/>
      <c r="CC110" s="3347"/>
      <c r="CD110" s="3347"/>
      <c r="CE110" s="3347"/>
      <c r="CF110" s="3347"/>
      <c r="CG110" s="3347"/>
      <c r="CH110" s="3347"/>
      <c r="CI110" s="3347"/>
      <c r="CJ110" s="3347"/>
      <c r="CK110" s="3347"/>
      <c r="CL110" s="3347"/>
      <c r="CM110" s="3347"/>
      <c r="CN110" s="3347"/>
      <c r="CO110" s="3347"/>
      <c r="CP110" s="3347"/>
      <c r="CQ110" s="3347"/>
      <c r="CR110" s="3347"/>
      <c r="CS110" s="3347"/>
      <c r="CT110" s="3347"/>
      <c r="CU110" s="3347"/>
      <c r="CV110" s="3347"/>
      <c r="CW110" s="3347"/>
      <c r="CX110" s="3347"/>
      <c r="CY110" s="3347"/>
      <c r="CZ110" s="3347"/>
      <c r="DA110" s="3347"/>
      <c r="DB110" s="3347"/>
      <c r="DC110" s="3347"/>
      <c r="DD110" s="3347"/>
      <c r="DE110" s="3347"/>
      <c r="DF110" s="3347"/>
      <c r="DG110" s="3347"/>
      <c r="DH110" s="3347"/>
      <c r="DI110" s="3347"/>
      <c r="DJ110" s="3347"/>
      <c r="DK110" s="3347"/>
      <c r="DL110" s="3347"/>
      <c r="DM110" s="3347"/>
      <c r="DN110" s="3347"/>
      <c r="DO110" s="3347"/>
      <c r="DP110" s="3347"/>
      <c r="DQ110" s="3347"/>
      <c r="DR110" s="3347"/>
      <c r="DS110" s="3347"/>
      <c r="DT110" s="3347"/>
      <c r="DU110" s="3347"/>
      <c r="DV110" s="3347"/>
      <c r="DW110" s="3347"/>
      <c r="DX110" s="3347"/>
      <c r="DY110" s="3347"/>
      <c r="DZ110" s="3347"/>
      <c r="EA110" s="3347"/>
      <c r="EB110" s="3347"/>
      <c r="EC110" s="3347"/>
      <c r="ED110" s="3347"/>
      <c r="EE110" s="3347"/>
      <c r="EF110" s="3347"/>
      <c r="EG110" s="3347"/>
      <c r="EH110" s="3347"/>
      <c r="EI110" s="3347"/>
      <c r="EJ110" s="3347"/>
      <c r="EK110" s="3347"/>
      <c r="EL110" s="3347"/>
      <c r="EM110" s="3347"/>
      <c r="EN110" s="3347"/>
      <c r="EO110" s="3347"/>
      <c r="EP110" s="3347"/>
      <c r="EQ110" s="3347"/>
      <c r="ER110" s="3347"/>
      <c r="ES110" s="3347"/>
      <c r="ET110" s="3347"/>
      <c r="EU110" s="3347"/>
      <c r="EV110" s="3347"/>
      <c r="EW110" s="3347"/>
      <c r="EX110" s="3347"/>
      <c r="EY110" s="3347"/>
      <c r="EZ110" s="3347"/>
      <c r="FA110" s="3347"/>
      <c r="FB110" s="3347"/>
      <c r="FC110" s="3347"/>
      <c r="FD110" s="3347"/>
      <c r="FE110" s="3347"/>
      <c r="FF110" s="3347"/>
      <c r="FG110" s="3347"/>
      <c r="FH110" s="3347"/>
      <c r="FI110" s="3347"/>
      <c r="FJ110" s="3347"/>
      <c r="FK110" s="3347"/>
      <c r="FL110" s="3347"/>
      <c r="FM110" s="3347"/>
      <c r="FN110" s="3347"/>
      <c r="FO110" s="3347"/>
      <c r="FP110" s="3347"/>
      <c r="FQ110" s="3347"/>
      <c r="FR110" s="3347"/>
      <c r="FS110" s="3347"/>
      <c r="FT110" s="3347"/>
      <c r="FU110" s="3347"/>
      <c r="FV110" s="3347"/>
      <c r="FW110" s="3347"/>
      <c r="FX110" s="3347"/>
      <c r="FY110" s="3347"/>
      <c r="FZ110" s="3347"/>
      <c r="GA110" s="3347"/>
      <c r="GB110" s="3347"/>
      <c r="GC110" s="3347"/>
      <c r="GD110" s="3347"/>
      <c r="GE110" s="3347"/>
      <c r="GF110" s="3347"/>
      <c r="GG110" s="3347"/>
      <c r="GH110" s="3347"/>
      <c r="GI110" s="3347"/>
      <c r="GJ110" s="3347"/>
      <c r="GK110" s="3347"/>
      <c r="GL110" s="3347"/>
      <c r="GM110" s="3347"/>
      <c r="GN110" s="3347"/>
      <c r="GO110" s="3347"/>
      <c r="GP110" s="3347"/>
      <c r="GQ110" s="3347"/>
      <c r="GR110" s="3347"/>
      <c r="GS110" s="3347"/>
      <c r="GT110" s="3347"/>
      <c r="GU110" s="3347"/>
      <c r="GV110" s="3347"/>
      <c r="GW110" s="3347"/>
      <c r="GX110" s="3347"/>
      <c r="GY110" s="3347"/>
      <c r="GZ110" s="3347"/>
      <c r="HA110" s="3347"/>
      <c r="HB110" s="3347"/>
      <c r="HC110" s="3347"/>
      <c r="HD110" s="3347"/>
      <c r="HE110" s="3347"/>
      <c r="HF110" s="3347"/>
      <c r="HG110" s="3347"/>
      <c r="HH110" s="3347"/>
      <c r="HI110" s="3347"/>
      <c r="HJ110" s="3347"/>
      <c r="HK110" s="3347"/>
      <c r="HL110" s="3347"/>
      <c r="HM110" s="3347"/>
      <c r="HN110" s="3347"/>
      <c r="HO110" s="3347"/>
      <c r="HP110" s="3347"/>
      <c r="HQ110" s="3347"/>
      <c r="HR110" s="3347"/>
      <c r="HS110" s="3347"/>
      <c r="HT110" s="3347"/>
      <c r="HU110" s="3347"/>
      <c r="HV110" s="3347"/>
      <c r="HW110" s="3347"/>
      <c r="HX110" s="3347"/>
      <c r="HY110" s="3347"/>
      <c r="HZ110" s="3347"/>
      <c r="IA110" s="3347"/>
      <c r="IB110" s="3347"/>
      <c r="IC110" s="3347"/>
      <c r="ID110" s="3347"/>
      <c r="IE110" s="3347"/>
      <c r="IF110" s="3347"/>
      <c r="IG110" s="3347"/>
      <c r="IH110" s="3347"/>
      <c r="II110" s="3347"/>
      <c r="IJ110" s="3347"/>
      <c r="IK110" s="3347"/>
      <c r="IL110" s="3347"/>
      <c r="IM110" s="3347"/>
      <c r="IN110" s="3347"/>
      <c r="IO110" s="3347"/>
    </row>
    <row r="111" spans="1:249" hidden="1">
      <c r="A111" s="3267" t="s">
        <v>4019</v>
      </c>
      <c r="B111" s="3268" t="s">
        <v>4020</v>
      </c>
      <c r="C111" s="3269" t="s">
        <v>4021</v>
      </c>
      <c r="D111" s="3268">
        <v>64723304</v>
      </c>
      <c r="E111" s="3268" t="s">
        <v>2985</v>
      </c>
      <c r="F111" s="3268" t="s">
        <v>3309</v>
      </c>
      <c r="G111" s="3268"/>
      <c r="H111" s="3268" t="s">
        <v>3280</v>
      </c>
      <c r="I111" s="3268"/>
      <c r="J111" s="3268">
        <v>2309</v>
      </c>
      <c r="K111" s="3268" t="s">
        <v>3069</v>
      </c>
      <c r="L111" s="3270">
        <v>100.23</v>
      </c>
      <c r="M111" s="3270">
        <v>23</v>
      </c>
      <c r="N111" s="3268" t="s">
        <v>3122</v>
      </c>
      <c r="O111" s="3270">
        <v>81.59</v>
      </c>
      <c r="P111" s="3268" t="s">
        <v>2963</v>
      </c>
      <c r="Q111" s="3271">
        <v>630000</v>
      </c>
      <c r="R111" s="3267">
        <v>6286</v>
      </c>
      <c r="S111" s="3272">
        <v>57.88</v>
      </c>
      <c r="T111" s="3273">
        <v>578800</v>
      </c>
      <c r="U111" s="3267">
        <v>5775</v>
      </c>
      <c r="V111" s="3274">
        <v>0.05</v>
      </c>
      <c r="W111" s="3272">
        <v>54.98</v>
      </c>
      <c r="X111" s="3275">
        <v>549800</v>
      </c>
      <c r="Y111" s="3276">
        <v>2006</v>
      </c>
      <c r="Z111" s="3276">
        <v>4</v>
      </c>
      <c r="AA111" s="3276">
        <v>10</v>
      </c>
      <c r="AB111" s="3267">
        <v>1500</v>
      </c>
      <c r="AC111" s="3267" t="s">
        <v>3227</v>
      </c>
      <c r="AD111" s="3268"/>
      <c r="AE111" s="3267" t="s">
        <v>3344</v>
      </c>
      <c r="AF111" s="3268" t="s">
        <v>2966</v>
      </c>
      <c r="AG111" s="3268" t="s">
        <v>2967</v>
      </c>
      <c r="AH111" s="3268"/>
      <c r="AI111" s="3279" t="s">
        <v>3176</v>
      </c>
      <c r="AJ111" s="3290"/>
      <c r="AK111" s="3278" t="s">
        <v>2994</v>
      </c>
      <c r="AL111" s="3267">
        <v>82253558</v>
      </c>
      <c r="AM111" s="3276"/>
      <c r="AN111" s="3276" t="s">
        <v>2994</v>
      </c>
      <c r="AO111" s="3276"/>
      <c r="AP111" s="3267" t="s">
        <v>3180</v>
      </c>
      <c r="AQ111" s="3276" t="s">
        <v>3113</v>
      </c>
      <c r="AR111" s="3267"/>
      <c r="AS111" s="3267"/>
      <c r="AT111" s="3267"/>
      <c r="AU111" s="3267"/>
      <c r="AV111" s="3277"/>
      <c r="AW111" s="3306" t="s">
        <v>2997</v>
      </c>
      <c r="AX111" s="3268"/>
      <c r="AY111" s="3268"/>
      <c r="AZ111" s="3268" t="s">
        <v>3069</v>
      </c>
      <c r="BA111" s="3268"/>
      <c r="BB111" s="3280"/>
      <c r="BC111" s="3268"/>
      <c r="BD111" s="3268"/>
      <c r="BE111" s="3268">
        <v>13331112370</v>
      </c>
      <c r="BF111" s="3281"/>
      <c r="BG111" s="3307">
        <v>38791</v>
      </c>
      <c r="BH111" s="3268"/>
      <c r="BI111" s="3314" t="s">
        <v>3344</v>
      </c>
      <c r="BJ111" s="3299">
        <v>38791</v>
      </c>
      <c r="BK111" s="3284"/>
      <c r="BL111" s="3267" t="s">
        <v>2998</v>
      </c>
      <c r="BM111" s="3267" t="s">
        <v>2879</v>
      </c>
      <c r="BN111" s="3276" t="s">
        <v>2999</v>
      </c>
      <c r="BO111" s="3267" t="s">
        <v>3146</v>
      </c>
      <c r="BP111" s="3276"/>
      <c r="BQ111" s="3276">
        <v>7094</v>
      </c>
      <c r="BR111" s="3276">
        <v>7722</v>
      </c>
      <c r="BS111" s="3285"/>
      <c r="BT111" s="3285"/>
      <c r="BU111" s="3285"/>
    </row>
    <row r="112" spans="1:249" hidden="1">
      <c r="A112" s="3267" t="s">
        <v>4022</v>
      </c>
      <c r="B112" s="3267" t="s">
        <v>4023</v>
      </c>
      <c r="C112" s="3269" t="s">
        <v>4024</v>
      </c>
      <c r="D112" s="3269" t="s">
        <v>4025</v>
      </c>
      <c r="E112" s="3267" t="s">
        <v>2985</v>
      </c>
      <c r="F112" s="3244" t="s">
        <v>3484</v>
      </c>
      <c r="G112" s="3267" t="s">
        <v>3262</v>
      </c>
      <c r="H112" s="3267" t="s">
        <v>3379</v>
      </c>
      <c r="I112" s="3267" t="s">
        <v>3586</v>
      </c>
      <c r="J112" s="3269" t="s">
        <v>4026</v>
      </c>
      <c r="K112" s="3267" t="s">
        <v>4027</v>
      </c>
      <c r="L112" s="3267" t="s">
        <v>4028</v>
      </c>
      <c r="M112" s="3267" t="s">
        <v>4029</v>
      </c>
      <c r="N112" s="3267" t="s">
        <v>3122</v>
      </c>
      <c r="O112" s="3267" t="s">
        <v>3262</v>
      </c>
      <c r="P112" s="3267" t="s">
        <v>2963</v>
      </c>
      <c r="Q112" s="3271" t="s">
        <v>4030</v>
      </c>
      <c r="R112" s="3267">
        <v>7334</v>
      </c>
      <c r="S112" s="3272">
        <v>43.17</v>
      </c>
      <c r="T112" s="3273">
        <v>431700</v>
      </c>
      <c r="U112" s="3267" t="s">
        <v>4031</v>
      </c>
      <c r="V112" s="3289" t="s">
        <v>4006</v>
      </c>
      <c r="W112" s="3272">
        <v>41.01</v>
      </c>
      <c r="X112" s="3275">
        <v>410100</v>
      </c>
      <c r="Y112" s="3276" t="s">
        <v>4007</v>
      </c>
      <c r="Z112" s="3276">
        <v>4</v>
      </c>
      <c r="AA112" s="3276">
        <v>7</v>
      </c>
      <c r="AB112" s="3267">
        <v>1295</v>
      </c>
      <c r="AC112" s="3267" t="s">
        <v>3227</v>
      </c>
      <c r="AD112" s="3267" t="s">
        <v>3262</v>
      </c>
      <c r="AE112" s="3276" t="s">
        <v>3176</v>
      </c>
      <c r="AF112" s="3267" t="s">
        <v>2966</v>
      </c>
      <c r="AG112" s="3279" t="s">
        <v>2967</v>
      </c>
      <c r="AH112" s="3267" t="s">
        <v>3262</v>
      </c>
      <c r="AI112" s="3267" t="s">
        <v>3115</v>
      </c>
      <c r="AJ112" s="3284" t="s">
        <v>3262</v>
      </c>
      <c r="AK112" s="3316" t="s">
        <v>3114</v>
      </c>
      <c r="AL112" s="3276" t="s">
        <v>3706</v>
      </c>
      <c r="AM112" s="3276" t="s">
        <v>2968</v>
      </c>
      <c r="AN112" s="3276" t="s">
        <v>3099</v>
      </c>
      <c r="AO112" s="3276" t="s">
        <v>3262</v>
      </c>
      <c r="AP112" s="3276" t="s">
        <v>3180</v>
      </c>
      <c r="AQ112" s="3276" t="s">
        <v>4032</v>
      </c>
      <c r="AR112" s="3276" t="s">
        <v>3262</v>
      </c>
      <c r="AS112" s="3276" t="s">
        <v>3262</v>
      </c>
      <c r="AT112" s="3276" t="s">
        <v>3262</v>
      </c>
      <c r="AU112" s="3276" t="s">
        <v>3262</v>
      </c>
      <c r="AV112" s="3276" t="s">
        <v>3262</v>
      </c>
      <c r="AW112" s="3276" t="s">
        <v>3112</v>
      </c>
      <c r="AX112" s="3276" t="s">
        <v>3262</v>
      </c>
      <c r="AY112" s="3291" t="s">
        <v>3262</v>
      </c>
      <c r="AZ112" s="3276" t="s">
        <v>4027</v>
      </c>
      <c r="BA112" s="3276" t="s">
        <v>3262</v>
      </c>
      <c r="BB112" s="3291" t="s">
        <v>3262</v>
      </c>
      <c r="BC112" s="3276" t="s">
        <v>3262</v>
      </c>
      <c r="BD112" s="3292" t="s">
        <v>3262</v>
      </c>
      <c r="BE112" s="3276" t="s">
        <v>3262</v>
      </c>
      <c r="BF112" s="3281" t="s">
        <v>3262</v>
      </c>
      <c r="BG112" s="3299">
        <v>38793</v>
      </c>
      <c r="BH112" s="3276" t="s">
        <v>3262</v>
      </c>
      <c r="BI112" s="3276" t="s">
        <v>3267</v>
      </c>
      <c r="BJ112" s="3283">
        <v>38793</v>
      </c>
      <c r="BK112" s="3283" t="s">
        <v>3262</v>
      </c>
      <c r="BL112" s="3267" t="s">
        <v>2998</v>
      </c>
      <c r="BM112" s="3276" t="s">
        <v>3345</v>
      </c>
      <c r="BN112" s="3276" t="s">
        <v>2999</v>
      </c>
      <c r="BO112" s="3276" t="s">
        <v>3146</v>
      </c>
      <c r="BP112" s="3276" t="s">
        <v>3262</v>
      </c>
      <c r="BQ112" s="3276" t="s">
        <v>3262</v>
      </c>
      <c r="BR112" s="3276" t="s">
        <v>3262</v>
      </c>
      <c r="BS112" s="3285"/>
      <c r="BT112" s="3285"/>
      <c r="BU112" s="3285"/>
    </row>
    <row r="113" spans="1:243" hidden="1">
      <c r="A113" s="3267" t="s">
        <v>4033</v>
      </c>
      <c r="B113" s="3268" t="s">
        <v>4034</v>
      </c>
      <c r="C113" s="3269" t="s">
        <v>4035</v>
      </c>
      <c r="D113" s="3268" t="s">
        <v>4036</v>
      </c>
      <c r="E113" s="3267" t="s">
        <v>2985</v>
      </c>
      <c r="F113" s="3268" t="s">
        <v>4037</v>
      </c>
      <c r="G113" s="3268"/>
      <c r="H113" s="3268" t="s">
        <v>3139</v>
      </c>
      <c r="I113" s="3268" t="s">
        <v>4038</v>
      </c>
      <c r="J113" s="3268">
        <v>9111</v>
      </c>
      <c r="K113" s="3268" t="s">
        <v>4039</v>
      </c>
      <c r="L113" s="3270">
        <v>71.819999999999993</v>
      </c>
      <c r="M113" s="3270">
        <v>11</v>
      </c>
      <c r="N113" s="3268" t="s">
        <v>3098</v>
      </c>
      <c r="O113" s="3270"/>
      <c r="P113" s="3268" t="s">
        <v>2963</v>
      </c>
      <c r="Q113" s="3271">
        <v>480000</v>
      </c>
      <c r="R113" s="3267">
        <v>6683</v>
      </c>
      <c r="S113" s="3272">
        <v>38.06</v>
      </c>
      <c r="T113" s="3273">
        <v>380600</v>
      </c>
      <c r="U113" s="3267">
        <v>5300</v>
      </c>
      <c r="V113" s="3274">
        <v>0.05</v>
      </c>
      <c r="W113" s="3272">
        <v>36.15</v>
      </c>
      <c r="X113" s="3275">
        <v>361500</v>
      </c>
      <c r="Y113" s="3276">
        <v>2006</v>
      </c>
      <c r="Z113" s="3276">
        <v>3</v>
      </c>
      <c r="AA113" s="3276">
        <v>30</v>
      </c>
      <c r="AB113" s="3267">
        <v>1140</v>
      </c>
      <c r="AC113" s="3267" t="s">
        <v>3227</v>
      </c>
      <c r="AD113" s="3268"/>
      <c r="AE113" s="3267" t="s">
        <v>3245</v>
      </c>
      <c r="AF113" s="3268" t="s">
        <v>2966</v>
      </c>
      <c r="AG113" s="3268" t="s">
        <v>2967</v>
      </c>
      <c r="AH113" s="3268"/>
      <c r="AI113" s="3279" t="s">
        <v>3176</v>
      </c>
      <c r="AJ113" s="3290"/>
      <c r="AK113" s="3278" t="s">
        <v>3114</v>
      </c>
      <c r="AL113" s="3267">
        <v>82253558</v>
      </c>
      <c r="AM113" s="3276"/>
      <c r="AN113" s="3294" t="s">
        <v>3099</v>
      </c>
      <c r="AO113" s="3276" t="s">
        <v>4040</v>
      </c>
      <c r="AP113" s="3267" t="s">
        <v>3180</v>
      </c>
      <c r="AQ113" s="3276" t="s">
        <v>3113</v>
      </c>
      <c r="AR113" s="3267"/>
      <c r="AS113" s="3267"/>
      <c r="AT113" s="3267"/>
      <c r="AU113" s="3267"/>
      <c r="AV113" s="3277"/>
      <c r="AW113" s="3319" t="s">
        <v>2997</v>
      </c>
      <c r="AX113" s="3268"/>
      <c r="AY113" s="3268"/>
      <c r="AZ113" s="3268" t="s">
        <v>4039</v>
      </c>
      <c r="BA113" s="3268"/>
      <c r="BB113" s="3280"/>
      <c r="BC113" s="3268"/>
      <c r="BD113" s="3268"/>
      <c r="BE113" s="3268">
        <v>13381186960</v>
      </c>
      <c r="BF113" s="3281"/>
      <c r="BG113" s="3307">
        <v>38799</v>
      </c>
      <c r="BH113" s="3268"/>
      <c r="BI113" s="3314" t="s">
        <v>3344</v>
      </c>
      <c r="BJ113" s="3299">
        <v>38803</v>
      </c>
      <c r="BK113" s="3284"/>
      <c r="BL113" s="3267" t="s">
        <v>2998</v>
      </c>
      <c r="BM113" s="3267" t="s">
        <v>2879</v>
      </c>
      <c r="BN113" s="3276" t="s">
        <v>2999</v>
      </c>
      <c r="BO113" s="3267" t="s">
        <v>3146</v>
      </c>
      <c r="BP113" s="3276"/>
      <c r="BQ113" s="3276" t="e">
        <v>#DIV/0!</v>
      </c>
      <c r="BR113" s="3276" t="e">
        <v>#DIV/0!</v>
      </c>
      <c r="BS113" s="3285"/>
      <c r="BT113" s="3285"/>
      <c r="BU113" s="3285"/>
      <c r="BV113" s="3262"/>
      <c r="BW113" s="3262"/>
      <c r="BX113" s="3262"/>
      <c r="BY113" s="3262"/>
      <c r="BZ113" s="3262"/>
      <c r="CA113" s="3262"/>
      <c r="CB113" s="3262"/>
      <c r="CC113" s="3262"/>
      <c r="CD113" s="3262"/>
      <c r="CE113" s="3262"/>
      <c r="CF113" s="3262"/>
      <c r="CG113" s="3262"/>
      <c r="CH113" s="3262"/>
      <c r="CI113" s="3262"/>
      <c r="CJ113" s="3262"/>
      <c r="CK113" s="3262"/>
      <c r="CL113" s="3262"/>
      <c r="CM113" s="3262"/>
      <c r="CN113" s="3262"/>
      <c r="CO113" s="3262"/>
      <c r="CP113" s="3262"/>
      <c r="CQ113" s="3262"/>
      <c r="CR113" s="3262"/>
      <c r="CS113" s="3262"/>
      <c r="CT113" s="3262"/>
      <c r="CU113" s="3262"/>
      <c r="CV113" s="3262"/>
      <c r="CW113" s="3262"/>
      <c r="CX113" s="3262"/>
      <c r="CY113" s="3262"/>
      <c r="CZ113" s="3262"/>
      <c r="DA113" s="3262"/>
      <c r="DB113" s="3262"/>
      <c r="DC113" s="3262"/>
      <c r="DD113" s="3262"/>
      <c r="DE113" s="3262"/>
      <c r="DF113" s="3262"/>
      <c r="DG113" s="3262"/>
      <c r="DH113" s="3262"/>
      <c r="DI113" s="3262"/>
      <c r="DJ113" s="3262"/>
      <c r="DK113" s="3262"/>
      <c r="DL113" s="3262"/>
      <c r="DM113" s="3262"/>
      <c r="DN113" s="3262"/>
      <c r="DO113" s="3262"/>
      <c r="DP113" s="3262"/>
      <c r="DQ113" s="3262"/>
      <c r="DR113" s="3262"/>
      <c r="DS113" s="3262"/>
      <c r="DT113" s="3262"/>
      <c r="DU113" s="3262"/>
      <c r="DV113" s="3262"/>
      <c r="DW113" s="3262"/>
      <c r="DX113" s="3262"/>
      <c r="DY113" s="3262"/>
      <c r="DZ113" s="3262"/>
      <c r="EA113" s="3262"/>
      <c r="EB113" s="3262"/>
      <c r="EC113" s="3262"/>
      <c r="ED113" s="3262"/>
      <c r="EE113" s="3262"/>
      <c r="EF113" s="3262"/>
      <c r="EG113" s="3262"/>
      <c r="EH113" s="3262"/>
      <c r="EI113" s="3262"/>
      <c r="EJ113" s="3262"/>
      <c r="EK113" s="3262"/>
      <c r="EL113" s="3262"/>
      <c r="EM113" s="3262"/>
      <c r="EN113" s="3262"/>
      <c r="EO113" s="3262"/>
      <c r="EP113" s="3262"/>
      <c r="EQ113" s="3262"/>
      <c r="ER113" s="3262"/>
      <c r="ES113" s="3262"/>
      <c r="ET113" s="3262"/>
      <c r="EU113" s="3262"/>
      <c r="EV113" s="3262"/>
      <c r="EW113" s="3262"/>
      <c r="EX113" s="3262"/>
      <c r="EY113" s="3262"/>
      <c r="EZ113" s="3262"/>
      <c r="FA113" s="3262"/>
      <c r="FB113" s="3262"/>
      <c r="FC113" s="3262"/>
      <c r="FD113" s="3262"/>
      <c r="FE113" s="3262"/>
      <c r="FF113" s="3262"/>
      <c r="FG113" s="3262"/>
      <c r="FH113" s="3262"/>
      <c r="FI113" s="3262"/>
      <c r="FJ113" s="3262"/>
      <c r="FK113" s="3262"/>
      <c r="FL113" s="3262"/>
      <c r="FM113" s="3262"/>
      <c r="FN113" s="3262"/>
      <c r="FO113" s="3262"/>
      <c r="FP113" s="3262"/>
      <c r="FQ113" s="3262"/>
      <c r="FR113" s="3262"/>
      <c r="FS113" s="3262"/>
      <c r="FT113" s="3262"/>
      <c r="FU113" s="3262"/>
      <c r="FV113" s="3262"/>
      <c r="FW113" s="3262"/>
      <c r="FX113" s="3262"/>
      <c r="FY113" s="3262"/>
      <c r="FZ113" s="3262"/>
      <c r="GA113" s="3262"/>
      <c r="GB113" s="3262"/>
      <c r="GC113" s="3262"/>
      <c r="GD113" s="3262"/>
      <c r="GE113" s="3262"/>
      <c r="GF113" s="3262"/>
      <c r="GG113" s="3262"/>
      <c r="GH113" s="3262"/>
      <c r="GI113" s="3262"/>
      <c r="GJ113" s="3262"/>
      <c r="GK113" s="3262"/>
      <c r="GL113" s="3262"/>
      <c r="GM113" s="3262"/>
      <c r="GN113" s="3262"/>
      <c r="GO113" s="3262"/>
      <c r="GP113" s="3262"/>
      <c r="GQ113" s="3262"/>
      <c r="GR113" s="3262"/>
      <c r="GS113" s="3262"/>
      <c r="GT113" s="3262"/>
      <c r="GU113" s="3262"/>
      <c r="GV113" s="3262"/>
      <c r="GW113" s="3262"/>
      <c r="GX113" s="3262"/>
      <c r="GY113" s="3262"/>
      <c r="GZ113" s="3262"/>
      <c r="HA113" s="3262"/>
      <c r="HB113" s="3262"/>
      <c r="HC113" s="3262"/>
      <c r="HD113" s="3262"/>
      <c r="HE113" s="3262"/>
      <c r="HF113" s="3262"/>
      <c r="HG113" s="3262"/>
      <c r="HH113" s="3262"/>
      <c r="HI113" s="3262"/>
      <c r="HJ113" s="3262"/>
      <c r="HK113" s="3262"/>
      <c r="HL113" s="3262"/>
      <c r="HM113" s="3262"/>
      <c r="HN113" s="3262"/>
      <c r="HO113" s="3262"/>
      <c r="HP113" s="3262"/>
      <c r="HQ113" s="3262"/>
      <c r="HR113" s="3262"/>
      <c r="HS113" s="3262"/>
      <c r="HT113" s="3262"/>
      <c r="HU113" s="3262"/>
      <c r="HV113" s="3262"/>
      <c r="HW113" s="3262"/>
      <c r="HX113" s="3262"/>
      <c r="HY113" s="3262"/>
      <c r="HZ113" s="3262"/>
      <c r="IA113" s="3262"/>
      <c r="IB113" s="3262"/>
      <c r="IC113" s="3262"/>
      <c r="ID113" s="3262"/>
      <c r="IE113" s="3262"/>
      <c r="IF113" s="3262"/>
      <c r="IG113" s="3262"/>
      <c r="IH113" s="3262"/>
      <c r="II113" s="3262"/>
    </row>
    <row r="114" spans="1:243" hidden="1">
      <c r="A114" s="3267" t="s">
        <v>4041</v>
      </c>
      <c r="B114" s="3268" t="s">
        <v>4042</v>
      </c>
      <c r="C114" s="3269" t="s">
        <v>4043</v>
      </c>
      <c r="D114" s="3268" t="s">
        <v>4044</v>
      </c>
      <c r="E114" s="3267" t="s">
        <v>2985</v>
      </c>
      <c r="F114" s="3268" t="s">
        <v>4045</v>
      </c>
      <c r="G114" s="3268"/>
      <c r="H114" s="3268" t="s">
        <v>3244</v>
      </c>
      <c r="I114" s="3268"/>
      <c r="J114" s="3268" t="s">
        <v>4046</v>
      </c>
      <c r="K114" s="3268" t="s">
        <v>4047</v>
      </c>
      <c r="L114" s="3270">
        <v>65.69</v>
      </c>
      <c r="M114" s="3270">
        <v>7</v>
      </c>
      <c r="N114" s="3268" t="s">
        <v>3122</v>
      </c>
      <c r="O114" s="3270"/>
      <c r="P114" s="3295" t="s">
        <v>2963</v>
      </c>
      <c r="Q114" s="3271">
        <v>470000</v>
      </c>
      <c r="R114" s="3346">
        <v>7155</v>
      </c>
      <c r="S114" s="3272">
        <v>43.42</v>
      </c>
      <c r="T114" s="3348">
        <v>434200</v>
      </c>
      <c r="U114" s="3267">
        <v>6610</v>
      </c>
      <c r="V114" s="3274">
        <v>0.05</v>
      </c>
      <c r="W114" s="3349">
        <v>41.24</v>
      </c>
      <c r="X114" s="3350">
        <v>412400</v>
      </c>
      <c r="Y114" s="3276">
        <v>2006</v>
      </c>
      <c r="Z114" s="3276">
        <v>4</v>
      </c>
      <c r="AA114" s="3276">
        <v>28</v>
      </c>
      <c r="AB114" s="3267">
        <v>1300</v>
      </c>
      <c r="AC114" s="3267" t="s">
        <v>3227</v>
      </c>
      <c r="AD114" s="3268"/>
      <c r="AE114" s="3267" t="s">
        <v>3344</v>
      </c>
      <c r="AF114" s="3268" t="s">
        <v>2966</v>
      </c>
      <c r="AG114" s="3268" t="s">
        <v>2967</v>
      </c>
      <c r="AH114" s="3268"/>
      <c r="AI114" s="3279" t="s">
        <v>3176</v>
      </c>
      <c r="AJ114" s="3290"/>
      <c r="AK114" s="3278" t="s">
        <v>2994</v>
      </c>
      <c r="AL114" s="3267">
        <v>82253558</v>
      </c>
      <c r="AM114" s="3276"/>
      <c r="AN114" s="3294" t="s">
        <v>2994</v>
      </c>
      <c r="AO114" s="3276"/>
      <c r="AP114" s="3267" t="s">
        <v>3180</v>
      </c>
      <c r="AQ114" s="3267" t="s">
        <v>3228</v>
      </c>
      <c r="AR114" s="3267"/>
      <c r="AS114" s="3267"/>
      <c r="AT114" s="3267"/>
      <c r="AU114" s="3267"/>
      <c r="AV114" s="3277"/>
      <c r="AW114" s="3319" t="s">
        <v>2997</v>
      </c>
      <c r="AX114" s="3268"/>
      <c r="AY114" s="3268"/>
      <c r="AZ114" s="3268" t="s">
        <v>4048</v>
      </c>
      <c r="BA114" s="3268"/>
      <c r="BB114" s="3280"/>
      <c r="BC114" s="3268"/>
      <c r="BD114" s="3268"/>
      <c r="BE114" s="3268" t="s">
        <v>4049</v>
      </c>
      <c r="BF114" s="3281"/>
      <c r="BG114" s="3307"/>
      <c r="BH114" s="3268"/>
      <c r="BI114" s="3314" t="s">
        <v>3344</v>
      </c>
      <c r="BJ114" s="3299">
        <v>38804</v>
      </c>
      <c r="BK114" s="3284"/>
      <c r="BL114" s="3267" t="s">
        <v>2998</v>
      </c>
      <c r="BM114" s="3267" t="s">
        <v>2879</v>
      </c>
      <c r="BN114" s="3276" t="s">
        <v>2999</v>
      </c>
      <c r="BO114" s="3267" t="s">
        <v>3146</v>
      </c>
      <c r="BP114" s="3276"/>
      <c r="BQ114" s="3276" t="e">
        <v>#DIV/0!</v>
      </c>
      <c r="BR114" s="3276" t="e">
        <v>#DIV/0!</v>
      </c>
      <c r="BS114" s="3285"/>
      <c r="BT114" s="3285"/>
      <c r="BU114" s="3285"/>
    </row>
    <row r="115" spans="1:243" hidden="1">
      <c r="A115" s="3267" t="s">
        <v>4050</v>
      </c>
      <c r="B115" s="3268" t="s">
        <v>4051</v>
      </c>
      <c r="C115" s="3269" t="s">
        <v>4052</v>
      </c>
      <c r="D115" s="3268" t="s">
        <v>4053</v>
      </c>
      <c r="E115" s="3267" t="s">
        <v>2985</v>
      </c>
      <c r="F115" s="3268" t="s">
        <v>3279</v>
      </c>
      <c r="G115" s="3268"/>
      <c r="H115" s="3268" t="s">
        <v>3310</v>
      </c>
      <c r="I115" s="3268" t="s">
        <v>4054</v>
      </c>
      <c r="J115" s="3268">
        <v>202</v>
      </c>
      <c r="K115" s="3268" t="s">
        <v>4055</v>
      </c>
      <c r="L115" s="3270">
        <v>105.73</v>
      </c>
      <c r="M115" s="3270">
        <v>2</v>
      </c>
      <c r="N115" s="3268" t="s">
        <v>3303</v>
      </c>
      <c r="O115" s="3270"/>
      <c r="P115" s="3268" t="s">
        <v>2963</v>
      </c>
      <c r="Q115" s="3271">
        <v>550000</v>
      </c>
      <c r="R115" s="3267">
        <v>5202</v>
      </c>
      <c r="S115" s="3272">
        <v>54.97</v>
      </c>
      <c r="T115" s="3273">
        <v>549700</v>
      </c>
      <c r="U115" s="3267">
        <v>5200</v>
      </c>
      <c r="V115" s="3274">
        <v>0.05</v>
      </c>
      <c r="W115" s="3272">
        <v>52.22</v>
      </c>
      <c r="X115" s="3275">
        <v>522200</v>
      </c>
      <c r="Y115" s="3276">
        <v>2006</v>
      </c>
      <c r="Z115" s="3276">
        <v>3</v>
      </c>
      <c r="AA115" s="3276">
        <v>30</v>
      </c>
      <c r="AB115" s="3267">
        <v>1500</v>
      </c>
      <c r="AC115" s="3267" t="s">
        <v>3227</v>
      </c>
      <c r="AD115" s="3268"/>
      <c r="AE115" s="3267" t="s">
        <v>3245</v>
      </c>
      <c r="AF115" s="3268" t="s">
        <v>2966</v>
      </c>
      <c r="AG115" s="3268" t="s">
        <v>2967</v>
      </c>
      <c r="AH115" s="3268"/>
      <c r="AI115" s="3279" t="s">
        <v>3176</v>
      </c>
      <c r="AJ115" s="3290"/>
      <c r="AK115" s="3278" t="s">
        <v>3114</v>
      </c>
      <c r="AL115" s="3267">
        <v>82253558</v>
      </c>
      <c r="AM115" s="3276"/>
      <c r="AN115" s="3294" t="s">
        <v>3099</v>
      </c>
      <c r="AO115" s="3276" t="s">
        <v>4056</v>
      </c>
      <c r="AP115" s="3267" t="s">
        <v>3180</v>
      </c>
      <c r="AQ115" s="3276" t="s">
        <v>3113</v>
      </c>
      <c r="AR115" s="3267"/>
      <c r="AS115" s="3267"/>
      <c r="AT115" s="3267"/>
      <c r="AU115" s="3267"/>
      <c r="AV115" s="3277"/>
      <c r="AW115" s="3319" t="s">
        <v>2997</v>
      </c>
      <c r="AX115" s="3268"/>
      <c r="AY115" s="3268"/>
      <c r="AZ115" s="3268" t="s">
        <v>4055</v>
      </c>
      <c r="BA115" s="3268"/>
      <c r="BB115" s="3280"/>
      <c r="BC115" s="3268"/>
      <c r="BD115" s="3268"/>
      <c r="BE115" s="3268">
        <v>13701229812</v>
      </c>
      <c r="BF115" s="3281"/>
      <c r="BG115" s="3307">
        <v>38799</v>
      </c>
      <c r="BH115" s="3268"/>
      <c r="BI115" s="3314" t="s">
        <v>3344</v>
      </c>
      <c r="BJ115" s="3299">
        <v>38803</v>
      </c>
      <c r="BK115" s="3284"/>
      <c r="BL115" s="3267" t="s">
        <v>2998</v>
      </c>
      <c r="BM115" s="3267" t="s">
        <v>2879</v>
      </c>
      <c r="BN115" s="3276" t="s">
        <v>2999</v>
      </c>
      <c r="BO115" s="3267" t="s">
        <v>3146</v>
      </c>
      <c r="BP115" s="3276"/>
      <c r="BQ115" s="3276" t="e">
        <v>#DIV/0!</v>
      </c>
      <c r="BR115" s="3276" t="e">
        <v>#DIV/0!</v>
      </c>
      <c r="BS115" s="3285"/>
      <c r="BT115" s="3285"/>
      <c r="BU115" s="3285"/>
      <c r="BV115" s="3262"/>
      <c r="BW115" s="3262"/>
      <c r="BX115" s="3262"/>
      <c r="BY115" s="3262"/>
      <c r="BZ115" s="3262"/>
      <c r="CA115" s="3262"/>
      <c r="CB115" s="3262"/>
      <c r="CC115" s="3262"/>
      <c r="CD115" s="3262"/>
      <c r="CE115" s="3262"/>
      <c r="CF115" s="3262"/>
      <c r="CG115" s="3262"/>
      <c r="CH115" s="3262"/>
      <c r="CI115" s="3262"/>
      <c r="CJ115" s="3262"/>
      <c r="CK115" s="3262"/>
      <c r="CL115" s="3262"/>
      <c r="CM115" s="3262"/>
      <c r="CN115" s="3262"/>
      <c r="CO115" s="3262"/>
      <c r="CP115" s="3262"/>
      <c r="CQ115" s="3262"/>
      <c r="CR115" s="3262"/>
      <c r="CS115" s="3262"/>
      <c r="CT115" s="3262"/>
      <c r="CU115" s="3262"/>
      <c r="CV115" s="3262"/>
      <c r="CW115" s="3262"/>
      <c r="CX115" s="3262"/>
      <c r="CY115" s="3262"/>
      <c r="CZ115" s="3262"/>
      <c r="DA115" s="3262"/>
      <c r="DB115" s="3262"/>
      <c r="DC115" s="3262"/>
      <c r="DD115" s="3262"/>
      <c r="DE115" s="3262"/>
      <c r="DF115" s="3262"/>
      <c r="DG115" s="3262"/>
      <c r="DH115" s="3262"/>
      <c r="DI115" s="3262"/>
      <c r="DJ115" s="3262"/>
      <c r="DK115" s="3262"/>
      <c r="DL115" s="3262"/>
      <c r="DM115" s="3262"/>
      <c r="DN115" s="3262"/>
      <c r="DO115" s="3262"/>
      <c r="DP115" s="3262"/>
      <c r="DQ115" s="3262"/>
      <c r="DR115" s="3262"/>
      <c r="DS115" s="3262"/>
      <c r="DT115" s="3262"/>
      <c r="DU115" s="3262"/>
      <c r="DV115" s="3262"/>
      <c r="DW115" s="3262"/>
      <c r="DX115" s="3262"/>
      <c r="DY115" s="3262"/>
      <c r="DZ115" s="3262"/>
      <c r="EA115" s="3262"/>
      <c r="EB115" s="3262"/>
      <c r="EC115" s="3262"/>
      <c r="ED115" s="3262"/>
      <c r="EE115" s="3262"/>
      <c r="EF115" s="3262"/>
      <c r="EG115" s="3262"/>
      <c r="EH115" s="3262"/>
      <c r="EI115" s="3262"/>
      <c r="EJ115" s="3262"/>
      <c r="EK115" s="3262"/>
      <c r="EL115" s="3262"/>
      <c r="EM115" s="3262"/>
      <c r="EN115" s="3262"/>
      <c r="EO115" s="3262"/>
      <c r="EP115" s="3262"/>
      <c r="EQ115" s="3262"/>
      <c r="ER115" s="3262"/>
      <c r="ES115" s="3262"/>
      <c r="ET115" s="3262"/>
      <c r="EU115" s="3262"/>
      <c r="EV115" s="3262"/>
      <c r="EW115" s="3262"/>
      <c r="EX115" s="3262"/>
      <c r="EY115" s="3262"/>
      <c r="EZ115" s="3262"/>
      <c r="FA115" s="3262"/>
      <c r="FB115" s="3262"/>
      <c r="FC115" s="3262"/>
      <c r="FD115" s="3262"/>
      <c r="FE115" s="3262"/>
      <c r="FF115" s="3262"/>
      <c r="FG115" s="3262"/>
      <c r="FH115" s="3262"/>
      <c r="FI115" s="3262"/>
      <c r="FJ115" s="3262"/>
      <c r="FK115" s="3262"/>
      <c r="FL115" s="3262"/>
      <c r="FM115" s="3262"/>
      <c r="FN115" s="3262"/>
      <c r="FO115" s="3262"/>
      <c r="FP115" s="3262"/>
      <c r="FQ115" s="3262"/>
      <c r="FR115" s="3262"/>
      <c r="FS115" s="3262"/>
      <c r="FT115" s="3262"/>
      <c r="FU115" s="3262"/>
      <c r="FV115" s="3262"/>
      <c r="FW115" s="3262"/>
      <c r="FX115" s="3262"/>
      <c r="FY115" s="3262"/>
      <c r="FZ115" s="3262"/>
      <c r="GA115" s="3262"/>
      <c r="GB115" s="3262"/>
      <c r="GC115" s="3262"/>
      <c r="GD115" s="3262"/>
      <c r="GE115" s="3262"/>
      <c r="GF115" s="3262"/>
      <c r="GG115" s="3262"/>
      <c r="GH115" s="3262"/>
      <c r="GI115" s="3262"/>
      <c r="GJ115" s="3262"/>
      <c r="GK115" s="3262"/>
      <c r="GL115" s="3262"/>
      <c r="GM115" s="3262"/>
      <c r="GN115" s="3262"/>
      <c r="GO115" s="3262"/>
      <c r="GP115" s="3262"/>
      <c r="GQ115" s="3262"/>
      <c r="GR115" s="3262"/>
      <c r="GS115" s="3262"/>
      <c r="GT115" s="3262"/>
      <c r="GU115" s="3262"/>
      <c r="GV115" s="3262"/>
      <c r="GW115" s="3262"/>
      <c r="GX115" s="3262"/>
      <c r="GY115" s="3262"/>
      <c r="GZ115" s="3262"/>
      <c r="HA115" s="3262"/>
      <c r="HB115" s="3262"/>
      <c r="HC115" s="3262"/>
      <c r="HD115" s="3262"/>
      <c r="HE115" s="3262"/>
      <c r="HF115" s="3262"/>
      <c r="HG115" s="3262"/>
      <c r="HH115" s="3262"/>
      <c r="HI115" s="3262"/>
      <c r="HJ115" s="3262"/>
      <c r="HK115" s="3262"/>
      <c r="HL115" s="3262"/>
      <c r="HM115" s="3262"/>
      <c r="HN115" s="3262"/>
      <c r="HO115" s="3262"/>
      <c r="HP115" s="3262"/>
      <c r="HQ115" s="3262"/>
      <c r="HR115" s="3262"/>
      <c r="HS115" s="3262"/>
      <c r="HT115" s="3262"/>
      <c r="HU115" s="3262"/>
      <c r="HV115" s="3262"/>
      <c r="HW115" s="3262"/>
      <c r="HX115" s="3262"/>
      <c r="HY115" s="3262"/>
      <c r="HZ115" s="3262"/>
      <c r="IA115" s="3262"/>
      <c r="IB115" s="3262"/>
      <c r="IC115" s="3262"/>
      <c r="ID115" s="3262"/>
      <c r="IE115" s="3262"/>
      <c r="IF115" s="3262"/>
      <c r="IG115" s="3262"/>
      <c r="IH115" s="3262"/>
      <c r="II115" s="3262"/>
    </row>
    <row r="116" spans="1:243">
      <c r="A116" s="3267" t="s">
        <v>4057</v>
      </c>
      <c r="B116" s="3268" t="s">
        <v>4058</v>
      </c>
      <c r="C116" s="3269" t="s">
        <v>4059</v>
      </c>
      <c r="D116" s="3268">
        <v>13641359452</v>
      </c>
      <c r="E116" s="3267" t="s">
        <v>2985</v>
      </c>
      <c r="F116" s="3268" t="s">
        <v>4060</v>
      </c>
      <c r="G116" s="3268"/>
      <c r="H116" s="3268" t="s">
        <v>3182</v>
      </c>
      <c r="I116" s="3268"/>
      <c r="J116" s="3268">
        <v>1301</v>
      </c>
      <c r="K116" s="3268" t="s">
        <v>4061</v>
      </c>
      <c r="L116" s="3270">
        <v>67.569999999999993</v>
      </c>
      <c r="M116" s="3270">
        <v>13</v>
      </c>
      <c r="N116" s="3268" t="s">
        <v>4062</v>
      </c>
      <c r="O116" s="3270">
        <v>48.14</v>
      </c>
      <c r="P116" s="3268" t="s">
        <v>2963</v>
      </c>
      <c r="Q116" s="3271">
        <v>460000</v>
      </c>
      <c r="R116" s="3267">
        <v>6808</v>
      </c>
      <c r="S116" s="3272">
        <v>39.520000000000003</v>
      </c>
      <c r="T116" s="3273">
        <v>395200</v>
      </c>
      <c r="U116" s="3267">
        <v>5850</v>
      </c>
      <c r="V116" s="3274">
        <v>0.05</v>
      </c>
      <c r="W116" s="3272">
        <v>37.54</v>
      </c>
      <c r="X116" s="3275">
        <v>375400</v>
      </c>
      <c r="Y116" s="3276">
        <v>2006</v>
      </c>
      <c r="Z116" s="3276">
        <v>3</v>
      </c>
      <c r="AA116" s="3276">
        <v>29</v>
      </c>
      <c r="AB116" s="3267">
        <v>1185</v>
      </c>
      <c r="AC116" s="3267" t="s">
        <v>3227</v>
      </c>
      <c r="AD116" s="3268"/>
      <c r="AE116" s="3267" t="s">
        <v>3344</v>
      </c>
      <c r="AF116" s="3268" t="s">
        <v>2966</v>
      </c>
      <c r="AG116" s="3268" t="s">
        <v>2967</v>
      </c>
      <c r="AH116" s="3268"/>
      <c r="AI116" s="3279" t="s">
        <v>3176</v>
      </c>
      <c r="AJ116" s="3290"/>
      <c r="AK116" s="3278" t="s">
        <v>3114</v>
      </c>
      <c r="AL116" s="3267">
        <v>82253558</v>
      </c>
      <c r="AM116" s="3276"/>
      <c r="AN116" s="3294" t="s">
        <v>3099</v>
      </c>
      <c r="AO116" s="3276" t="s">
        <v>4063</v>
      </c>
      <c r="AP116" s="3267" t="s">
        <v>3180</v>
      </c>
      <c r="AQ116" s="3276" t="s">
        <v>3113</v>
      </c>
      <c r="AR116" s="3267"/>
      <c r="AS116" s="3267"/>
      <c r="AT116" s="3267"/>
      <c r="AU116" s="3267"/>
      <c r="AV116" s="3277"/>
      <c r="AW116" s="3319" t="s">
        <v>2997</v>
      </c>
      <c r="AX116" s="3268"/>
      <c r="AY116" s="3268"/>
      <c r="AZ116" s="3268" t="s">
        <v>4061</v>
      </c>
      <c r="BA116" s="3268"/>
      <c r="BB116" s="3280"/>
      <c r="BC116" s="3268"/>
      <c r="BD116" s="3268"/>
      <c r="BE116" s="3268">
        <v>13901159059</v>
      </c>
      <c r="BF116" s="3281"/>
      <c r="BG116" s="3307">
        <v>38785</v>
      </c>
      <c r="BH116" s="3268"/>
      <c r="BI116" s="3314" t="s">
        <v>3344</v>
      </c>
      <c r="BJ116" s="3299">
        <v>38803</v>
      </c>
      <c r="BK116" s="3284"/>
      <c r="BL116" s="3267" t="s">
        <v>2998</v>
      </c>
      <c r="BM116" s="3267" t="s">
        <v>2879</v>
      </c>
      <c r="BN116" s="3276" t="s">
        <v>2999</v>
      </c>
      <c r="BO116" s="3267" t="s">
        <v>3146</v>
      </c>
      <c r="BP116" s="3276"/>
      <c r="BQ116" s="3276">
        <v>8211</v>
      </c>
      <c r="BR116" s="3276">
        <v>9555</v>
      </c>
      <c r="BS116" s="3285"/>
      <c r="BT116" s="3285"/>
      <c r="BU116" s="3285"/>
      <c r="BV116" s="3262"/>
      <c r="BW116" s="3262"/>
      <c r="BX116" s="3262"/>
      <c r="BY116" s="3262"/>
      <c r="BZ116" s="3262"/>
      <c r="CA116" s="3262"/>
      <c r="CB116" s="3262"/>
      <c r="CC116" s="3262"/>
      <c r="CD116" s="3262"/>
      <c r="CE116" s="3262"/>
      <c r="CF116" s="3262"/>
      <c r="CG116" s="3262"/>
      <c r="CH116" s="3262"/>
      <c r="CI116" s="3262"/>
      <c r="CJ116" s="3262"/>
      <c r="CK116" s="3262"/>
      <c r="CL116" s="3262"/>
      <c r="CM116" s="3262"/>
      <c r="CN116" s="3262"/>
      <c r="CO116" s="3262"/>
      <c r="CP116" s="3262"/>
      <c r="CQ116" s="3262"/>
      <c r="CR116" s="3262"/>
      <c r="CS116" s="3262"/>
      <c r="CT116" s="3262"/>
      <c r="CU116" s="3262"/>
      <c r="CV116" s="3262"/>
      <c r="CW116" s="3262"/>
      <c r="CX116" s="3262"/>
      <c r="CY116" s="3262"/>
      <c r="CZ116" s="3262"/>
      <c r="DA116" s="3262"/>
      <c r="DB116" s="3262"/>
      <c r="DC116" s="3262"/>
      <c r="DD116" s="3262"/>
      <c r="DE116" s="3262"/>
      <c r="DF116" s="3262"/>
      <c r="DG116" s="3262"/>
      <c r="DH116" s="3262"/>
      <c r="DI116" s="3262"/>
      <c r="DJ116" s="3262"/>
      <c r="DK116" s="3262"/>
      <c r="DL116" s="3262"/>
      <c r="DM116" s="3262"/>
      <c r="DN116" s="3262"/>
      <c r="DO116" s="3262"/>
      <c r="DP116" s="3262"/>
      <c r="DQ116" s="3262"/>
      <c r="DR116" s="3262"/>
      <c r="DS116" s="3262"/>
      <c r="DT116" s="3262"/>
      <c r="DU116" s="3262"/>
      <c r="DV116" s="3262"/>
      <c r="DW116" s="3262"/>
      <c r="DX116" s="3262"/>
      <c r="DY116" s="3262"/>
      <c r="DZ116" s="3262"/>
      <c r="EA116" s="3262"/>
      <c r="EB116" s="3262"/>
      <c r="EC116" s="3262"/>
      <c r="ED116" s="3262"/>
      <c r="EE116" s="3262"/>
      <c r="EF116" s="3262"/>
      <c r="EG116" s="3262"/>
      <c r="EH116" s="3262"/>
      <c r="EI116" s="3262"/>
      <c r="EJ116" s="3262"/>
      <c r="EK116" s="3262"/>
      <c r="EL116" s="3262"/>
      <c r="EM116" s="3262"/>
      <c r="EN116" s="3262"/>
      <c r="EO116" s="3262"/>
      <c r="EP116" s="3262"/>
      <c r="EQ116" s="3262"/>
      <c r="ER116" s="3262"/>
      <c r="ES116" s="3262"/>
      <c r="ET116" s="3262"/>
      <c r="EU116" s="3262"/>
      <c r="EV116" s="3262"/>
      <c r="EW116" s="3262"/>
      <c r="EX116" s="3262"/>
      <c r="EY116" s="3262"/>
      <c r="EZ116" s="3262"/>
      <c r="FA116" s="3262"/>
      <c r="FB116" s="3262"/>
      <c r="FC116" s="3262"/>
      <c r="FD116" s="3262"/>
      <c r="FE116" s="3262"/>
      <c r="FF116" s="3262"/>
      <c r="FG116" s="3262"/>
      <c r="FH116" s="3262"/>
      <c r="FI116" s="3262"/>
      <c r="FJ116" s="3262"/>
      <c r="FK116" s="3262"/>
      <c r="FL116" s="3262"/>
      <c r="FM116" s="3262"/>
      <c r="FN116" s="3262"/>
      <c r="FO116" s="3262"/>
      <c r="FP116" s="3262"/>
      <c r="FQ116" s="3262"/>
      <c r="FR116" s="3262"/>
      <c r="FS116" s="3262"/>
      <c r="FT116" s="3262"/>
      <c r="FU116" s="3262"/>
      <c r="FV116" s="3262"/>
      <c r="FW116" s="3262"/>
      <c r="FX116" s="3262"/>
      <c r="FY116" s="3262"/>
      <c r="FZ116" s="3262"/>
      <c r="GA116" s="3262"/>
      <c r="GB116" s="3262"/>
      <c r="GC116" s="3262"/>
      <c r="GD116" s="3262"/>
      <c r="GE116" s="3262"/>
      <c r="GF116" s="3262"/>
      <c r="GG116" s="3262"/>
      <c r="GH116" s="3262"/>
      <c r="GI116" s="3262"/>
      <c r="GJ116" s="3262"/>
      <c r="GK116" s="3262"/>
      <c r="GL116" s="3262"/>
      <c r="GM116" s="3262"/>
      <c r="GN116" s="3262"/>
      <c r="GO116" s="3262"/>
      <c r="GP116" s="3262"/>
      <c r="GQ116" s="3262"/>
      <c r="GR116" s="3262"/>
      <c r="GS116" s="3262"/>
      <c r="GT116" s="3262"/>
      <c r="GU116" s="3262"/>
      <c r="GV116" s="3262"/>
      <c r="GW116" s="3262"/>
      <c r="GX116" s="3262"/>
      <c r="GY116" s="3262"/>
      <c r="GZ116" s="3262"/>
      <c r="HA116" s="3262"/>
      <c r="HB116" s="3262"/>
      <c r="HC116" s="3262"/>
      <c r="HD116" s="3262"/>
      <c r="HE116" s="3262"/>
      <c r="HF116" s="3262"/>
      <c r="HG116" s="3262"/>
      <c r="HH116" s="3262"/>
      <c r="HI116" s="3262"/>
      <c r="HJ116" s="3262"/>
      <c r="HK116" s="3262"/>
      <c r="HL116" s="3262"/>
      <c r="HM116" s="3262"/>
      <c r="HN116" s="3262"/>
      <c r="HO116" s="3262"/>
      <c r="HP116" s="3262"/>
      <c r="HQ116" s="3262"/>
      <c r="HR116" s="3262"/>
      <c r="HS116" s="3262"/>
      <c r="HT116" s="3262"/>
      <c r="HU116" s="3262"/>
      <c r="HV116" s="3262"/>
      <c r="HW116" s="3262"/>
      <c r="HX116" s="3262"/>
      <c r="HY116" s="3262"/>
      <c r="HZ116" s="3262"/>
      <c r="IA116" s="3262"/>
      <c r="IB116" s="3262"/>
      <c r="IC116" s="3262"/>
      <c r="ID116" s="3262"/>
      <c r="IE116" s="3262"/>
      <c r="IF116" s="3262"/>
      <c r="IG116" s="3262"/>
      <c r="IH116" s="3262"/>
      <c r="II116" s="3262"/>
    </row>
    <row r="117" spans="1:243" hidden="1">
      <c r="A117" s="3267" t="s">
        <v>4064</v>
      </c>
      <c r="B117" s="3267" t="s">
        <v>4065</v>
      </c>
      <c r="C117" s="3269" t="s">
        <v>4066</v>
      </c>
      <c r="D117" s="3269" t="s">
        <v>4067</v>
      </c>
      <c r="E117" s="3267" t="s">
        <v>2985</v>
      </c>
      <c r="F117" s="3244" t="s">
        <v>4068</v>
      </c>
      <c r="G117" s="3267" t="s">
        <v>3262</v>
      </c>
      <c r="H117" s="3267" t="s">
        <v>3668</v>
      </c>
      <c r="I117" s="3267" t="s">
        <v>3262</v>
      </c>
      <c r="J117" s="3269" t="s">
        <v>3558</v>
      </c>
      <c r="K117" s="3267" t="s">
        <v>4069</v>
      </c>
      <c r="L117" s="3267" t="s">
        <v>4070</v>
      </c>
      <c r="M117" s="3267" t="s">
        <v>4071</v>
      </c>
      <c r="N117" s="3267" t="s">
        <v>3122</v>
      </c>
      <c r="O117" s="3267"/>
      <c r="P117" s="3267" t="s">
        <v>2963</v>
      </c>
      <c r="Q117" s="3271" t="s">
        <v>4072</v>
      </c>
      <c r="R117" s="3267" t="s">
        <v>4073</v>
      </c>
      <c r="S117" s="3272" t="s">
        <v>4074</v>
      </c>
      <c r="T117" s="3273">
        <v>361300</v>
      </c>
      <c r="U117" s="3267" t="s">
        <v>4075</v>
      </c>
      <c r="V117" s="3289" t="s">
        <v>4006</v>
      </c>
      <c r="W117" s="3272" t="s">
        <v>4076</v>
      </c>
      <c r="X117" s="3275">
        <v>343200</v>
      </c>
      <c r="Y117" s="3267">
        <v>2006</v>
      </c>
      <c r="Z117" s="3276">
        <v>4</v>
      </c>
      <c r="AA117" s="3276">
        <v>12</v>
      </c>
      <c r="AB117" s="3267" t="s">
        <v>4077</v>
      </c>
      <c r="AC117" s="3267" t="s">
        <v>3227</v>
      </c>
      <c r="AD117" s="3267"/>
      <c r="AE117" s="3276" t="s">
        <v>3342</v>
      </c>
      <c r="AF117" s="3267" t="s">
        <v>2966</v>
      </c>
      <c r="AG117" s="3279" t="s">
        <v>2967</v>
      </c>
      <c r="AH117" s="3267" t="s">
        <v>3262</v>
      </c>
      <c r="AI117" s="3267" t="s">
        <v>3115</v>
      </c>
      <c r="AJ117" s="3284" t="s">
        <v>3262</v>
      </c>
      <c r="AK117" s="3267" t="s">
        <v>2994</v>
      </c>
      <c r="AL117" s="3276" t="s">
        <v>3706</v>
      </c>
      <c r="AM117" s="3276" t="s">
        <v>3262</v>
      </c>
      <c r="AN117" s="3267" t="s">
        <v>3140</v>
      </c>
      <c r="AO117" s="3276" t="s">
        <v>3262</v>
      </c>
      <c r="AP117" s="3276" t="s">
        <v>3180</v>
      </c>
      <c r="AQ117" s="3276" t="s">
        <v>3113</v>
      </c>
      <c r="AR117" s="3276" t="s">
        <v>3262</v>
      </c>
      <c r="AS117" s="3276" t="s">
        <v>3262</v>
      </c>
      <c r="AT117" s="3276" t="s">
        <v>3262</v>
      </c>
      <c r="AU117" s="3276" t="s">
        <v>3262</v>
      </c>
      <c r="AV117" s="3276" t="s">
        <v>3262</v>
      </c>
      <c r="AW117" s="3276" t="s">
        <v>3171</v>
      </c>
      <c r="AX117" s="3276" t="s">
        <v>3262</v>
      </c>
      <c r="AY117" s="3291" t="s">
        <v>3262</v>
      </c>
      <c r="AZ117" s="3276" t="s">
        <v>4069</v>
      </c>
      <c r="BA117" s="3276" t="s">
        <v>3262</v>
      </c>
      <c r="BB117" s="3291" t="s">
        <v>3262</v>
      </c>
      <c r="BC117" s="3276" t="s">
        <v>3262</v>
      </c>
      <c r="BD117" s="3292" t="s">
        <v>3262</v>
      </c>
      <c r="BE117" s="3276" t="s">
        <v>3262</v>
      </c>
      <c r="BF117" s="3281" t="s">
        <v>3262</v>
      </c>
      <c r="BG117" s="3299">
        <v>38799</v>
      </c>
      <c r="BH117" s="3276" t="s">
        <v>3262</v>
      </c>
      <c r="BI117" s="3276" t="s">
        <v>3295</v>
      </c>
      <c r="BJ117" s="3283">
        <v>38800</v>
      </c>
      <c r="BK117" s="3283" t="s">
        <v>3262</v>
      </c>
      <c r="BL117" s="3267" t="s">
        <v>2998</v>
      </c>
      <c r="BM117" s="3276" t="s">
        <v>2879</v>
      </c>
      <c r="BN117" s="3276" t="s">
        <v>2999</v>
      </c>
      <c r="BO117" s="3276" t="s">
        <v>3146</v>
      </c>
      <c r="BP117" s="3276" t="s">
        <v>3262</v>
      </c>
      <c r="BQ117" s="3276" t="s">
        <v>3262</v>
      </c>
      <c r="BR117" s="3276" t="s">
        <v>3262</v>
      </c>
      <c r="BS117" s="3285"/>
      <c r="BT117" s="3285"/>
      <c r="BU117" s="3285"/>
    </row>
    <row r="118" spans="1:243" hidden="1">
      <c r="A118" s="3267" t="s">
        <v>4078</v>
      </c>
      <c r="B118" s="3268" t="s">
        <v>4079</v>
      </c>
      <c r="C118" s="3269" t="s">
        <v>4080</v>
      </c>
      <c r="D118" s="3268">
        <v>13810486409</v>
      </c>
      <c r="E118" s="3267" t="s">
        <v>2985</v>
      </c>
      <c r="F118" s="3268" t="s">
        <v>4081</v>
      </c>
      <c r="G118" s="3268"/>
      <c r="H118" s="3268" t="s">
        <v>3130</v>
      </c>
      <c r="I118" s="3268"/>
      <c r="J118" s="3268" t="s">
        <v>4082</v>
      </c>
      <c r="K118" s="3268" t="s">
        <v>4083</v>
      </c>
      <c r="L118" s="3270">
        <v>78.48</v>
      </c>
      <c r="M118" s="3270">
        <v>13</v>
      </c>
      <c r="N118" s="3268" t="s">
        <v>3122</v>
      </c>
      <c r="O118" s="3270">
        <v>54.57</v>
      </c>
      <c r="P118" s="3268" t="s">
        <v>2963</v>
      </c>
      <c r="Q118" s="3271">
        <v>520000</v>
      </c>
      <c r="R118" s="3267">
        <v>6626</v>
      </c>
      <c r="S118" s="3272">
        <v>44.27</v>
      </c>
      <c r="T118" s="3273">
        <v>442700</v>
      </c>
      <c r="U118" s="3267">
        <v>5641</v>
      </c>
      <c r="V118" s="3274">
        <v>0.05</v>
      </c>
      <c r="W118" s="3272">
        <v>42.05</v>
      </c>
      <c r="X118" s="3275">
        <v>420500</v>
      </c>
      <c r="Y118" s="3276">
        <v>2006</v>
      </c>
      <c r="Z118" s="3276">
        <v>3</v>
      </c>
      <c r="AA118" s="3276">
        <v>30</v>
      </c>
      <c r="AB118" s="3267">
        <v>1325</v>
      </c>
      <c r="AC118" s="3267" t="s">
        <v>3227</v>
      </c>
      <c r="AD118" s="3268"/>
      <c r="AE118" s="3267" t="s">
        <v>3344</v>
      </c>
      <c r="AF118" s="3268" t="s">
        <v>2966</v>
      </c>
      <c r="AG118" s="3268" t="s">
        <v>2967</v>
      </c>
      <c r="AH118" s="3268"/>
      <c r="AI118" s="3279" t="s">
        <v>3176</v>
      </c>
      <c r="AJ118" s="3290"/>
      <c r="AK118" s="3278" t="s">
        <v>3114</v>
      </c>
      <c r="AL118" s="3267">
        <v>82253558</v>
      </c>
      <c r="AM118" s="3276"/>
      <c r="AN118" s="3294" t="s">
        <v>3099</v>
      </c>
      <c r="AO118" s="3276" t="s">
        <v>4084</v>
      </c>
      <c r="AP118" s="3267" t="s">
        <v>3180</v>
      </c>
      <c r="AQ118" s="3276" t="s">
        <v>3113</v>
      </c>
      <c r="AR118" s="3267"/>
      <c r="AS118" s="3267"/>
      <c r="AT118" s="3267"/>
      <c r="AU118" s="3267"/>
      <c r="AV118" s="3277"/>
      <c r="AW118" s="3319" t="s">
        <v>2997</v>
      </c>
      <c r="AX118" s="3268"/>
      <c r="AY118" s="3268"/>
      <c r="AZ118" s="3268" t="s">
        <v>4083</v>
      </c>
      <c r="BA118" s="3268"/>
      <c r="BB118" s="3280"/>
      <c r="BC118" s="3268"/>
      <c r="BD118" s="3268"/>
      <c r="BE118" s="3268">
        <v>13701107808</v>
      </c>
      <c r="BF118" s="3281"/>
      <c r="BG118" s="3307">
        <v>38794</v>
      </c>
      <c r="BH118" s="3268"/>
      <c r="BI118" s="3314" t="s">
        <v>3344</v>
      </c>
      <c r="BJ118" s="3299">
        <v>38804</v>
      </c>
      <c r="BK118" s="3284"/>
      <c r="BL118" s="3267" t="s">
        <v>2998</v>
      </c>
      <c r="BM118" s="3267" t="s">
        <v>2879</v>
      </c>
      <c r="BN118" s="3276" t="s">
        <v>2999</v>
      </c>
      <c r="BO118" s="3267" t="s">
        <v>3146</v>
      </c>
      <c r="BP118" s="3276"/>
      <c r="BQ118" s="3276">
        <v>8113</v>
      </c>
      <c r="BR118" s="3276">
        <v>9529</v>
      </c>
      <c r="BS118" s="3285"/>
      <c r="BT118" s="3285"/>
      <c r="BU118" s="3285"/>
      <c r="BV118" s="3262"/>
      <c r="BW118" s="3262"/>
      <c r="BX118" s="3262"/>
      <c r="BY118" s="3262"/>
      <c r="BZ118" s="3262"/>
      <c r="CA118" s="3262"/>
      <c r="CB118" s="3262"/>
      <c r="CC118" s="3262"/>
      <c r="CD118" s="3262"/>
      <c r="CE118" s="3262"/>
      <c r="CF118" s="3262"/>
      <c r="CG118" s="3262"/>
      <c r="CH118" s="3262"/>
      <c r="CI118" s="3262"/>
      <c r="CJ118" s="3262"/>
      <c r="CK118" s="3262"/>
      <c r="CL118" s="3262"/>
      <c r="CM118" s="3262"/>
      <c r="CN118" s="3262"/>
      <c r="CO118" s="3262"/>
      <c r="CP118" s="3262"/>
      <c r="CQ118" s="3262"/>
      <c r="CR118" s="3262"/>
      <c r="CS118" s="3262"/>
      <c r="CT118" s="3262"/>
      <c r="CU118" s="3262"/>
      <c r="CV118" s="3262"/>
      <c r="CW118" s="3262"/>
      <c r="CX118" s="3262"/>
      <c r="CY118" s="3262"/>
      <c r="CZ118" s="3262"/>
      <c r="DA118" s="3262"/>
      <c r="DB118" s="3262"/>
      <c r="DC118" s="3262"/>
      <c r="DD118" s="3262"/>
      <c r="DE118" s="3262"/>
      <c r="DF118" s="3262"/>
      <c r="DG118" s="3262"/>
      <c r="DH118" s="3262"/>
      <c r="DI118" s="3262"/>
      <c r="DJ118" s="3262"/>
      <c r="DK118" s="3262"/>
      <c r="DL118" s="3262"/>
      <c r="DM118" s="3262"/>
      <c r="DN118" s="3262"/>
      <c r="DO118" s="3262"/>
      <c r="DP118" s="3262"/>
      <c r="DQ118" s="3262"/>
      <c r="DR118" s="3262"/>
      <c r="DS118" s="3262"/>
      <c r="DT118" s="3262"/>
      <c r="DU118" s="3262"/>
      <c r="DV118" s="3262"/>
      <c r="DW118" s="3262"/>
      <c r="DX118" s="3262"/>
      <c r="DY118" s="3262"/>
      <c r="DZ118" s="3262"/>
      <c r="EA118" s="3262"/>
      <c r="EB118" s="3262"/>
      <c r="EC118" s="3262"/>
      <c r="ED118" s="3262"/>
      <c r="EE118" s="3262"/>
      <c r="EF118" s="3262"/>
      <c r="EG118" s="3262"/>
      <c r="EH118" s="3262"/>
      <c r="EI118" s="3262"/>
      <c r="EJ118" s="3262"/>
      <c r="EK118" s="3262"/>
      <c r="EL118" s="3262"/>
      <c r="EM118" s="3262"/>
      <c r="EN118" s="3262"/>
      <c r="EO118" s="3262"/>
      <c r="EP118" s="3262"/>
      <c r="EQ118" s="3262"/>
      <c r="ER118" s="3262"/>
      <c r="ES118" s="3262"/>
      <c r="ET118" s="3262"/>
      <c r="EU118" s="3262"/>
      <c r="EV118" s="3262"/>
      <c r="EW118" s="3262"/>
      <c r="EX118" s="3262"/>
      <c r="EY118" s="3262"/>
      <c r="EZ118" s="3262"/>
      <c r="FA118" s="3262"/>
      <c r="FB118" s="3262"/>
      <c r="FC118" s="3262"/>
      <c r="FD118" s="3262"/>
      <c r="FE118" s="3262"/>
      <c r="FF118" s="3262"/>
      <c r="FG118" s="3262"/>
      <c r="FH118" s="3262"/>
      <c r="FI118" s="3262"/>
      <c r="FJ118" s="3262"/>
      <c r="FK118" s="3262"/>
      <c r="FL118" s="3262"/>
      <c r="FM118" s="3262"/>
      <c r="FN118" s="3262"/>
      <c r="FO118" s="3262"/>
      <c r="FP118" s="3262"/>
      <c r="FQ118" s="3262"/>
      <c r="FR118" s="3262"/>
      <c r="FS118" s="3262"/>
      <c r="FT118" s="3262"/>
      <c r="FU118" s="3262"/>
      <c r="FV118" s="3262"/>
      <c r="FW118" s="3262"/>
      <c r="FX118" s="3262"/>
      <c r="FY118" s="3262"/>
      <c r="FZ118" s="3262"/>
      <c r="GA118" s="3262"/>
      <c r="GB118" s="3262"/>
      <c r="GC118" s="3262"/>
      <c r="GD118" s="3262"/>
      <c r="GE118" s="3262"/>
      <c r="GF118" s="3262"/>
      <c r="GG118" s="3262"/>
      <c r="GH118" s="3262"/>
      <c r="GI118" s="3262"/>
      <c r="GJ118" s="3262"/>
      <c r="GK118" s="3262"/>
      <c r="GL118" s="3262"/>
      <c r="GM118" s="3262"/>
      <c r="GN118" s="3262"/>
      <c r="GO118" s="3262"/>
      <c r="GP118" s="3262"/>
      <c r="GQ118" s="3262"/>
      <c r="GR118" s="3262"/>
      <c r="GS118" s="3262"/>
      <c r="GT118" s="3262"/>
      <c r="GU118" s="3262"/>
      <c r="GV118" s="3262"/>
      <c r="GW118" s="3262"/>
      <c r="GX118" s="3262"/>
      <c r="GY118" s="3262"/>
      <c r="GZ118" s="3262"/>
      <c r="HA118" s="3262"/>
      <c r="HB118" s="3262"/>
      <c r="HC118" s="3262"/>
      <c r="HD118" s="3262"/>
      <c r="HE118" s="3262"/>
      <c r="HF118" s="3262"/>
      <c r="HG118" s="3262"/>
      <c r="HH118" s="3262"/>
      <c r="HI118" s="3262"/>
      <c r="HJ118" s="3262"/>
      <c r="HK118" s="3262"/>
      <c r="HL118" s="3262"/>
      <c r="HM118" s="3262"/>
      <c r="HN118" s="3262"/>
      <c r="HO118" s="3262"/>
      <c r="HP118" s="3262"/>
      <c r="HQ118" s="3262"/>
      <c r="HR118" s="3262"/>
      <c r="HS118" s="3262"/>
      <c r="HT118" s="3262"/>
      <c r="HU118" s="3262"/>
      <c r="HV118" s="3262"/>
      <c r="HW118" s="3262"/>
      <c r="HX118" s="3262"/>
      <c r="HY118" s="3262"/>
      <c r="HZ118" s="3262"/>
      <c r="IA118" s="3262"/>
      <c r="IB118" s="3262"/>
      <c r="IC118" s="3262"/>
      <c r="ID118" s="3262"/>
      <c r="IE118" s="3262"/>
      <c r="IF118" s="3262"/>
      <c r="IG118" s="3262"/>
      <c r="IH118" s="3262"/>
      <c r="II118" s="3262"/>
    </row>
    <row r="119" spans="1:243" hidden="1">
      <c r="A119" s="3267" t="s">
        <v>4085</v>
      </c>
      <c r="B119" s="3268" t="s">
        <v>4086</v>
      </c>
      <c r="C119" s="3269" t="s">
        <v>4087</v>
      </c>
      <c r="D119" s="3268">
        <v>86182337</v>
      </c>
      <c r="E119" s="3267" t="s">
        <v>2985</v>
      </c>
      <c r="F119" s="3268" t="s">
        <v>4088</v>
      </c>
      <c r="G119" s="3268"/>
      <c r="H119" s="3268" t="s">
        <v>3159</v>
      </c>
      <c r="I119" s="3268" t="s">
        <v>3586</v>
      </c>
      <c r="J119" s="3268">
        <v>201</v>
      </c>
      <c r="K119" s="3268" t="s">
        <v>4089</v>
      </c>
      <c r="L119" s="3270">
        <v>139.13</v>
      </c>
      <c r="M119" s="3270">
        <v>2</v>
      </c>
      <c r="N119" s="3268" t="s">
        <v>3303</v>
      </c>
      <c r="O119" s="3270"/>
      <c r="P119" s="3268" t="s">
        <v>2963</v>
      </c>
      <c r="Q119" s="3271">
        <v>556520</v>
      </c>
      <c r="R119" s="3267">
        <v>4000</v>
      </c>
      <c r="S119" s="3272">
        <v>55.65</v>
      </c>
      <c r="T119" s="3273">
        <v>556500</v>
      </c>
      <c r="U119" s="3267">
        <v>4000</v>
      </c>
      <c r="V119" s="3274">
        <v>0.05</v>
      </c>
      <c r="W119" s="3272">
        <v>52.86</v>
      </c>
      <c r="X119" s="3275">
        <v>528600</v>
      </c>
      <c r="Y119" s="3276">
        <v>2006</v>
      </c>
      <c r="Z119" s="3276">
        <v>4</v>
      </c>
      <c r="AA119" s="3276">
        <v>11</v>
      </c>
      <c r="AB119" s="3267">
        <v>1500</v>
      </c>
      <c r="AC119" s="3267" t="s">
        <v>3227</v>
      </c>
      <c r="AD119" s="3268"/>
      <c r="AE119" s="3267" t="s">
        <v>3176</v>
      </c>
      <c r="AF119" s="3268" t="s">
        <v>2966</v>
      </c>
      <c r="AG119" s="3268" t="s">
        <v>2967</v>
      </c>
      <c r="AH119" s="3268"/>
      <c r="AI119" s="3267" t="s">
        <v>3115</v>
      </c>
      <c r="AJ119" s="3290"/>
      <c r="AK119" s="3278" t="s">
        <v>2994</v>
      </c>
      <c r="AL119" s="3267">
        <v>82253558</v>
      </c>
      <c r="AM119" s="3276"/>
      <c r="AN119" s="3276" t="s">
        <v>3140</v>
      </c>
      <c r="AO119" s="3276"/>
      <c r="AP119" s="3267" t="s">
        <v>3180</v>
      </c>
      <c r="AQ119" s="3276" t="s">
        <v>3113</v>
      </c>
      <c r="AR119" s="3267"/>
      <c r="AS119" s="3267"/>
      <c r="AT119" s="3267"/>
      <c r="AU119" s="3267"/>
      <c r="AV119" s="3277"/>
      <c r="AW119" s="3306" t="s">
        <v>2997</v>
      </c>
      <c r="AX119" s="3268"/>
      <c r="AY119" s="3268"/>
      <c r="AZ119" s="3268" t="s">
        <v>4089</v>
      </c>
      <c r="BA119" s="3268"/>
      <c r="BB119" s="3280"/>
      <c r="BC119" s="3268"/>
      <c r="BD119" s="3268"/>
      <c r="BE119" s="3268"/>
      <c r="BF119" s="3281"/>
      <c r="BG119" s="3307">
        <v>38803</v>
      </c>
      <c r="BH119" s="3268"/>
      <c r="BI119" s="3314" t="s">
        <v>3344</v>
      </c>
      <c r="BJ119" s="3299">
        <v>38800</v>
      </c>
      <c r="BK119" s="3284"/>
      <c r="BL119" s="3267" t="s">
        <v>2998</v>
      </c>
      <c r="BM119" s="3267" t="s">
        <v>2879</v>
      </c>
      <c r="BN119" s="3276" t="s">
        <v>2999</v>
      </c>
      <c r="BO119" s="3267" t="s">
        <v>3146</v>
      </c>
      <c r="BP119" s="3276"/>
      <c r="BQ119" s="3276" t="e">
        <v>#DIV/0!</v>
      </c>
      <c r="BR119" s="3276" t="e">
        <v>#DIV/0!</v>
      </c>
      <c r="BS119" s="3285"/>
      <c r="BT119" s="3285"/>
      <c r="BU119" s="3285"/>
    </row>
    <row r="120" spans="1:243" hidden="1">
      <c r="A120" s="3267" t="s">
        <v>4090</v>
      </c>
      <c r="B120" s="3267" t="s">
        <v>4091</v>
      </c>
      <c r="C120" s="3269" t="s">
        <v>4092</v>
      </c>
      <c r="D120" s="3267" t="s">
        <v>4093</v>
      </c>
      <c r="E120" s="3267" t="s">
        <v>2985</v>
      </c>
      <c r="F120" s="3267" t="s">
        <v>4094</v>
      </c>
      <c r="G120" s="3267"/>
      <c r="H120" s="3268" t="s">
        <v>3263</v>
      </c>
      <c r="I120" s="3268" t="s">
        <v>3586</v>
      </c>
      <c r="J120" s="3268">
        <v>207</v>
      </c>
      <c r="K120" s="3267" t="s">
        <v>4095</v>
      </c>
      <c r="L120" s="3270">
        <v>96.84</v>
      </c>
      <c r="M120" s="3270">
        <v>2</v>
      </c>
      <c r="N120" s="3267" t="s">
        <v>3122</v>
      </c>
      <c r="O120" s="3270" t="s">
        <v>2968</v>
      </c>
      <c r="P120" s="3267" t="s">
        <v>2963</v>
      </c>
      <c r="Q120" s="3271">
        <v>570000</v>
      </c>
      <c r="R120" s="3267">
        <v>5886</v>
      </c>
      <c r="S120" s="3272">
        <v>58.69</v>
      </c>
      <c r="T120" s="3273">
        <v>586900</v>
      </c>
      <c r="U120" s="3267">
        <v>6061</v>
      </c>
      <c r="V120" s="3289">
        <v>0.05</v>
      </c>
      <c r="W120" s="3272">
        <v>55.75</v>
      </c>
      <c r="X120" s="3273">
        <v>557500</v>
      </c>
      <c r="Y120" s="3276">
        <v>2006</v>
      </c>
      <c r="Z120" s="3276">
        <v>4</v>
      </c>
      <c r="AA120" s="3276">
        <v>3</v>
      </c>
      <c r="AB120" s="3267">
        <v>1500</v>
      </c>
      <c r="AC120" s="3267" t="s">
        <v>3227</v>
      </c>
      <c r="AD120" s="3267"/>
      <c r="AE120" s="3314" t="s">
        <v>3069</v>
      </c>
      <c r="AF120" s="3267" t="s">
        <v>2966</v>
      </c>
      <c r="AG120" s="3267" t="s">
        <v>2967</v>
      </c>
      <c r="AH120" s="3267"/>
      <c r="AI120" s="3267" t="s">
        <v>3115</v>
      </c>
      <c r="AJ120" s="3284"/>
      <c r="AK120" s="3267" t="s">
        <v>2994</v>
      </c>
      <c r="AL120" s="3276">
        <v>82253558</v>
      </c>
      <c r="AM120" s="3276"/>
      <c r="AN120" s="3279" t="s">
        <v>3131</v>
      </c>
      <c r="AO120" s="3276" t="s">
        <v>4096</v>
      </c>
      <c r="AP120" s="3267" t="s">
        <v>3180</v>
      </c>
      <c r="AQ120" s="3279" t="s">
        <v>3113</v>
      </c>
      <c r="AR120" s="3267"/>
      <c r="AS120" s="3267"/>
      <c r="AT120" s="3267"/>
      <c r="AU120" s="3267"/>
      <c r="AV120" s="3277"/>
      <c r="AW120" s="3267" t="s">
        <v>2997</v>
      </c>
      <c r="AX120" s="3267" t="s">
        <v>2968</v>
      </c>
      <c r="AY120" s="3351"/>
      <c r="AZ120" s="3267" t="s">
        <v>4095</v>
      </c>
      <c r="BA120" s="3267"/>
      <c r="BB120" s="3267"/>
      <c r="BC120" s="3267"/>
      <c r="BD120" s="3267"/>
      <c r="BE120" s="3267">
        <v>13601329970</v>
      </c>
      <c r="BF120" s="3300" t="s">
        <v>2968</v>
      </c>
      <c r="BG120" s="3284">
        <v>38801</v>
      </c>
      <c r="BH120" s="3267"/>
      <c r="BI120" s="3276" t="s">
        <v>3295</v>
      </c>
      <c r="BJ120" s="3299">
        <v>38805</v>
      </c>
      <c r="BK120" s="3284" t="s">
        <v>2968</v>
      </c>
      <c r="BL120" s="3267" t="s">
        <v>2998</v>
      </c>
      <c r="BM120" s="3267"/>
      <c r="BN120" s="3267"/>
      <c r="BO120" s="3267"/>
      <c r="BP120" s="3276"/>
      <c r="BQ120" s="3276" t="e">
        <v>#DIV/0!</v>
      </c>
      <c r="BR120" s="3276" t="e">
        <v>#DIV/0!</v>
      </c>
      <c r="BS120" s="3285"/>
      <c r="BT120" s="3285"/>
      <c r="BU120" s="3285"/>
    </row>
    <row r="121" spans="1:243">
      <c r="A121" s="3267" t="s">
        <v>4097</v>
      </c>
      <c r="B121" s="3267" t="s">
        <v>4098</v>
      </c>
      <c r="C121" s="3269" t="s">
        <v>4099</v>
      </c>
      <c r="D121" s="3267">
        <v>87006332</v>
      </c>
      <c r="E121" s="3267" t="s">
        <v>2985</v>
      </c>
      <c r="F121" s="3267" t="s">
        <v>4100</v>
      </c>
      <c r="G121" s="3267"/>
      <c r="H121" s="3267" t="s">
        <v>3194</v>
      </c>
      <c r="I121" s="3267"/>
      <c r="J121" s="3267" t="s">
        <v>3226</v>
      </c>
      <c r="K121" s="3267" t="s">
        <v>4101</v>
      </c>
      <c r="L121" s="3267">
        <v>77.09</v>
      </c>
      <c r="M121" s="3267">
        <v>14</v>
      </c>
      <c r="N121" s="3267" t="s">
        <v>3098</v>
      </c>
      <c r="O121" s="3267">
        <v>64.02</v>
      </c>
      <c r="P121" s="3267" t="s">
        <v>2963</v>
      </c>
      <c r="Q121" s="3267">
        <v>420000</v>
      </c>
      <c r="R121" s="3288">
        <v>5448</v>
      </c>
      <c r="S121" s="3272">
        <v>37.590000000000003</v>
      </c>
      <c r="T121" s="3273">
        <v>375900.00000000006</v>
      </c>
      <c r="U121" s="3267">
        <v>4877</v>
      </c>
      <c r="V121" s="3289">
        <v>0.05</v>
      </c>
      <c r="W121" s="3272">
        <v>35.71</v>
      </c>
      <c r="X121" s="3273">
        <v>357100</v>
      </c>
      <c r="Y121" s="3267">
        <v>2006</v>
      </c>
      <c r="Z121" s="3267">
        <v>6</v>
      </c>
      <c r="AA121" s="3267">
        <v>1</v>
      </c>
      <c r="AB121" s="3276">
        <v>1125</v>
      </c>
      <c r="AC121" s="3267" t="s">
        <v>3227</v>
      </c>
      <c r="AD121" s="3267"/>
      <c r="AE121" s="3267" t="s">
        <v>3344</v>
      </c>
      <c r="AF121" s="3267" t="s">
        <v>2966</v>
      </c>
      <c r="AG121" s="3267" t="s">
        <v>2967</v>
      </c>
      <c r="AH121" s="3267"/>
      <c r="AI121" s="3267" t="s">
        <v>3115</v>
      </c>
      <c r="AJ121" s="3290"/>
      <c r="AK121" s="3278">
        <v>6</v>
      </c>
      <c r="AL121" s="3267">
        <v>82253558</v>
      </c>
      <c r="AM121" s="3267"/>
      <c r="AN121" s="3267" t="s">
        <v>3131</v>
      </c>
      <c r="AO121" s="3267"/>
      <c r="AP121" s="3267" t="s">
        <v>3180</v>
      </c>
      <c r="AQ121" s="3267" t="s">
        <v>3113</v>
      </c>
      <c r="AR121" s="3267"/>
      <c r="AS121" s="3267"/>
      <c r="AT121" s="3267"/>
      <c r="AU121" s="3267"/>
      <c r="AV121" s="3267"/>
      <c r="AW121" s="3267" t="s">
        <v>2997</v>
      </c>
      <c r="AX121" s="3267"/>
      <c r="AY121" s="3267"/>
      <c r="AZ121" s="3267" t="s">
        <v>4101</v>
      </c>
      <c r="BA121" s="3267"/>
      <c r="BB121" s="3267"/>
      <c r="BC121" s="3267"/>
      <c r="BD121" s="3267"/>
      <c r="BE121" s="3267">
        <v>13681046812</v>
      </c>
      <c r="BF121" s="3267"/>
      <c r="BG121" s="3307">
        <v>38804</v>
      </c>
      <c r="BH121" s="3267"/>
      <c r="BI121" s="3267" t="s">
        <v>3295</v>
      </c>
      <c r="BJ121" s="3299">
        <v>38804</v>
      </c>
      <c r="BK121" s="3267"/>
      <c r="BL121" s="3267" t="s">
        <v>2998</v>
      </c>
      <c r="BM121" s="3267" t="s">
        <v>2879</v>
      </c>
      <c r="BN121" s="3267" t="s">
        <v>2999</v>
      </c>
      <c r="BO121" s="3267" t="s">
        <v>3146</v>
      </c>
      <c r="BP121" s="3267"/>
      <c r="BQ121" s="3276">
        <v>5873</v>
      </c>
      <c r="BR121" s="3276">
        <v>6560</v>
      </c>
      <c r="BS121" s="3285"/>
      <c r="BT121" s="3285"/>
      <c r="BU121" s="3285"/>
    </row>
    <row r="122" spans="1:243">
      <c r="A122" s="3267" t="s">
        <v>4102</v>
      </c>
      <c r="B122" s="3267" t="s">
        <v>4103</v>
      </c>
      <c r="C122" s="3269" t="s">
        <v>4104</v>
      </c>
      <c r="D122" s="3267">
        <v>13121849763</v>
      </c>
      <c r="E122" s="3267" t="s">
        <v>2985</v>
      </c>
      <c r="F122" s="3267" t="s">
        <v>4105</v>
      </c>
      <c r="G122" s="3267"/>
      <c r="H122" s="3268" t="s">
        <v>3150</v>
      </c>
      <c r="I122" s="3268" t="s">
        <v>3608</v>
      </c>
      <c r="J122" s="3268" t="s">
        <v>3165</v>
      </c>
      <c r="K122" s="3267" t="s">
        <v>4106</v>
      </c>
      <c r="L122" s="3270">
        <v>61.11</v>
      </c>
      <c r="M122" s="3270">
        <v>6</v>
      </c>
      <c r="N122" s="3267" t="s">
        <v>3122</v>
      </c>
      <c r="O122" s="3270"/>
      <c r="P122" s="3267" t="s">
        <v>2963</v>
      </c>
      <c r="Q122" s="3271">
        <v>430000</v>
      </c>
      <c r="R122" s="3267">
        <v>7036</v>
      </c>
      <c r="S122" s="3272">
        <v>37.76</v>
      </c>
      <c r="T122" s="3273">
        <v>377600</v>
      </c>
      <c r="U122" s="3267">
        <v>6180</v>
      </c>
      <c r="V122" s="3289">
        <v>0.05</v>
      </c>
      <c r="W122" s="3272">
        <v>35.869999999999997</v>
      </c>
      <c r="X122" s="3273">
        <v>358700</v>
      </c>
      <c r="Y122" s="3276">
        <v>2006</v>
      </c>
      <c r="Z122" s="3276">
        <v>4</v>
      </c>
      <c r="AA122" s="3276">
        <v>5</v>
      </c>
      <c r="AB122" s="3267">
        <v>1130</v>
      </c>
      <c r="AC122" s="3267" t="s">
        <v>3227</v>
      </c>
      <c r="AD122" s="3267"/>
      <c r="AE122" s="3314" t="s">
        <v>3295</v>
      </c>
      <c r="AF122" s="3267" t="s">
        <v>2966</v>
      </c>
      <c r="AG122" s="3267" t="s">
        <v>2967</v>
      </c>
      <c r="AH122" s="3267"/>
      <c r="AI122" s="3267" t="s">
        <v>3115</v>
      </c>
      <c r="AJ122" s="3284"/>
      <c r="AK122" s="3267" t="s">
        <v>2994</v>
      </c>
      <c r="AL122" s="3276">
        <v>82253558</v>
      </c>
      <c r="AM122" s="3276"/>
      <c r="AN122" s="3279" t="s">
        <v>3131</v>
      </c>
      <c r="AO122" s="3276" t="s">
        <v>4107</v>
      </c>
      <c r="AP122" s="3267" t="s">
        <v>3180</v>
      </c>
      <c r="AQ122" s="3279" t="s">
        <v>3113</v>
      </c>
      <c r="AR122" s="3267"/>
      <c r="AS122" s="3267"/>
      <c r="AT122" s="3267"/>
      <c r="AU122" s="3267"/>
      <c r="AV122" s="3277"/>
      <c r="AW122" s="3267" t="s">
        <v>2997</v>
      </c>
      <c r="AX122" s="3267" t="s">
        <v>2968</v>
      </c>
      <c r="AY122" s="3351"/>
      <c r="AZ122" s="3267" t="s">
        <v>4106</v>
      </c>
      <c r="BA122" s="3267"/>
      <c r="BB122" s="3267"/>
      <c r="BC122" s="3267"/>
      <c r="BD122" s="3267"/>
      <c r="BE122" s="3267">
        <v>67523428</v>
      </c>
      <c r="BF122" s="3300" t="s">
        <v>2968</v>
      </c>
      <c r="BG122" s="3284">
        <v>38790</v>
      </c>
      <c r="BH122" s="3267"/>
      <c r="BI122" s="3276" t="s">
        <v>3295</v>
      </c>
      <c r="BJ122" s="3299">
        <v>38807</v>
      </c>
      <c r="BK122" s="3284" t="s">
        <v>2968</v>
      </c>
      <c r="BL122" s="3267" t="s">
        <v>2998</v>
      </c>
      <c r="BM122" s="3276" t="s">
        <v>2879</v>
      </c>
      <c r="BN122" s="3276" t="s">
        <v>3111</v>
      </c>
      <c r="BO122" s="3267" t="s">
        <v>3000</v>
      </c>
      <c r="BP122" s="3276"/>
      <c r="BQ122" s="3276" t="e">
        <v>#DIV/0!</v>
      </c>
      <c r="BR122" s="3276" t="e">
        <v>#DIV/0!</v>
      </c>
      <c r="BS122" s="3285"/>
      <c r="BT122" s="3285"/>
      <c r="BU122" s="3285"/>
    </row>
    <row r="123" spans="1:243" hidden="1">
      <c r="A123" s="3267" t="s">
        <v>4108</v>
      </c>
      <c r="B123" s="3268" t="s">
        <v>4109</v>
      </c>
      <c r="C123" s="3269" t="s">
        <v>4110</v>
      </c>
      <c r="D123" s="3268" t="s">
        <v>4111</v>
      </c>
      <c r="E123" s="3267" t="s">
        <v>2985</v>
      </c>
      <c r="F123" s="3268" t="s">
        <v>3884</v>
      </c>
      <c r="G123" s="3268"/>
      <c r="H123" s="3268" t="s">
        <v>3225</v>
      </c>
      <c r="I123" s="3268" t="s">
        <v>3318</v>
      </c>
      <c r="J123" s="3268">
        <v>101</v>
      </c>
      <c r="K123" s="3268" t="s">
        <v>4109</v>
      </c>
      <c r="L123" s="3270">
        <v>103.54</v>
      </c>
      <c r="M123" s="3270">
        <v>1</v>
      </c>
      <c r="N123" s="3268" t="s">
        <v>3125</v>
      </c>
      <c r="O123" s="3270">
        <v>92.22</v>
      </c>
      <c r="P123" s="3267" t="s">
        <v>2963</v>
      </c>
      <c r="Q123" s="3271">
        <v>637952</v>
      </c>
      <c r="R123" s="3267">
        <v>6161</v>
      </c>
      <c r="S123" s="3272">
        <v>65.430000000000007</v>
      </c>
      <c r="T123" s="3273">
        <v>654300</v>
      </c>
      <c r="U123" s="3267">
        <v>6320</v>
      </c>
      <c r="V123" s="3274">
        <v>0.05</v>
      </c>
      <c r="W123" s="3272">
        <v>62.15</v>
      </c>
      <c r="X123" s="3275">
        <v>621500</v>
      </c>
      <c r="Y123" s="3276">
        <v>2006</v>
      </c>
      <c r="Z123" s="3276">
        <v>5</v>
      </c>
      <c r="AA123" s="3276">
        <v>16</v>
      </c>
      <c r="AB123" s="3267">
        <v>1500</v>
      </c>
      <c r="AC123" s="3267" t="s">
        <v>3227</v>
      </c>
      <c r="AD123" s="3268"/>
      <c r="AE123" s="3267" t="s">
        <v>3344</v>
      </c>
      <c r="AF123" s="3268" t="s">
        <v>2966</v>
      </c>
      <c r="AG123" s="3268" t="s">
        <v>2967</v>
      </c>
      <c r="AH123" s="3268"/>
      <c r="AI123" s="3279" t="s">
        <v>3176</v>
      </c>
      <c r="AJ123" s="3290"/>
      <c r="AK123" s="3278" t="s">
        <v>3099</v>
      </c>
      <c r="AL123" s="3267">
        <v>82253558</v>
      </c>
      <c r="AM123" s="3276"/>
      <c r="AN123" s="3276" t="s">
        <v>3131</v>
      </c>
      <c r="AO123" s="3276" t="s">
        <v>4112</v>
      </c>
      <c r="AP123" s="3267" t="s">
        <v>3180</v>
      </c>
      <c r="AQ123" s="3267" t="s">
        <v>3228</v>
      </c>
      <c r="AR123" s="3267"/>
      <c r="AS123" s="3267"/>
      <c r="AT123" s="3267"/>
      <c r="AU123" s="3267"/>
      <c r="AV123" s="3277"/>
      <c r="AW123" s="3306" t="s">
        <v>2997</v>
      </c>
      <c r="AX123" s="3268"/>
      <c r="AY123" s="3268"/>
      <c r="AZ123" s="3268" t="s">
        <v>4113</v>
      </c>
      <c r="BA123" s="3268"/>
      <c r="BB123" s="3280"/>
      <c r="BC123" s="3268"/>
      <c r="BD123" s="3268"/>
      <c r="BE123" s="3268">
        <v>84495396</v>
      </c>
      <c r="BF123" s="3281"/>
      <c r="BG123" s="3307">
        <v>38806</v>
      </c>
      <c r="BH123" s="3268"/>
      <c r="BI123" s="3314" t="s">
        <v>3344</v>
      </c>
      <c r="BJ123" s="3299">
        <v>38807</v>
      </c>
      <c r="BK123" s="3284"/>
      <c r="BL123" s="3267" t="s">
        <v>2998</v>
      </c>
      <c r="BM123" s="3267" t="s">
        <v>2879</v>
      </c>
      <c r="BN123" s="3276" t="s">
        <v>2999</v>
      </c>
      <c r="BO123" s="3267" t="s">
        <v>3146</v>
      </c>
      <c r="BP123" s="3276"/>
      <c r="BQ123" s="3276">
        <v>7095</v>
      </c>
      <c r="BR123" s="3276">
        <v>6918</v>
      </c>
      <c r="BS123" s="3285"/>
      <c r="BT123" s="3285"/>
      <c r="BU123" s="3285"/>
    </row>
    <row r="124" spans="1:243" hidden="1">
      <c r="A124" s="3267" t="s">
        <v>4114</v>
      </c>
      <c r="B124" s="3267" t="s">
        <v>4115</v>
      </c>
      <c r="C124" s="3269" t="s">
        <v>4116</v>
      </c>
      <c r="D124" s="3267">
        <v>13391665453</v>
      </c>
      <c r="E124" s="3267" t="s">
        <v>2985</v>
      </c>
      <c r="F124" s="3267" t="s">
        <v>3719</v>
      </c>
      <c r="G124" s="3267"/>
      <c r="H124" s="3268" t="s">
        <v>4117</v>
      </c>
      <c r="I124" s="3268"/>
      <c r="J124" s="3268" t="s">
        <v>3528</v>
      </c>
      <c r="K124" s="3267" t="s">
        <v>4118</v>
      </c>
      <c r="L124" s="3270">
        <v>90.77</v>
      </c>
      <c r="M124" s="3270">
        <v>6</v>
      </c>
      <c r="N124" s="3267" t="s">
        <v>3122</v>
      </c>
      <c r="O124" s="3270"/>
      <c r="P124" s="3267" t="s">
        <v>2963</v>
      </c>
      <c r="Q124" s="3271">
        <v>595000</v>
      </c>
      <c r="R124" s="3267">
        <v>6555</v>
      </c>
      <c r="S124" s="3272">
        <v>51.37</v>
      </c>
      <c r="T124" s="3273">
        <v>513700</v>
      </c>
      <c r="U124" s="3267">
        <v>5660</v>
      </c>
      <c r="V124" s="3289">
        <v>0.05</v>
      </c>
      <c r="W124" s="3272">
        <v>48.8</v>
      </c>
      <c r="X124" s="3273">
        <v>488000</v>
      </c>
      <c r="Y124" s="3276">
        <v>2006</v>
      </c>
      <c r="Z124" s="3276">
        <v>4</v>
      </c>
      <c r="AA124" s="3276">
        <v>6</v>
      </c>
      <c r="AB124" s="3267">
        <v>1500</v>
      </c>
      <c r="AC124" s="3267" t="s">
        <v>3227</v>
      </c>
      <c r="AD124" s="3267"/>
      <c r="AE124" s="3314" t="s">
        <v>3245</v>
      </c>
      <c r="AF124" s="3267" t="s">
        <v>2966</v>
      </c>
      <c r="AG124" s="3267" t="s">
        <v>2967</v>
      </c>
      <c r="AH124" s="3267"/>
      <c r="AI124" s="3267" t="s">
        <v>3115</v>
      </c>
      <c r="AJ124" s="3284"/>
      <c r="AK124" s="3267" t="s">
        <v>2994</v>
      </c>
      <c r="AL124" s="3276">
        <v>82253558</v>
      </c>
      <c r="AM124" s="3276"/>
      <c r="AN124" s="3279" t="s">
        <v>3131</v>
      </c>
      <c r="AO124" s="3276"/>
      <c r="AP124" s="3267" t="s">
        <v>3180</v>
      </c>
      <c r="AQ124" s="3279" t="s">
        <v>3113</v>
      </c>
      <c r="AR124" s="3267"/>
      <c r="AS124" s="3267"/>
      <c r="AT124" s="3267"/>
      <c r="AU124" s="3267"/>
      <c r="AV124" s="3277"/>
      <c r="AW124" s="3267" t="s">
        <v>2997</v>
      </c>
      <c r="AX124" s="3267" t="s">
        <v>2968</v>
      </c>
      <c r="AY124" s="3351"/>
      <c r="AZ124" s="3267" t="s">
        <v>4118</v>
      </c>
      <c r="BA124" s="3267"/>
      <c r="BB124" s="3267"/>
      <c r="BC124" s="3267"/>
      <c r="BD124" s="3267"/>
      <c r="BE124" s="3267">
        <v>64772359</v>
      </c>
      <c r="BF124" s="3300" t="s">
        <v>2968</v>
      </c>
      <c r="BG124" s="3284">
        <v>38806</v>
      </c>
      <c r="BH124" s="3267"/>
      <c r="BI124" s="3276" t="s">
        <v>3295</v>
      </c>
      <c r="BJ124" s="3299">
        <v>38807</v>
      </c>
      <c r="BK124" s="3284" t="s">
        <v>2968</v>
      </c>
      <c r="BL124" s="3267" t="s">
        <v>2998</v>
      </c>
      <c r="BM124" s="3276" t="s">
        <v>2879</v>
      </c>
      <c r="BN124" s="3276" t="s">
        <v>3111</v>
      </c>
      <c r="BO124" s="3267" t="s">
        <v>3000</v>
      </c>
      <c r="BP124" s="3276"/>
      <c r="BQ124" s="3276" t="e">
        <v>#DIV/0!</v>
      </c>
      <c r="BR124" s="3276" t="e">
        <v>#DIV/0!</v>
      </c>
      <c r="BS124" s="3285"/>
      <c r="BT124" s="3285"/>
      <c r="BU124" s="3285"/>
    </row>
    <row r="125" spans="1:243" hidden="1">
      <c r="A125" s="3267" t="s">
        <v>4119</v>
      </c>
      <c r="B125" s="3268" t="s">
        <v>4120</v>
      </c>
      <c r="C125" s="3269" t="s">
        <v>4121</v>
      </c>
      <c r="D125" s="3268">
        <v>13911688083</v>
      </c>
      <c r="E125" s="3267" t="s">
        <v>2985</v>
      </c>
      <c r="F125" s="3268" t="s">
        <v>4122</v>
      </c>
      <c r="G125" s="3268"/>
      <c r="H125" s="3268" t="s">
        <v>3169</v>
      </c>
      <c r="I125" s="3268" t="s">
        <v>3254</v>
      </c>
      <c r="J125" s="3268">
        <v>201</v>
      </c>
      <c r="K125" s="3268" t="s">
        <v>4123</v>
      </c>
      <c r="L125" s="3270">
        <v>79.540000000000006</v>
      </c>
      <c r="M125" s="3270">
        <v>1</v>
      </c>
      <c r="N125" s="3268" t="s">
        <v>4124</v>
      </c>
      <c r="O125" s="3270"/>
      <c r="P125" s="3267" t="s">
        <v>2963</v>
      </c>
      <c r="Q125" s="3271">
        <v>600000</v>
      </c>
      <c r="R125" s="3267">
        <v>7543</v>
      </c>
      <c r="S125" s="3272">
        <v>46.18</v>
      </c>
      <c r="T125" s="3273">
        <v>461800</v>
      </c>
      <c r="U125" s="3267">
        <v>5807</v>
      </c>
      <c r="V125" s="3274">
        <v>0.2</v>
      </c>
      <c r="W125" s="3272">
        <v>36.94</v>
      </c>
      <c r="X125" s="3275">
        <v>369400</v>
      </c>
      <c r="Y125" s="3276">
        <v>2006</v>
      </c>
      <c r="Z125" s="3276">
        <v>3</v>
      </c>
      <c r="AA125" s="3276">
        <v>31</v>
      </c>
      <c r="AB125" s="3267">
        <v>1385</v>
      </c>
      <c r="AC125" s="3267" t="s">
        <v>3110</v>
      </c>
      <c r="AD125" s="3268"/>
      <c r="AE125" s="3267" t="s">
        <v>3344</v>
      </c>
      <c r="AF125" s="3268" t="s">
        <v>2966</v>
      </c>
      <c r="AG125" s="3268" t="s">
        <v>2967</v>
      </c>
      <c r="AH125" s="3268"/>
      <c r="AI125" s="3279" t="s">
        <v>3176</v>
      </c>
      <c r="AJ125" s="3290"/>
      <c r="AK125" s="3278" t="s">
        <v>3114</v>
      </c>
      <c r="AL125" s="3267">
        <v>82253558</v>
      </c>
      <c r="AM125" s="3276"/>
      <c r="AN125" s="3276" t="s">
        <v>3099</v>
      </c>
      <c r="AO125" s="3276"/>
      <c r="AP125" s="3267" t="s">
        <v>3180</v>
      </c>
      <c r="AQ125" s="3276" t="s">
        <v>3113</v>
      </c>
      <c r="AR125" s="3267"/>
      <c r="AS125" s="3267"/>
      <c r="AT125" s="3267"/>
      <c r="AU125" s="3267"/>
      <c r="AV125" s="3277"/>
      <c r="AW125" s="3306" t="s">
        <v>2997</v>
      </c>
      <c r="AX125" s="3268"/>
      <c r="AY125" s="3268"/>
      <c r="AZ125" s="3268" t="s">
        <v>4123</v>
      </c>
      <c r="BA125" s="3268"/>
      <c r="BB125" s="3280"/>
      <c r="BC125" s="3268"/>
      <c r="BD125" s="3268"/>
      <c r="BE125" s="3268">
        <v>83744569</v>
      </c>
      <c r="BF125" s="3281"/>
      <c r="BG125" s="3307">
        <v>38801</v>
      </c>
      <c r="BH125" s="3268"/>
      <c r="BI125" s="3314" t="s">
        <v>3344</v>
      </c>
      <c r="BJ125" s="3299"/>
      <c r="BK125" s="3284"/>
      <c r="BL125" s="3267" t="s">
        <v>2998</v>
      </c>
      <c r="BM125" s="3267" t="s">
        <v>2879</v>
      </c>
      <c r="BN125" s="3276" t="s">
        <v>2999</v>
      </c>
      <c r="BO125" s="3267" t="s">
        <v>3146</v>
      </c>
      <c r="BP125" s="3276"/>
      <c r="BQ125" s="3276" t="e">
        <v>#DIV/0!</v>
      </c>
      <c r="BR125" s="3276" t="e">
        <v>#DIV/0!</v>
      </c>
      <c r="BS125" s="3285"/>
      <c r="BT125" s="3285"/>
      <c r="BU125" s="3285"/>
    </row>
    <row r="126" spans="1:243" hidden="1">
      <c r="A126" s="3267" t="s">
        <v>4125</v>
      </c>
      <c r="B126" s="3267" t="s">
        <v>4126</v>
      </c>
      <c r="C126" s="3269" t="s">
        <v>4127</v>
      </c>
      <c r="D126" s="3269" t="s">
        <v>4128</v>
      </c>
      <c r="E126" s="3267" t="s">
        <v>2985</v>
      </c>
      <c r="F126" s="3308" t="s">
        <v>4129</v>
      </c>
      <c r="G126" s="3267"/>
      <c r="H126" s="3268" t="s">
        <v>3244</v>
      </c>
      <c r="I126" s="3268" t="s">
        <v>3586</v>
      </c>
      <c r="J126" s="3269" t="s">
        <v>3713</v>
      </c>
      <c r="K126" s="3267" t="s">
        <v>4130</v>
      </c>
      <c r="L126" s="3267">
        <v>64</v>
      </c>
      <c r="M126" s="3267">
        <v>2</v>
      </c>
      <c r="N126" s="3267" t="s">
        <v>3152</v>
      </c>
      <c r="O126" s="3267"/>
      <c r="P126" s="3267" t="s">
        <v>2963</v>
      </c>
      <c r="Q126" s="3271">
        <v>340000</v>
      </c>
      <c r="R126" s="3267">
        <v>5313</v>
      </c>
      <c r="S126" s="3272">
        <v>27.32</v>
      </c>
      <c r="T126" s="3273">
        <v>273200</v>
      </c>
      <c r="U126" s="3267">
        <v>4270</v>
      </c>
      <c r="V126" s="3289">
        <v>0.05</v>
      </c>
      <c r="W126" s="3272">
        <v>25.95</v>
      </c>
      <c r="X126" s="3275">
        <v>259500</v>
      </c>
      <c r="Y126" s="3276">
        <v>2006</v>
      </c>
      <c r="Z126" s="3276">
        <v>4</v>
      </c>
      <c r="AA126" s="3276">
        <v>6</v>
      </c>
      <c r="AB126" s="3267">
        <v>815</v>
      </c>
      <c r="AC126" s="3267" t="s">
        <v>3227</v>
      </c>
      <c r="AD126" s="3267"/>
      <c r="AE126" s="3276" t="s">
        <v>3180</v>
      </c>
      <c r="AF126" s="3267" t="s">
        <v>2966</v>
      </c>
      <c r="AG126" s="3279" t="s">
        <v>2967</v>
      </c>
      <c r="AH126" s="3267" t="s">
        <v>2968</v>
      </c>
      <c r="AI126" s="3267" t="s">
        <v>3115</v>
      </c>
      <c r="AJ126" s="3284" t="s">
        <v>2968</v>
      </c>
      <c r="AK126" s="3278">
        <v>4</v>
      </c>
      <c r="AL126" s="3276">
        <v>82253558</v>
      </c>
      <c r="AM126" s="3276"/>
      <c r="AN126" s="3279" t="s">
        <v>3131</v>
      </c>
      <c r="AO126" s="3276"/>
      <c r="AP126" s="3279" t="s">
        <v>3180</v>
      </c>
      <c r="AQ126" s="3276" t="s">
        <v>3113</v>
      </c>
      <c r="AR126" s="3276"/>
      <c r="AS126" s="3276"/>
      <c r="AT126" s="3276"/>
      <c r="AU126" s="3276"/>
      <c r="AV126" s="3276"/>
      <c r="AW126" s="3276" t="s">
        <v>4131</v>
      </c>
      <c r="AX126" s="3276"/>
      <c r="AY126" s="3291"/>
      <c r="AZ126" s="3276" t="s">
        <v>4130</v>
      </c>
      <c r="BA126" s="3276"/>
      <c r="BB126" s="3291"/>
      <c r="BC126" s="3276"/>
      <c r="BD126" s="3292"/>
      <c r="BE126" s="3276"/>
      <c r="BF126" s="3281"/>
      <c r="BG126" s="3299">
        <v>38798</v>
      </c>
      <c r="BH126" s="3276"/>
      <c r="BI126" s="3314" t="s">
        <v>3180</v>
      </c>
      <c r="BJ126" s="3299">
        <v>38807</v>
      </c>
      <c r="BK126" s="3299"/>
      <c r="BL126" s="3267" t="s">
        <v>2998</v>
      </c>
      <c r="BM126" s="3276" t="s">
        <v>2879</v>
      </c>
      <c r="BN126" s="3276" t="s">
        <v>2999</v>
      </c>
      <c r="BO126" s="3276" t="s">
        <v>3146</v>
      </c>
      <c r="BP126" s="3276"/>
      <c r="BQ126" s="3276" t="e">
        <v>#DIV/0!</v>
      </c>
      <c r="BR126" s="3276" t="e">
        <v>#DIV/0!</v>
      </c>
      <c r="BS126" s="3285"/>
      <c r="BT126" s="3285"/>
      <c r="BU126" s="3285"/>
    </row>
    <row r="127" spans="1:243" hidden="1">
      <c r="A127" s="3267" t="s">
        <v>4132</v>
      </c>
      <c r="B127" s="3267" t="s">
        <v>4133</v>
      </c>
      <c r="C127" s="3269" t="s">
        <v>4134</v>
      </c>
      <c r="D127" s="3267">
        <v>13001282562</v>
      </c>
      <c r="E127" s="3267" t="s">
        <v>2985</v>
      </c>
      <c r="F127" s="3267" t="s">
        <v>4135</v>
      </c>
      <c r="G127" s="3267"/>
      <c r="H127" s="3267" t="s">
        <v>3310</v>
      </c>
      <c r="I127" s="3267"/>
      <c r="J127" s="3267" t="s">
        <v>4136</v>
      </c>
      <c r="K127" s="3267" t="s">
        <v>4137</v>
      </c>
      <c r="L127" s="3267">
        <v>118.49</v>
      </c>
      <c r="M127" s="3267">
        <v>10</v>
      </c>
      <c r="N127" s="3267" t="s">
        <v>3116</v>
      </c>
      <c r="O127" s="3267"/>
      <c r="P127" s="3267" t="s">
        <v>2963</v>
      </c>
      <c r="Q127" s="3267">
        <v>361394</v>
      </c>
      <c r="R127" s="3288">
        <v>3050</v>
      </c>
      <c r="S127" s="3272">
        <v>63.98</v>
      </c>
      <c r="T127" s="3273">
        <v>639800</v>
      </c>
      <c r="U127" s="3267">
        <v>5400</v>
      </c>
      <c r="V127" s="3289">
        <v>0.05</v>
      </c>
      <c r="W127" s="3272">
        <v>60.78</v>
      </c>
      <c r="X127" s="3273">
        <v>607800</v>
      </c>
      <c r="Y127" s="3267">
        <v>2006</v>
      </c>
      <c r="Z127" s="3267">
        <v>4</v>
      </c>
      <c r="AA127" s="3267">
        <v>10</v>
      </c>
      <c r="AB127" s="3267">
        <v>1500</v>
      </c>
      <c r="AC127" s="3267" t="s">
        <v>3227</v>
      </c>
      <c r="AD127" s="3267"/>
      <c r="AE127" s="3267" t="s">
        <v>3180</v>
      </c>
      <c r="AF127" s="3267" t="s">
        <v>2966</v>
      </c>
      <c r="AG127" s="3267" t="s">
        <v>2967</v>
      </c>
      <c r="AH127" s="3267"/>
      <c r="AI127" s="3267" t="s">
        <v>3239</v>
      </c>
      <c r="AJ127" s="3267"/>
      <c r="AK127" s="3267" t="s">
        <v>2994</v>
      </c>
      <c r="AL127" s="3267">
        <v>82253558</v>
      </c>
      <c r="AM127" s="3267"/>
      <c r="AN127" s="3267" t="s">
        <v>3140</v>
      </c>
      <c r="AO127" s="3267"/>
      <c r="AP127" s="3267" t="s">
        <v>3180</v>
      </c>
      <c r="AQ127" s="3267" t="s">
        <v>3113</v>
      </c>
      <c r="AR127" s="3267"/>
      <c r="AS127" s="3267"/>
      <c r="AT127" s="3267"/>
      <c r="AU127" s="3267"/>
      <c r="AV127" s="3267"/>
      <c r="AW127" s="3267" t="s">
        <v>3119</v>
      </c>
      <c r="AX127" s="3267"/>
      <c r="AY127" s="3267"/>
      <c r="AZ127" s="3267" t="s">
        <v>4137</v>
      </c>
      <c r="BA127" s="3267"/>
      <c r="BB127" s="3267"/>
      <c r="BC127" s="3267"/>
      <c r="BD127" s="3267"/>
      <c r="BE127" s="3267"/>
      <c r="BF127" s="3267"/>
      <c r="BG127" s="3284">
        <v>38803</v>
      </c>
      <c r="BH127" s="3267"/>
      <c r="BI127" s="3267" t="s">
        <v>3180</v>
      </c>
      <c r="BJ127" s="3284">
        <v>38807</v>
      </c>
      <c r="BK127" s="3267"/>
      <c r="BL127" s="3267" t="s">
        <v>2998</v>
      </c>
      <c r="BM127" s="3267" t="s">
        <v>4138</v>
      </c>
      <c r="BN127" s="3267" t="s">
        <v>2999</v>
      </c>
      <c r="BO127" s="3267" t="s">
        <v>3146</v>
      </c>
      <c r="BP127" s="3267"/>
      <c r="BQ127" s="3276" t="e">
        <v>#DIV/0!</v>
      </c>
      <c r="BR127" s="3276" t="e">
        <v>#DIV/0!</v>
      </c>
      <c r="BS127" s="3285"/>
      <c r="BT127" s="3285"/>
      <c r="BU127" s="3285"/>
    </row>
    <row r="128" spans="1:243" hidden="1">
      <c r="A128" s="3267" t="s">
        <v>4139</v>
      </c>
      <c r="B128" s="3267" t="s">
        <v>4140</v>
      </c>
      <c r="C128" s="3269" t="s">
        <v>4141</v>
      </c>
      <c r="D128" s="3269" t="s">
        <v>4142</v>
      </c>
      <c r="E128" s="3268" t="s">
        <v>2985</v>
      </c>
      <c r="F128" s="3268" t="s">
        <v>4143</v>
      </c>
      <c r="G128" s="3267"/>
      <c r="H128" s="3267" t="s">
        <v>3118</v>
      </c>
      <c r="I128" s="3268" t="s">
        <v>3436</v>
      </c>
      <c r="J128" s="3267" t="s">
        <v>4144</v>
      </c>
      <c r="K128" s="3267" t="s">
        <v>4145</v>
      </c>
      <c r="L128" s="3267">
        <v>64.03</v>
      </c>
      <c r="M128" s="3267">
        <v>7</v>
      </c>
      <c r="N128" s="3267" t="s">
        <v>3152</v>
      </c>
      <c r="O128" s="3267"/>
      <c r="P128" s="3268" t="s">
        <v>2963</v>
      </c>
      <c r="Q128" s="3271">
        <v>340000</v>
      </c>
      <c r="R128" s="3270">
        <v>5310</v>
      </c>
      <c r="S128" s="3272">
        <v>28.84</v>
      </c>
      <c r="T128" s="3273">
        <v>288400</v>
      </c>
      <c r="U128" s="3267">
        <v>4505</v>
      </c>
      <c r="V128" s="3289">
        <v>0.05</v>
      </c>
      <c r="W128" s="3272">
        <v>27.39</v>
      </c>
      <c r="X128" s="3275">
        <v>273900</v>
      </c>
      <c r="Y128" s="3276">
        <v>2006</v>
      </c>
      <c r="Z128" s="3276">
        <v>4</v>
      </c>
      <c r="AA128" s="3276">
        <v>13</v>
      </c>
      <c r="AB128" s="3267">
        <v>865</v>
      </c>
      <c r="AC128" s="3267" t="s">
        <v>3227</v>
      </c>
      <c r="AD128" s="3267"/>
      <c r="AE128" s="3267" t="s">
        <v>3176</v>
      </c>
      <c r="AF128" s="3268" t="s">
        <v>2966</v>
      </c>
      <c r="AG128" s="3279" t="s">
        <v>2967</v>
      </c>
      <c r="AH128" s="3267" t="s">
        <v>2968</v>
      </c>
      <c r="AI128" s="3268" t="s">
        <v>4146</v>
      </c>
      <c r="AJ128" s="3284"/>
      <c r="AK128" s="3267" t="s">
        <v>2994</v>
      </c>
      <c r="AL128" s="3267">
        <v>82253558</v>
      </c>
      <c r="AM128" s="3276"/>
      <c r="AN128" s="3267" t="s">
        <v>3140</v>
      </c>
      <c r="AO128" s="3276"/>
      <c r="AP128" s="3267" t="s">
        <v>3180</v>
      </c>
      <c r="AQ128" s="3276" t="s">
        <v>3113</v>
      </c>
      <c r="AR128" s="3276"/>
      <c r="AS128" s="3276"/>
      <c r="AT128" s="3276"/>
      <c r="AU128" s="3276"/>
      <c r="AV128" s="3276" t="s">
        <v>2968</v>
      </c>
      <c r="AW128" s="3276" t="s">
        <v>2997</v>
      </c>
      <c r="AX128" s="3276"/>
      <c r="AY128" s="3291"/>
      <c r="AZ128" s="3267" t="s">
        <v>4145</v>
      </c>
      <c r="BA128" s="3296"/>
      <c r="BB128" s="3297"/>
      <c r="BC128" s="3296"/>
      <c r="BD128" s="3298"/>
      <c r="BE128" s="3276">
        <v>13301197747</v>
      </c>
      <c r="BF128" s="3281"/>
      <c r="BG128" s="3293">
        <v>38806</v>
      </c>
      <c r="BH128" s="3267"/>
      <c r="BI128" s="3267" t="s">
        <v>3239</v>
      </c>
      <c r="BJ128" s="3293">
        <v>38806</v>
      </c>
      <c r="BK128" s="3283"/>
      <c r="BL128" s="3267" t="s">
        <v>2998</v>
      </c>
      <c r="BM128" s="3267" t="s">
        <v>3345</v>
      </c>
      <c r="BN128" s="3267" t="s">
        <v>3111</v>
      </c>
      <c r="BO128" s="3267" t="s">
        <v>3146</v>
      </c>
      <c r="BP128" s="3276"/>
      <c r="BQ128" s="3276" t="e">
        <v>#DIV/0!</v>
      </c>
      <c r="BR128" s="3276" t="e">
        <v>#DIV/0!</v>
      </c>
      <c r="BS128" s="3285"/>
      <c r="BT128" s="3285"/>
      <c r="BU128" s="3285"/>
    </row>
    <row r="129" spans="1:73" hidden="1">
      <c r="A129" s="3267" t="s">
        <v>4147</v>
      </c>
      <c r="B129" s="3267" t="s">
        <v>4148</v>
      </c>
      <c r="C129" s="3269" t="s">
        <v>4149</v>
      </c>
      <c r="D129" s="3269" t="s">
        <v>4150</v>
      </c>
      <c r="E129" s="3267" t="s">
        <v>2985</v>
      </c>
      <c r="F129" s="3352" t="s">
        <v>4151</v>
      </c>
      <c r="G129" s="3267"/>
      <c r="H129" s="3267" t="s">
        <v>4152</v>
      </c>
      <c r="I129" s="3268" t="s">
        <v>3436</v>
      </c>
      <c r="J129" s="3267" t="s">
        <v>3173</v>
      </c>
      <c r="K129" s="3267" t="s">
        <v>3186</v>
      </c>
      <c r="L129" s="3267">
        <v>55.99</v>
      </c>
      <c r="M129" s="3267">
        <v>2</v>
      </c>
      <c r="N129" s="3267" t="s">
        <v>3122</v>
      </c>
      <c r="O129" s="3267"/>
      <c r="P129" s="3267" t="s">
        <v>2963</v>
      </c>
      <c r="Q129" s="3271">
        <v>422000</v>
      </c>
      <c r="R129" s="3267">
        <v>7537</v>
      </c>
      <c r="S129" s="3272">
        <v>29.31</v>
      </c>
      <c r="T129" s="3273">
        <v>293100</v>
      </c>
      <c r="U129" s="3267">
        <v>5235</v>
      </c>
      <c r="V129" s="3289">
        <v>0.05</v>
      </c>
      <c r="W129" s="3272">
        <v>27.84</v>
      </c>
      <c r="X129" s="3275">
        <v>278400</v>
      </c>
      <c r="Y129" s="3276">
        <v>2006</v>
      </c>
      <c r="Z129" s="3276">
        <v>4</v>
      </c>
      <c r="AA129" s="3276">
        <v>5</v>
      </c>
      <c r="AB129" s="3267">
        <v>875</v>
      </c>
      <c r="AC129" s="3267" t="s">
        <v>3227</v>
      </c>
      <c r="AD129" s="3267"/>
      <c r="AE129" s="3267" t="s">
        <v>3176</v>
      </c>
      <c r="AF129" s="3267" t="s">
        <v>2966</v>
      </c>
      <c r="AG129" s="3267" t="s">
        <v>2967</v>
      </c>
      <c r="AH129" s="3267"/>
      <c r="AI129" s="3267" t="s">
        <v>3115</v>
      </c>
      <c r="AJ129" s="3284"/>
      <c r="AK129" s="3267" t="s">
        <v>2994</v>
      </c>
      <c r="AL129" s="3267">
        <v>82253558</v>
      </c>
      <c r="AM129" s="3276"/>
      <c r="AN129" s="3267" t="s">
        <v>3131</v>
      </c>
      <c r="AO129" s="3276" t="s">
        <v>4153</v>
      </c>
      <c r="AP129" s="3267" t="s">
        <v>3180</v>
      </c>
      <c r="AQ129" s="3276" t="s">
        <v>3113</v>
      </c>
      <c r="AR129" s="3276"/>
      <c r="AS129" s="3276"/>
      <c r="AT129" s="3276"/>
      <c r="AU129" s="3276"/>
      <c r="AV129" s="3276"/>
      <c r="AW129" s="3267" t="s">
        <v>3112</v>
      </c>
      <c r="AX129" s="3276"/>
      <c r="AY129" s="3291"/>
      <c r="AZ129" s="3267" t="s">
        <v>3186</v>
      </c>
      <c r="BA129" s="3276"/>
      <c r="BB129" s="3291"/>
      <c r="BC129" s="3276"/>
      <c r="BD129" s="3292"/>
      <c r="BE129" s="3276"/>
      <c r="BF129" s="3281"/>
      <c r="BG129" s="3293">
        <v>38806</v>
      </c>
      <c r="BH129" s="3276"/>
      <c r="BI129" s="3279" t="s">
        <v>3239</v>
      </c>
      <c r="BJ129" s="3293">
        <v>38807</v>
      </c>
      <c r="BK129" s="3283"/>
      <c r="BL129" s="3267" t="s">
        <v>2998</v>
      </c>
      <c r="BM129" s="3267" t="s">
        <v>2879</v>
      </c>
      <c r="BN129" s="3267" t="s">
        <v>2999</v>
      </c>
      <c r="BO129" s="3267" t="s">
        <v>3000</v>
      </c>
      <c r="BP129" s="3276"/>
      <c r="BQ129" s="3276" t="e">
        <v>#DIV/0!</v>
      </c>
      <c r="BR129" s="3276" t="e">
        <v>#DIV/0!</v>
      </c>
      <c r="BS129" s="3285"/>
      <c r="BT129" s="3285"/>
      <c r="BU129" s="3285"/>
    </row>
    <row r="130" spans="1:73" hidden="1">
      <c r="A130" s="3267" t="s">
        <v>4154</v>
      </c>
      <c r="B130" s="3267" t="s">
        <v>4155</v>
      </c>
      <c r="C130" s="3267" t="s">
        <v>4156</v>
      </c>
      <c r="D130" s="3267">
        <v>13161720550</v>
      </c>
      <c r="E130" s="3267" t="s">
        <v>2985</v>
      </c>
      <c r="F130" s="3267" t="s">
        <v>4157</v>
      </c>
      <c r="G130" s="3267"/>
      <c r="H130" s="3267" t="s">
        <v>4158</v>
      </c>
      <c r="I130" s="3267" t="s">
        <v>4159</v>
      </c>
      <c r="J130" s="3267" t="s">
        <v>3173</v>
      </c>
      <c r="K130" s="3267" t="s">
        <v>4160</v>
      </c>
      <c r="L130" s="3267">
        <v>72.069999999999993</v>
      </c>
      <c r="M130" s="3267">
        <v>2</v>
      </c>
      <c r="N130" s="3267" t="s">
        <v>3098</v>
      </c>
      <c r="O130" s="3267">
        <v>63.39</v>
      </c>
      <c r="P130" s="3267" t="s">
        <v>2963</v>
      </c>
      <c r="Q130" s="3267">
        <v>445000</v>
      </c>
      <c r="R130" s="3267">
        <v>6175</v>
      </c>
      <c r="S130" s="3267">
        <v>38.409999999999997</v>
      </c>
      <c r="T130" s="3273">
        <v>384100</v>
      </c>
      <c r="U130" s="3267">
        <v>5330</v>
      </c>
      <c r="V130" s="3289">
        <v>0.05</v>
      </c>
      <c r="W130" s="3267">
        <v>36.479999999999997</v>
      </c>
      <c r="X130" s="3273">
        <v>364800</v>
      </c>
      <c r="Y130" s="3267">
        <v>2006</v>
      </c>
      <c r="Z130" s="3267">
        <v>4</v>
      </c>
      <c r="AA130" s="3267">
        <v>17</v>
      </c>
      <c r="AB130" s="3267">
        <v>1150</v>
      </c>
      <c r="AC130" s="3267" t="s">
        <v>3227</v>
      </c>
      <c r="AD130" s="3267"/>
      <c r="AE130" s="3267" t="s">
        <v>3245</v>
      </c>
      <c r="AF130" s="3267" t="s">
        <v>2966</v>
      </c>
      <c r="AG130" s="3267" t="s">
        <v>2967</v>
      </c>
      <c r="AH130" s="3267"/>
      <c r="AI130" s="3267" t="s">
        <v>3115</v>
      </c>
      <c r="AJ130" s="3267"/>
      <c r="AK130" s="3267" t="s">
        <v>2994</v>
      </c>
      <c r="AL130" s="3267">
        <v>82253558</v>
      </c>
      <c r="AM130" s="3267"/>
      <c r="AN130" s="3267" t="s">
        <v>3114</v>
      </c>
      <c r="AO130" s="3267"/>
      <c r="AP130" s="3267" t="s">
        <v>3180</v>
      </c>
      <c r="AQ130" s="3267" t="s">
        <v>3228</v>
      </c>
      <c r="AR130" s="3267"/>
      <c r="AS130" s="3267"/>
      <c r="AT130" s="3267"/>
      <c r="AU130" s="3267"/>
      <c r="AV130" s="3267"/>
      <c r="AW130" s="3267" t="s">
        <v>2997</v>
      </c>
      <c r="AX130" s="3267" t="s">
        <v>2968</v>
      </c>
      <c r="AY130" s="3267"/>
      <c r="AZ130" s="3267" t="s">
        <v>4160</v>
      </c>
      <c r="BA130" s="3267"/>
      <c r="BB130" s="3267"/>
      <c r="BC130" s="3267"/>
      <c r="BD130" s="3267"/>
      <c r="BE130" s="3267"/>
      <c r="BF130" s="3267" t="s">
        <v>2968</v>
      </c>
      <c r="BG130" s="3284">
        <v>38806</v>
      </c>
      <c r="BH130" s="3267" t="s">
        <v>2998</v>
      </c>
      <c r="BI130" s="3267" t="s">
        <v>3305</v>
      </c>
      <c r="BJ130" s="3284">
        <v>38800</v>
      </c>
      <c r="BK130" s="3267" t="s">
        <v>2968</v>
      </c>
      <c r="BL130" s="3267" t="s">
        <v>3249</v>
      </c>
      <c r="BM130" s="3267" t="s">
        <v>2879</v>
      </c>
      <c r="BN130" s="3267" t="s">
        <v>3111</v>
      </c>
      <c r="BO130" s="3267" t="s">
        <v>3000</v>
      </c>
      <c r="BP130" s="3267"/>
      <c r="BQ130" s="3267">
        <v>6059</v>
      </c>
      <c r="BR130" s="3267">
        <v>7020</v>
      </c>
      <c r="BS130" s="3285"/>
      <c r="BT130" s="3285"/>
      <c r="BU130" s="3285"/>
    </row>
    <row r="131" spans="1:73" hidden="1">
      <c r="A131" s="3267" t="s">
        <v>4161</v>
      </c>
      <c r="B131" s="3267" t="s">
        <v>4162</v>
      </c>
      <c r="C131" s="3269" t="s">
        <v>4163</v>
      </c>
      <c r="D131" s="3269" t="s">
        <v>4164</v>
      </c>
      <c r="E131" s="3267" t="s">
        <v>2985</v>
      </c>
      <c r="F131" s="3267" t="s">
        <v>4165</v>
      </c>
      <c r="G131" s="3267"/>
      <c r="H131" s="3267" t="s">
        <v>3402</v>
      </c>
      <c r="I131" s="3267"/>
      <c r="J131" s="3269" t="s">
        <v>4166</v>
      </c>
      <c r="K131" s="3267" t="s">
        <v>4167</v>
      </c>
      <c r="L131" s="3286">
        <v>76.25</v>
      </c>
      <c r="M131" s="3267">
        <v>6</v>
      </c>
      <c r="N131" s="3268" t="s">
        <v>3122</v>
      </c>
      <c r="O131" s="3267">
        <v>59.58</v>
      </c>
      <c r="P131" s="3267" t="s">
        <v>2963</v>
      </c>
      <c r="Q131" s="3287">
        <v>520000</v>
      </c>
      <c r="R131" s="3270">
        <v>6820</v>
      </c>
      <c r="S131" s="3272">
        <v>46.15</v>
      </c>
      <c r="T131" s="3273">
        <v>461500</v>
      </c>
      <c r="U131" s="3267">
        <v>6053</v>
      </c>
      <c r="V131" s="3289">
        <v>0.2</v>
      </c>
      <c r="W131" s="3272">
        <v>36.92</v>
      </c>
      <c r="X131" s="3275">
        <v>369200</v>
      </c>
      <c r="Y131" s="3276">
        <v>2006</v>
      </c>
      <c r="Z131" s="3276">
        <v>4</v>
      </c>
      <c r="AA131" s="3276">
        <v>24</v>
      </c>
      <c r="AB131" s="3267">
        <v>1380</v>
      </c>
      <c r="AC131" s="3267" t="s">
        <v>3227</v>
      </c>
      <c r="AD131" s="3267"/>
      <c r="AE131" s="3276" t="s">
        <v>3537</v>
      </c>
      <c r="AF131" s="3267" t="s">
        <v>2966</v>
      </c>
      <c r="AG131" s="3279" t="s">
        <v>2967</v>
      </c>
      <c r="AH131" s="3267"/>
      <c r="AI131" s="3267" t="s">
        <v>3115</v>
      </c>
      <c r="AJ131" s="3284"/>
      <c r="AK131" s="3278">
        <v>4</v>
      </c>
      <c r="AL131" s="3267">
        <v>82253558</v>
      </c>
      <c r="AM131" s="3267"/>
      <c r="AN131" s="3267" t="s">
        <v>2994</v>
      </c>
      <c r="AO131" s="3267"/>
      <c r="AP131" s="3267" t="s">
        <v>3180</v>
      </c>
      <c r="AQ131" s="3276" t="s">
        <v>3113</v>
      </c>
      <c r="AR131" s="3276"/>
      <c r="AS131" s="3276"/>
      <c r="AT131" s="3276"/>
      <c r="AU131" s="3276"/>
      <c r="AV131" s="3276"/>
      <c r="AW131" s="3276" t="s">
        <v>2997</v>
      </c>
      <c r="AX131" s="3276"/>
      <c r="AY131" s="3291"/>
      <c r="AZ131" s="3276" t="s">
        <v>4167</v>
      </c>
      <c r="BA131" s="3276"/>
      <c r="BB131" s="3291"/>
      <c r="BC131" s="3276"/>
      <c r="BD131" s="3292"/>
      <c r="BE131" s="3276">
        <v>13126608168</v>
      </c>
      <c r="BF131" s="3281"/>
      <c r="BG131" s="3299">
        <v>38810</v>
      </c>
      <c r="BH131" s="3267" t="s">
        <v>2998</v>
      </c>
      <c r="BI131" s="3276" t="s">
        <v>3305</v>
      </c>
      <c r="BJ131" s="3299">
        <v>38810</v>
      </c>
      <c r="BK131" s="3283"/>
      <c r="BL131" s="3267" t="s">
        <v>3249</v>
      </c>
      <c r="BM131" s="3267" t="s">
        <v>2879</v>
      </c>
      <c r="BN131" s="3276" t="s">
        <v>2999</v>
      </c>
      <c r="BO131" s="3276" t="s">
        <v>3146</v>
      </c>
      <c r="BP131" s="3276"/>
      <c r="BQ131" s="3276">
        <v>7746</v>
      </c>
      <c r="BR131" s="3276">
        <v>8728</v>
      </c>
      <c r="BS131" s="3285"/>
      <c r="BT131" s="3285"/>
      <c r="BU131" s="3285"/>
    </row>
    <row r="132" spans="1:73" hidden="1">
      <c r="A132" s="3267" t="s">
        <v>4168</v>
      </c>
      <c r="B132" s="3267" t="s">
        <v>4169</v>
      </c>
      <c r="C132" s="3269" t="s">
        <v>4170</v>
      </c>
      <c r="D132" s="3267" t="s">
        <v>4171</v>
      </c>
      <c r="E132" s="3267" t="s">
        <v>2985</v>
      </c>
      <c r="F132" s="3267" t="s">
        <v>4172</v>
      </c>
      <c r="G132" s="3267"/>
      <c r="H132" s="3267" t="s">
        <v>3182</v>
      </c>
      <c r="I132" s="3267"/>
      <c r="J132" s="3267" t="s">
        <v>3493</v>
      </c>
      <c r="K132" s="3267" t="s">
        <v>4173</v>
      </c>
      <c r="L132" s="3267">
        <v>68.61</v>
      </c>
      <c r="M132" s="3267">
        <v>12</v>
      </c>
      <c r="N132" s="3267" t="s">
        <v>3152</v>
      </c>
      <c r="O132" s="3267"/>
      <c r="P132" s="3267" t="s">
        <v>2963</v>
      </c>
      <c r="Q132" s="3267">
        <v>568000</v>
      </c>
      <c r="R132" s="3267">
        <v>8279</v>
      </c>
      <c r="S132" s="3272">
        <v>48.52</v>
      </c>
      <c r="T132" s="3273">
        <v>485200.00000000006</v>
      </c>
      <c r="U132" s="3267">
        <v>7072</v>
      </c>
      <c r="V132" s="3274">
        <v>0.2</v>
      </c>
      <c r="W132" s="3272">
        <v>38.81</v>
      </c>
      <c r="X132" s="3275">
        <v>388100</v>
      </c>
      <c r="Y132" s="3267">
        <v>2006</v>
      </c>
      <c r="Z132" s="3267">
        <v>4</v>
      </c>
      <c r="AA132" s="3276">
        <v>25</v>
      </c>
      <c r="AB132" s="3267">
        <v>1455</v>
      </c>
      <c r="AC132" s="3267" t="s">
        <v>3110</v>
      </c>
      <c r="AD132" s="3267"/>
      <c r="AE132" s="3267" t="s">
        <v>3295</v>
      </c>
      <c r="AF132" s="3267" t="s">
        <v>2966</v>
      </c>
      <c r="AG132" s="3267" t="s">
        <v>2967</v>
      </c>
      <c r="AH132" s="3267"/>
      <c r="AI132" s="3267" t="s">
        <v>3115</v>
      </c>
      <c r="AJ132" s="3284"/>
      <c r="AK132" s="3278">
        <v>4</v>
      </c>
      <c r="AL132" s="3267">
        <v>82253558</v>
      </c>
      <c r="AM132" s="3267"/>
      <c r="AN132" s="3267" t="s">
        <v>2994</v>
      </c>
      <c r="AO132" s="3267" t="s">
        <v>2968</v>
      </c>
      <c r="AP132" s="3267" t="s">
        <v>3180</v>
      </c>
      <c r="AQ132" s="3267" t="s">
        <v>3113</v>
      </c>
      <c r="AR132" s="3267"/>
      <c r="AS132" s="3267"/>
      <c r="AT132" s="3267"/>
      <c r="AU132" s="3267"/>
      <c r="AV132" s="3267"/>
      <c r="AW132" s="3267" t="s">
        <v>3112</v>
      </c>
      <c r="AX132" s="3267"/>
      <c r="AY132" s="3269" t="s">
        <v>4173</v>
      </c>
      <c r="AZ132" s="3268"/>
      <c r="BA132" s="3267"/>
      <c r="BB132" s="3267"/>
      <c r="BC132" s="3267"/>
      <c r="BD132" s="3267"/>
      <c r="BE132" s="3267">
        <v>13003188737</v>
      </c>
      <c r="BF132" s="3267"/>
      <c r="BG132" s="3307">
        <v>38807</v>
      </c>
      <c r="BH132" s="3267"/>
      <c r="BI132" s="3267" t="s">
        <v>3295</v>
      </c>
      <c r="BJ132" s="3299">
        <v>38807</v>
      </c>
      <c r="BK132" s="3283"/>
      <c r="BL132" s="3267" t="s">
        <v>3249</v>
      </c>
      <c r="BM132" s="3267" t="s">
        <v>2879</v>
      </c>
      <c r="BN132" s="3267" t="s">
        <v>2999</v>
      </c>
      <c r="BO132" s="3267" t="s">
        <v>3146</v>
      </c>
      <c r="BP132" s="3267"/>
      <c r="BQ132" s="3276" t="e">
        <v>#DIV/0!</v>
      </c>
      <c r="BR132" s="3276" t="e">
        <v>#DIV/0!</v>
      </c>
      <c r="BS132" s="3285"/>
      <c r="BT132" s="3285"/>
      <c r="BU132" s="3285"/>
    </row>
    <row r="133" spans="1:73" hidden="1">
      <c r="A133" s="3267" t="s">
        <v>4174</v>
      </c>
      <c r="B133" s="3267" t="s">
        <v>4175</v>
      </c>
      <c r="C133" s="3269" t="s">
        <v>4176</v>
      </c>
      <c r="D133" s="3269" t="s">
        <v>4177</v>
      </c>
      <c r="E133" s="3268" t="s">
        <v>2985</v>
      </c>
      <c r="F133" s="3268" t="s">
        <v>4178</v>
      </c>
      <c r="G133" s="3267"/>
      <c r="H133" s="3268" t="s">
        <v>3139</v>
      </c>
      <c r="I133" s="3268" t="s">
        <v>3608</v>
      </c>
      <c r="J133" s="3267">
        <v>401</v>
      </c>
      <c r="K133" s="3267" t="s">
        <v>4179</v>
      </c>
      <c r="L133" s="3267">
        <v>64.45</v>
      </c>
      <c r="M133" s="3269" t="s">
        <v>4180</v>
      </c>
      <c r="N133" s="3267" t="s">
        <v>3122</v>
      </c>
      <c r="O133" s="3267"/>
      <c r="P133" s="3267" t="s">
        <v>2963</v>
      </c>
      <c r="Q133" s="3271">
        <v>440000</v>
      </c>
      <c r="R133" s="3267">
        <v>6827</v>
      </c>
      <c r="S133" s="3272">
        <v>36.090000000000003</v>
      </c>
      <c r="T133" s="3273">
        <v>360900.00000000006</v>
      </c>
      <c r="U133" s="3267">
        <v>5600</v>
      </c>
      <c r="V133" s="3289">
        <v>0.2</v>
      </c>
      <c r="W133" s="3272">
        <v>28.87</v>
      </c>
      <c r="X133" s="3275">
        <v>288700</v>
      </c>
      <c r="Y133" s="3276">
        <v>2006</v>
      </c>
      <c r="Z133" s="3276">
        <v>4</v>
      </c>
      <c r="AA133" s="3276">
        <v>27</v>
      </c>
      <c r="AB133" s="3267">
        <v>1080</v>
      </c>
      <c r="AC133" s="3267" t="s">
        <v>3444</v>
      </c>
      <c r="AD133" s="3267"/>
      <c r="AE133" s="3267" t="s">
        <v>3245</v>
      </c>
      <c r="AF133" s="3268" t="s">
        <v>2966</v>
      </c>
      <c r="AG133" s="3267" t="s">
        <v>2967</v>
      </c>
      <c r="AH133" s="3267"/>
      <c r="AI133" s="3267" t="s">
        <v>3176</v>
      </c>
      <c r="AJ133" s="3284"/>
      <c r="AK133" s="3278">
        <v>4</v>
      </c>
      <c r="AL133" s="3267">
        <v>82253558</v>
      </c>
      <c r="AM133" s="3276"/>
      <c r="AN133" s="3279" t="s">
        <v>2994</v>
      </c>
      <c r="AO133" s="3267" t="s">
        <v>4181</v>
      </c>
      <c r="AP133" s="3267" t="s">
        <v>3180</v>
      </c>
      <c r="AQ133" s="3276" t="s">
        <v>3113</v>
      </c>
      <c r="AR133" s="3276"/>
      <c r="AS133" s="3276"/>
      <c r="AT133" s="3276"/>
      <c r="AU133" s="3276"/>
      <c r="AV133" s="3276"/>
      <c r="AW133" s="3276" t="s">
        <v>3119</v>
      </c>
      <c r="AX133" s="3276"/>
      <c r="AY133" s="3291"/>
      <c r="AZ133" s="3267" t="s">
        <v>4179</v>
      </c>
      <c r="BA133" s="3296"/>
      <c r="BB133" s="3297"/>
      <c r="BC133" s="3296"/>
      <c r="BD133" s="3298"/>
      <c r="BE133" s="3276">
        <v>13910704188</v>
      </c>
      <c r="BF133" s="3281"/>
      <c r="BG133" s="3293">
        <v>38831</v>
      </c>
      <c r="BH133" s="3267"/>
      <c r="BI133" s="3314" t="s">
        <v>3344</v>
      </c>
      <c r="BJ133" s="3283"/>
      <c r="BK133" s="3283"/>
      <c r="BL133" s="3267" t="s">
        <v>2998</v>
      </c>
      <c r="BM133" s="3276" t="s">
        <v>2879</v>
      </c>
      <c r="BN133" s="3276" t="s">
        <v>2999</v>
      </c>
      <c r="BO133" s="3276" t="s">
        <v>3146</v>
      </c>
      <c r="BP133" s="3276"/>
      <c r="BQ133" s="3276" t="e">
        <v>#DIV/0!</v>
      </c>
      <c r="BR133" s="3276" t="e">
        <v>#DIV/0!</v>
      </c>
      <c r="BS133" s="3285"/>
      <c r="BT133" s="3285"/>
      <c r="BU133" s="3285"/>
    </row>
    <row r="134" spans="1:73" hidden="1">
      <c r="A134" s="3267" t="s">
        <v>4182</v>
      </c>
      <c r="B134" s="3267" t="s">
        <v>4183</v>
      </c>
      <c r="C134" s="3269" t="s">
        <v>4184</v>
      </c>
      <c r="D134" s="3267">
        <v>13601011418</v>
      </c>
      <c r="E134" s="3267" t="s">
        <v>2985</v>
      </c>
      <c r="F134" s="3267" t="s">
        <v>3912</v>
      </c>
      <c r="G134" s="3267"/>
      <c r="H134" s="3267" t="s">
        <v>3182</v>
      </c>
      <c r="I134" s="3267"/>
      <c r="J134" s="3267">
        <v>2008</v>
      </c>
      <c r="K134" s="3267" t="s">
        <v>4185</v>
      </c>
      <c r="L134" s="3267">
        <v>100.5</v>
      </c>
      <c r="M134" s="3267">
        <v>20</v>
      </c>
      <c r="N134" s="3267" t="s">
        <v>3122</v>
      </c>
      <c r="O134" s="3267">
        <v>83.51</v>
      </c>
      <c r="P134" s="3267" t="s">
        <v>2963</v>
      </c>
      <c r="Q134" s="3267">
        <v>600000</v>
      </c>
      <c r="R134" s="3267">
        <v>5970</v>
      </c>
      <c r="S134" s="3272">
        <v>57.78</v>
      </c>
      <c r="T134" s="3273">
        <v>577800</v>
      </c>
      <c r="U134" s="3267">
        <v>5750</v>
      </c>
      <c r="V134" s="3274">
        <v>0.2</v>
      </c>
      <c r="W134" s="3272">
        <v>46.22</v>
      </c>
      <c r="X134" s="3275">
        <v>462200</v>
      </c>
      <c r="Y134" s="3267">
        <v>2006</v>
      </c>
      <c r="Z134" s="3267">
        <v>6</v>
      </c>
      <c r="AA134" s="3276">
        <v>9</v>
      </c>
      <c r="AB134" s="3267">
        <v>1500</v>
      </c>
      <c r="AC134" s="3267" t="s">
        <v>3110</v>
      </c>
      <c r="AD134" s="3267"/>
      <c r="AE134" s="3276" t="s">
        <v>3180</v>
      </c>
      <c r="AF134" s="3267" t="s">
        <v>2966</v>
      </c>
      <c r="AG134" s="3267" t="s">
        <v>2967</v>
      </c>
      <c r="AH134" s="3267"/>
      <c r="AI134" s="3267" t="s">
        <v>3115</v>
      </c>
      <c r="AJ134" s="3284"/>
      <c r="AK134" s="3267" t="s">
        <v>3160</v>
      </c>
      <c r="AL134" s="3267">
        <v>82253558</v>
      </c>
      <c r="AM134" s="3267"/>
      <c r="AN134" s="3267" t="s">
        <v>3140</v>
      </c>
      <c r="AO134" s="3267" t="s">
        <v>4186</v>
      </c>
      <c r="AP134" s="3267" t="s">
        <v>3180</v>
      </c>
      <c r="AQ134" s="3267" t="s">
        <v>3113</v>
      </c>
      <c r="AR134" s="3267"/>
      <c r="AS134" s="3267"/>
      <c r="AT134" s="3267"/>
      <c r="AU134" s="3267"/>
      <c r="AV134" s="3267"/>
      <c r="AW134" s="3267" t="s">
        <v>2997</v>
      </c>
      <c r="AX134" s="3267"/>
      <c r="AY134" s="3269"/>
      <c r="AZ134" s="3267" t="s">
        <v>4185</v>
      </c>
      <c r="BA134" s="3267"/>
      <c r="BB134" s="3267"/>
      <c r="BC134" s="3267"/>
      <c r="BD134" s="3267"/>
      <c r="BE134" s="3267"/>
      <c r="BF134" s="3267"/>
      <c r="BG134" s="3307">
        <v>38819</v>
      </c>
      <c r="BH134" s="3267"/>
      <c r="BI134" s="3267" t="s">
        <v>3180</v>
      </c>
      <c r="BJ134" s="3299"/>
      <c r="BK134" s="3283"/>
      <c r="BL134" s="3267" t="s">
        <v>2998</v>
      </c>
      <c r="BM134" s="3267" t="s">
        <v>2879</v>
      </c>
      <c r="BN134" s="3267" t="s">
        <v>2999</v>
      </c>
      <c r="BO134" s="3267" t="s">
        <v>3000</v>
      </c>
      <c r="BP134" s="3267"/>
      <c r="BQ134" s="3276" t="e">
        <v>#DIV/0!</v>
      </c>
      <c r="BR134" s="3276" t="e">
        <v>#DIV/0!</v>
      </c>
      <c r="BS134" s="3285"/>
      <c r="BT134" s="3285"/>
      <c r="BU134" s="3285"/>
    </row>
    <row r="135" spans="1:73">
      <c r="A135" s="3267" t="s">
        <v>4187</v>
      </c>
      <c r="B135" s="3267" t="s">
        <v>4188</v>
      </c>
      <c r="C135" s="3269" t="s">
        <v>4189</v>
      </c>
      <c r="D135" s="3269" t="s">
        <v>4190</v>
      </c>
      <c r="E135" s="3268" t="s">
        <v>2985</v>
      </c>
      <c r="F135" s="3268" t="s">
        <v>3957</v>
      </c>
      <c r="G135" s="3267"/>
      <c r="H135" s="3268" t="s">
        <v>3263</v>
      </c>
      <c r="I135" s="3268" t="s">
        <v>3318</v>
      </c>
      <c r="J135" s="3267">
        <v>601</v>
      </c>
      <c r="K135" s="3267" t="s">
        <v>4191</v>
      </c>
      <c r="L135" s="3267">
        <v>85.11</v>
      </c>
      <c r="M135" s="3269" t="s">
        <v>3282</v>
      </c>
      <c r="N135" s="3267" t="s">
        <v>3125</v>
      </c>
      <c r="O135" s="3267"/>
      <c r="P135" s="3267" t="s">
        <v>2963</v>
      </c>
      <c r="Q135" s="3271">
        <v>595000</v>
      </c>
      <c r="R135" s="3267">
        <v>6991</v>
      </c>
      <c r="S135" s="3272">
        <v>49.49</v>
      </c>
      <c r="T135" s="3273">
        <v>494900</v>
      </c>
      <c r="U135" s="3267">
        <v>5816</v>
      </c>
      <c r="V135" s="3289">
        <v>0.2</v>
      </c>
      <c r="W135" s="3272">
        <v>39.590000000000003</v>
      </c>
      <c r="X135" s="3275">
        <v>395900.00000000006</v>
      </c>
      <c r="Y135" s="3276">
        <v>2006</v>
      </c>
      <c r="Z135" s="3276">
        <v>5</v>
      </c>
      <c r="AA135" s="3276">
        <v>19</v>
      </c>
      <c r="AB135" s="3267">
        <v>1480</v>
      </c>
      <c r="AC135" s="3267" t="s">
        <v>3444</v>
      </c>
      <c r="AD135" s="3267"/>
      <c r="AE135" s="3267" t="s">
        <v>3344</v>
      </c>
      <c r="AF135" s="3268" t="s">
        <v>2966</v>
      </c>
      <c r="AG135" s="3267" t="s">
        <v>2967</v>
      </c>
      <c r="AH135" s="3267"/>
      <c r="AI135" s="3267" t="s">
        <v>3176</v>
      </c>
      <c r="AJ135" s="3284"/>
      <c r="AK135" s="3278">
        <v>5</v>
      </c>
      <c r="AL135" s="3267">
        <v>82253558</v>
      </c>
      <c r="AM135" s="3276"/>
      <c r="AN135" s="3279" t="s">
        <v>3140</v>
      </c>
      <c r="AO135" s="3267" t="s">
        <v>4192</v>
      </c>
      <c r="AP135" s="3267" t="s">
        <v>3180</v>
      </c>
      <c r="AQ135" s="3276" t="s">
        <v>3113</v>
      </c>
      <c r="AR135" s="3276"/>
      <c r="AS135" s="3276"/>
      <c r="AT135" s="3276"/>
      <c r="AU135" s="3276"/>
      <c r="AV135" s="3276"/>
      <c r="AW135" s="3276" t="s">
        <v>3119</v>
      </c>
      <c r="AX135" s="3276"/>
      <c r="AY135" s="3291"/>
      <c r="AZ135" s="3267" t="s">
        <v>4191</v>
      </c>
      <c r="BA135" s="3296"/>
      <c r="BB135" s="3297"/>
      <c r="BC135" s="3296"/>
      <c r="BD135" s="3298"/>
      <c r="BE135" s="3276" t="s">
        <v>4193</v>
      </c>
      <c r="BF135" s="3281"/>
      <c r="BG135" s="3293">
        <v>38816</v>
      </c>
      <c r="BH135" s="3267"/>
      <c r="BI135" s="3314" t="s">
        <v>3344</v>
      </c>
      <c r="BJ135" s="3283"/>
      <c r="BK135" s="3283"/>
      <c r="BL135" s="3267" t="s">
        <v>2998</v>
      </c>
      <c r="BM135" s="3276" t="s">
        <v>2879</v>
      </c>
      <c r="BN135" s="3276" t="s">
        <v>2999</v>
      </c>
      <c r="BO135" s="3276" t="s">
        <v>3146</v>
      </c>
      <c r="BP135" s="3276"/>
      <c r="BQ135" s="3276" t="e">
        <v>#DIV/0!</v>
      </c>
      <c r="BR135" s="3276" t="e">
        <v>#DIV/0!</v>
      </c>
      <c r="BS135" s="3285"/>
      <c r="BT135" s="3285"/>
      <c r="BU135" s="3285"/>
    </row>
    <row r="136" spans="1:73" hidden="1">
      <c r="A136" s="3267" t="s">
        <v>4194</v>
      </c>
      <c r="B136" s="3268" t="s">
        <v>4195</v>
      </c>
      <c r="C136" s="3269" t="s">
        <v>4196</v>
      </c>
      <c r="D136" s="3267" t="s">
        <v>4197</v>
      </c>
      <c r="E136" s="3267" t="s">
        <v>2985</v>
      </c>
      <c r="F136" s="3267" t="s">
        <v>4198</v>
      </c>
      <c r="G136" s="3267"/>
      <c r="H136" s="3267" t="s">
        <v>3097</v>
      </c>
      <c r="I136" s="3267"/>
      <c r="J136" s="3267" t="s">
        <v>4199</v>
      </c>
      <c r="K136" s="3268" t="s">
        <v>4195</v>
      </c>
      <c r="L136" s="3267">
        <v>129.54</v>
      </c>
      <c r="M136" s="3267">
        <v>7</v>
      </c>
      <c r="N136" s="3267" t="s">
        <v>3129</v>
      </c>
      <c r="O136" s="3267"/>
      <c r="P136" s="3267" t="s">
        <v>2963</v>
      </c>
      <c r="Q136" s="3267">
        <v>950000</v>
      </c>
      <c r="R136" s="3267">
        <v>7334</v>
      </c>
      <c r="S136" s="3272">
        <v>82.75</v>
      </c>
      <c r="T136" s="3273">
        <v>827500</v>
      </c>
      <c r="U136" s="3267">
        <v>6388</v>
      </c>
      <c r="V136" s="3274">
        <v>0.2</v>
      </c>
      <c r="W136" s="3272">
        <v>66.2</v>
      </c>
      <c r="X136" s="3275">
        <v>662000</v>
      </c>
      <c r="Y136" s="3267">
        <v>2006</v>
      </c>
      <c r="Z136" s="3276">
        <v>6</v>
      </c>
      <c r="AA136" s="3276">
        <v>16</v>
      </c>
      <c r="AB136" s="3276">
        <v>1500</v>
      </c>
      <c r="AC136" s="3267" t="s">
        <v>3444</v>
      </c>
      <c r="AD136" s="3267"/>
      <c r="AE136" s="3267" t="s">
        <v>3487</v>
      </c>
      <c r="AF136" s="3267" t="s">
        <v>2966</v>
      </c>
      <c r="AG136" s="3267" t="s">
        <v>2967</v>
      </c>
      <c r="AH136" s="3267" t="s">
        <v>2968</v>
      </c>
      <c r="AI136" s="3267" t="s">
        <v>3115</v>
      </c>
      <c r="AJ136" s="3284"/>
      <c r="AK136" s="3278">
        <v>6</v>
      </c>
      <c r="AL136" s="3267">
        <v>82253558</v>
      </c>
      <c r="AM136" s="3267"/>
      <c r="AN136" s="3267" t="s">
        <v>3114</v>
      </c>
      <c r="AO136" s="3267" t="s">
        <v>2968</v>
      </c>
      <c r="AP136" s="3267" t="s">
        <v>3180</v>
      </c>
      <c r="AQ136" s="3267" t="s">
        <v>3228</v>
      </c>
      <c r="AR136" s="3267"/>
      <c r="AS136" s="3267"/>
      <c r="AT136" s="3267"/>
      <c r="AU136" s="3267"/>
      <c r="AV136" s="3267" t="s">
        <v>2968</v>
      </c>
      <c r="AW136" s="3267" t="s">
        <v>3171</v>
      </c>
      <c r="AX136" s="3267"/>
      <c r="AY136" s="3269"/>
      <c r="AZ136" s="3268" t="s">
        <v>4200</v>
      </c>
      <c r="BA136" s="3267"/>
      <c r="BB136" s="3267"/>
      <c r="BC136" s="3267"/>
      <c r="BD136" s="3267"/>
      <c r="BE136" s="3267">
        <v>13901333244</v>
      </c>
      <c r="BF136" s="3267"/>
      <c r="BG136" s="3307">
        <v>38859</v>
      </c>
      <c r="BH136" s="3267"/>
      <c r="BI136" s="3267" t="s">
        <v>3295</v>
      </c>
      <c r="BJ136" s="3283">
        <v>38860</v>
      </c>
      <c r="BK136" s="3283"/>
      <c r="BL136" s="3267"/>
      <c r="BM136" s="3267"/>
      <c r="BN136" s="3267"/>
      <c r="BO136" s="3267"/>
      <c r="BP136" s="3267"/>
      <c r="BQ136" s="3276" t="e">
        <v>#DIV/0!</v>
      </c>
      <c r="BR136" s="3276" t="e">
        <v>#DIV/0!</v>
      </c>
      <c r="BS136" s="3285"/>
      <c r="BT136" s="3285"/>
      <c r="BU136" s="3285"/>
    </row>
    <row r="137" spans="1:73" hidden="1">
      <c r="A137" s="3267" t="s">
        <v>4201</v>
      </c>
      <c r="B137" s="3267" t="s">
        <v>4202</v>
      </c>
      <c r="C137" s="3269" t="s">
        <v>4203</v>
      </c>
      <c r="D137" s="3269" t="s">
        <v>4204</v>
      </c>
      <c r="E137" s="3267" t="s">
        <v>2985</v>
      </c>
      <c r="F137" s="3267" t="s">
        <v>4205</v>
      </c>
      <c r="G137" s="3267"/>
      <c r="H137" s="3267" t="s">
        <v>4206</v>
      </c>
      <c r="I137" s="3267" t="s">
        <v>3188</v>
      </c>
      <c r="J137" s="3269" t="s">
        <v>2987</v>
      </c>
      <c r="K137" s="3267" t="s">
        <v>4207</v>
      </c>
      <c r="L137" s="3267">
        <v>102.84</v>
      </c>
      <c r="M137" s="3267">
        <v>3</v>
      </c>
      <c r="N137" s="3267" t="s">
        <v>3116</v>
      </c>
      <c r="O137" s="3267"/>
      <c r="P137" s="3268" t="s">
        <v>2963</v>
      </c>
      <c r="Q137" s="3271">
        <v>850000</v>
      </c>
      <c r="R137" s="3267">
        <v>8265</v>
      </c>
      <c r="S137" s="3272">
        <v>77.84</v>
      </c>
      <c r="T137" s="3273">
        <v>778400</v>
      </c>
      <c r="U137" s="3267">
        <v>7570</v>
      </c>
      <c r="V137" s="3289">
        <v>0.2</v>
      </c>
      <c r="W137" s="3272">
        <v>62.27</v>
      </c>
      <c r="X137" s="3275">
        <v>622700</v>
      </c>
      <c r="Y137" s="3276">
        <v>2006</v>
      </c>
      <c r="Z137" s="3276">
        <v>6</v>
      </c>
      <c r="AA137" s="3276">
        <v>1</v>
      </c>
      <c r="AB137" s="3267">
        <v>1500</v>
      </c>
      <c r="AC137" s="3267" t="s">
        <v>3110</v>
      </c>
      <c r="AD137" s="3267"/>
      <c r="AE137" s="3276" t="s">
        <v>3342</v>
      </c>
      <c r="AF137" s="3268" t="s">
        <v>2966</v>
      </c>
      <c r="AG137" s="3268" t="s">
        <v>2967</v>
      </c>
      <c r="AH137" s="3267"/>
      <c r="AI137" s="3267" t="s">
        <v>3115</v>
      </c>
      <c r="AJ137" s="3284"/>
      <c r="AK137" s="3316" t="s">
        <v>3160</v>
      </c>
      <c r="AL137" s="3276">
        <v>82253558</v>
      </c>
      <c r="AM137" s="3276"/>
      <c r="AN137" s="3276" t="s">
        <v>3131</v>
      </c>
      <c r="AO137" s="3276"/>
      <c r="AP137" s="3267" t="s">
        <v>3180</v>
      </c>
      <c r="AQ137" s="3276" t="s">
        <v>3113</v>
      </c>
      <c r="AR137" s="3276"/>
      <c r="AS137" s="3276"/>
      <c r="AT137" s="3276"/>
      <c r="AU137" s="3276"/>
      <c r="AV137" s="3276"/>
      <c r="AW137" s="3276" t="s">
        <v>3112</v>
      </c>
      <c r="AX137" s="3276"/>
      <c r="AY137" s="3291"/>
      <c r="AZ137" s="3276" t="s">
        <v>4207</v>
      </c>
      <c r="BA137" s="3276"/>
      <c r="BB137" s="3291"/>
      <c r="BC137" s="3276"/>
      <c r="BD137" s="3292"/>
      <c r="BE137" s="3276"/>
      <c r="BF137" s="3281"/>
      <c r="BG137" s="3353">
        <v>38808</v>
      </c>
      <c r="BH137" s="3276"/>
      <c r="BI137" s="3267" t="s">
        <v>3295</v>
      </c>
      <c r="BJ137" s="3299"/>
      <c r="BK137" s="3283"/>
      <c r="BL137" s="3267" t="s">
        <v>2998</v>
      </c>
      <c r="BM137" s="3276" t="s">
        <v>2879</v>
      </c>
      <c r="BN137" s="3276" t="s">
        <v>2999</v>
      </c>
      <c r="BO137" s="3276" t="s">
        <v>3146</v>
      </c>
      <c r="BP137" s="3276"/>
      <c r="BQ137" s="3276" t="e">
        <v>#DIV/0!</v>
      </c>
      <c r="BR137" s="3276" t="e">
        <v>#DIV/0!</v>
      </c>
      <c r="BS137" s="3285"/>
      <c r="BT137" s="3285"/>
      <c r="BU137" s="3285"/>
    </row>
    <row r="138" spans="1:73" hidden="1">
      <c r="A138" s="3267" t="s">
        <v>4208</v>
      </c>
      <c r="B138" s="3267" t="s">
        <v>4209</v>
      </c>
      <c r="C138" s="3269" t="s">
        <v>4210</v>
      </c>
      <c r="D138" s="3269" t="s">
        <v>4211</v>
      </c>
      <c r="E138" s="3267" t="s">
        <v>2985</v>
      </c>
      <c r="F138" s="3268" t="s">
        <v>4212</v>
      </c>
      <c r="G138" s="3267"/>
      <c r="H138" s="3268" t="s">
        <v>4213</v>
      </c>
      <c r="I138" s="3268" t="s">
        <v>3608</v>
      </c>
      <c r="J138" s="3267">
        <v>302</v>
      </c>
      <c r="K138" s="3267" t="s">
        <v>4214</v>
      </c>
      <c r="L138" s="3267">
        <v>69.95</v>
      </c>
      <c r="M138" s="3269" t="s">
        <v>3155</v>
      </c>
      <c r="N138" s="3267" t="s">
        <v>3122</v>
      </c>
      <c r="O138" s="3267"/>
      <c r="P138" s="3267" t="s">
        <v>2963</v>
      </c>
      <c r="Q138" s="3271">
        <v>460000</v>
      </c>
      <c r="R138" s="3267">
        <v>6576</v>
      </c>
      <c r="S138" s="3272">
        <v>38.97</v>
      </c>
      <c r="T138" s="3273">
        <v>389700</v>
      </c>
      <c r="U138" s="3267">
        <v>5572</v>
      </c>
      <c r="V138" s="3289">
        <v>0.2</v>
      </c>
      <c r="W138" s="3272">
        <v>31.17</v>
      </c>
      <c r="X138" s="3275">
        <v>311700</v>
      </c>
      <c r="Y138" s="3276">
        <v>2006</v>
      </c>
      <c r="Z138" s="3276">
        <v>5</v>
      </c>
      <c r="AA138" s="3276">
        <v>29</v>
      </c>
      <c r="AB138" s="3267">
        <v>1165</v>
      </c>
      <c r="AC138" s="3267" t="s">
        <v>3110</v>
      </c>
      <c r="AD138" s="3267"/>
      <c r="AE138" s="3267" t="s">
        <v>3344</v>
      </c>
      <c r="AF138" s="3268" t="s">
        <v>2966</v>
      </c>
      <c r="AG138" s="3267" t="s">
        <v>2967</v>
      </c>
      <c r="AH138" s="3267"/>
      <c r="AI138" s="3267" t="s">
        <v>3176</v>
      </c>
      <c r="AJ138" s="3284"/>
      <c r="AK138" s="3278">
        <v>5</v>
      </c>
      <c r="AL138" s="3267">
        <v>82253558</v>
      </c>
      <c r="AM138" s="3276"/>
      <c r="AN138" s="3279" t="s">
        <v>2994</v>
      </c>
      <c r="AO138" s="3276" t="s">
        <v>4215</v>
      </c>
      <c r="AP138" s="3267" t="s">
        <v>3180</v>
      </c>
      <c r="AQ138" s="3276" t="s">
        <v>3113</v>
      </c>
      <c r="AR138" s="3276"/>
      <c r="AS138" s="3276"/>
      <c r="AT138" s="3276"/>
      <c r="AU138" s="3276"/>
      <c r="AV138" s="3276"/>
      <c r="AW138" s="3276" t="s">
        <v>3119</v>
      </c>
      <c r="AX138" s="3276"/>
      <c r="AY138" s="3291"/>
      <c r="AZ138" s="3267" t="s">
        <v>4214</v>
      </c>
      <c r="BA138" s="3296"/>
      <c r="BB138" s="3297"/>
      <c r="BC138" s="3296"/>
      <c r="BD138" s="3298"/>
      <c r="BE138" s="3276">
        <v>83267078</v>
      </c>
      <c r="BF138" s="3281"/>
      <c r="BG138" s="3293">
        <v>38823</v>
      </c>
      <c r="BH138" s="3267"/>
      <c r="BI138" s="3314" t="s">
        <v>3344</v>
      </c>
      <c r="BJ138" s="3283"/>
      <c r="BK138" s="3283"/>
      <c r="BL138" s="3267" t="s">
        <v>2998</v>
      </c>
      <c r="BM138" s="3276" t="s">
        <v>2879</v>
      </c>
      <c r="BN138" s="3276" t="s">
        <v>2999</v>
      </c>
      <c r="BO138" s="3276" t="s">
        <v>3146</v>
      </c>
      <c r="BP138" s="3276"/>
      <c r="BQ138" s="3276" t="e">
        <v>#DIV/0!</v>
      </c>
      <c r="BR138" s="3276" t="e">
        <v>#DIV/0!</v>
      </c>
      <c r="BS138" s="3285"/>
      <c r="BT138" s="3285"/>
      <c r="BU138" s="3285"/>
    </row>
    <row r="139" spans="1:73" hidden="1">
      <c r="A139" s="3267" t="s">
        <v>4216</v>
      </c>
      <c r="B139" s="3268" t="s">
        <v>4217</v>
      </c>
      <c r="C139" s="3269" t="s">
        <v>4218</v>
      </c>
      <c r="D139" s="3267">
        <v>13691049248</v>
      </c>
      <c r="E139" s="3267" t="s">
        <v>2985</v>
      </c>
      <c r="F139" s="3267" t="s">
        <v>4219</v>
      </c>
      <c r="G139" s="3267"/>
      <c r="H139" s="3267" t="s">
        <v>3402</v>
      </c>
      <c r="I139" s="3267"/>
      <c r="J139" s="3267" t="s">
        <v>4220</v>
      </c>
      <c r="K139" s="3268" t="s">
        <v>4221</v>
      </c>
      <c r="L139" s="3267">
        <v>60.8</v>
      </c>
      <c r="M139" s="3267">
        <v>5</v>
      </c>
      <c r="N139" s="3267" t="s">
        <v>3122</v>
      </c>
      <c r="O139" s="3267"/>
      <c r="P139" s="3267" t="s">
        <v>2963</v>
      </c>
      <c r="Q139" s="3267">
        <v>500000</v>
      </c>
      <c r="R139" s="3267">
        <v>8224</v>
      </c>
      <c r="S139" s="3272">
        <v>41.71</v>
      </c>
      <c r="T139" s="3273">
        <v>417100</v>
      </c>
      <c r="U139" s="3267">
        <v>6861</v>
      </c>
      <c r="V139" s="3274">
        <v>0.2</v>
      </c>
      <c r="W139" s="3272">
        <v>33.36</v>
      </c>
      <c r="X139" s="3275">
        <v>333600</v>
      </c>
      <c r="Y139" s="3267">
        <v>2006</v>
      </c>
      <c r="Z139" s="3267">
        <v>5</v>
      </c>
      <c r="AA139" s="3276">
        <v>31</v>
      </c>
      <c r="AB139" s="3276">
        <v>1250</v>
      </c>
      <c r="AC139" s="3267" t="s">
        <v>3110</v>
      </c>
      <c r="AD139" s="3267"/>
      <c r="AE139" s="3267" t="s">
        <v>3344</v>
      </c>
      <c r="AF139" s="3267" t="s">
        <v>2966</v>
      </c>
      <c r="AG139" s="3267" t="s">
        <v>2967</v>
      </c>
      <c r="AH139" s="3267"/>
      <c r="AI139" s="3267" t="s">
        <v>3115</v>
      </c>
      <c r="AJ139" s="3284"/>
      <c r="AK139" s="3267" t="s">
        <v>3099</v>
      </c>
      <c r="AL139" s="3267">
        <v>82253558</v>
      </c>
      <c r="AM139" s="3267"/>
      <c r="AN139" s="3267" t="s">
        <v>2994</v>
      </c>
      <c r="AO139" s="3267" t="s">
        <v>4222</v>
      </c>
      <c r="AP139" s="3267" t="s">
        <v>3180</v>
      </c>
      <c r="AQ139" s="3267" t="s">
        <v>3113</v>
      </c>
      <c r="AR139" s="3267"/>
      <c r="AS139" s="3267"/>
      <c r="AT139" s="3267"/>
      <c r="AU139" s="3267"/>
      <c r="AV139" s="3267"/>
      <c r="AW139" s="3267" t="s">
        <v>3112</v>
      </c>
      <c r="AX139" s="3267"/>
      <c r="AY139" s="3269"/>
      <c r="AZ139" s="3268" t="s">
        <v>4221</v>
      </c>
      <c r="BA139" s="3267"/>
      <c r="BB139" s="3267"/>
      <c r="BC139" s="3267"/>
      <c r="BD139" s="3267"/>
      <c r="BE139" s="3267">
        <v>13701096493</v>
      </c>
      <c r="BF139" s="3267"/>
      <c r="BG139" s="3307">
        <v>38865</v>
      </c>
      <c r="BH139" s="3267"/>
      <c r="BI139" s="3276" t="s">
        <v>3344</v>
      </c>
      <c r="BJ139" s="3283"/>
      <c r="BK139" s="3283"/>
      <c r="BL139" s="3267" t="s">
        <v>2998</v>
      </c>
      <c r="BM139" s="3267" t="s">
        <v>2879</v>
      </c>
      <c r="BN139" s="3267" t="s">
        <v>2999</v>
      </c>
      <c r="BO139" s="3267" t="s">
        <v>3000</v>
      </c>
      <c r="BP139" s="3267"/>
      <c r="BQ139" s="3276" t="e">
        <v>#DIV/0!</v>
      </c>
      <c r="BR139" s="3276" t="e">
        <v>#DIV/0!</v>
      </c>
      <c r="BS139" s="3285"/>
      <c r="BT139" s="3285"/>
      <c r="BU139" s="3285"/>
    </row>
    <row r="140" spans="1:73" hidden="1">
      <c r="A140" s="3267" t="s">
        <v>4223</v>
      </c>
      <c r="B140" s="3267" t="s">
        <v>4224</v>
      </c>
      <c r="C140" s="3269" t="s">
        <v>4225</v>
      </c>
      <c r="D140" s="3269" t="s">
        <v>4226</v>
      </c>
      <c r="E140" s="3268" t="s">
        <v>2985</v>
      </c>
      <c r="F140" s="3268" t="s">
        <v>4227</v>
      </c>
      <c r="G140" s="3267"/>
      <c r="H140" s="3267" t="s">
        <v>3683</v>
      </c>
      <c r="I140" s="3268"/>
      <c r="J140" s="3267" t="s">
        <v>4228</v>
      </c>
      <c r="K140" s="3267" t="s">
        <v>4229</v>
      </c>
      <c r="L140" s="3267">
        <v>62.45</v>
      </c>
      <c r="M140" s="3267">
        <v>4</v>
      </c>
      <c r="N140" s="3267" t="s">
        <v>3098</v>
      </c>
      <c r="O140" s="3267"/>
      <c r="P140" s="3267" t="s">
        <v>2963</v>
      </c>
      <c r="Q140" s="3271">
        <v>435000</v>
      </c>
      <c r="R140" s="3267">
        <v>6966</v>
      </c>
      <c r="S140" s="3272">
        <v>39.11</v>
      </c>
      <c r="T140" s="3273">
        <v>391100</v>
      </c>
      <c r="U140" s="3267">
        <v>6264</v>
      </c>
      <c r="V140" s="3289">
        <v>0.2</v>
      </c>
      <c r="W140" s="3272">
        <v>31.28</v>
      </c>
      <c r="X140" s="3275">
        <v>312800</v>
      </c>
      <c r="Y140" s="3276">
        <v>2006</v>
      </c>
      <c r="Z140" s="3267">
        <v>6</v>
      </c>
      <c r="AA140" s="3276">
        <v>2</v>
      </c>
      <c r="AB140" s="3267">
        <v>1170</v>
      </c>
      <c r="AC140" s="3267" t="s">
        <v>3110</v>
      </c>
      <c r="AD140" s="3267"/>
      <c r="AE140" s="3279" t="s">
        <v>4230</v>
      </c>
      <c r="AF140" s="3268" t="s">
        <v>2966</v>
      </c>
      <c r="AG140" s="3279" t="s">
        <v>2967</v>
      </c>
      <c r="AH140" s="3267"/>
      <c r="AI140" s="3267" t="s">
        <v>3115</v>
      </c>
      <c r="AJ140" s="3284"/>
      <c r="AK140" s="3278" t="s">
        <v>3160</v>
      </c>
      <c r="AL140" s="3267">
        <v>82253558</v>
      </c>
      <c r="AM140" s="3276"/>
      <c r="AN140" s="3267" t="s">
        <v>3131</v>
      </c>
      <c r="AO140" s="3267"/>
      <c r="AP140" s="3267" t="s">
        <v>3305</v>
      </c>
      <c r="AQ140" s="3276" t="s">
        <v>3113</v>
      </c>
      <c r="AR140" s="3276"/>
      <c r="AS140" s="3276"/>
      <c r="AT140" s="3276"/>
      <c r="AU140" s="3276"/>
      <c r="AV140" s="3276"/>
      <c r="AW140" s="3276" t="s">
        <v>2997</v>
      </c>
      <c r="AX140" s="3276"/>
      <c r="AY140" s="3291"/>
      <c r="AZ140" s="3267" t="s">
        <v>4229</v>
      </c>
      <c r="BA140" s="3296"/>
      <c r="BB140" s="3297"/>
      <c r="BC140" s="3296"/>
      <c r="BD140" s="3298"/>
      <c r="BE140" s="3276"/>
      <c r="BF140" s="3281"/>
      <c r="BG140" s="3293">
        <v>38857</v>
      </c>
      <c r="BH140" s="3267" t="s">
        <v>2998</v>
      </c>
      <c r="BI140" s="3267" t="s">
        <v>3295</v>
      </c>
      <c r="BJ140" s="3283"/>
      <c r="BK140" s="3283"/>
      <c r="BL140" s="3267" t="s">
        <v>3249</v>
      </c>
      <c r="BM140" s="3276" t="s">
        <v>2879</v>
      </c>
      <c r="BN140" s="3276" t="s">
        <v>2999</v>
      </c>
      <c r="BO140" s="3276" t="s">
        <v>3000</v>
      </c>
      <c r="BP140" s="3276"/>
      <c r="BQ140" s="3276" t="e">
        <v>#DIV/0!</v>
      </c>
      <c r="BR140" s="3276" t="e">
        <v>#DIV/0!</v>
      </c>
      <c r="BS140" s="3285"/>
      <c r="BT140" s="3285"/>
      <c r="BU140" s="3285"/>
    </row>
    <row r="141" spans="1:73" hidden="1">
      <c r="A141" s="3267" t="s">
        <v>4231</v>
      </c>
      <c r="B141" s="3267" t="s">
        <v>4232</v>
      </c>
      <c r="C141" s="3269" t="s">
        <v>4233</v>
      </c>
      <c r="D141" s="3268" t="s">
        <v>4234</v>
      </c>
      <c r="E141" s="3267" t="s">
        <v>2985</v>
      </c>
      <c r="F141" s="3267" t="s">
        <v>4172</v>
      </c>
      <c r="G141" s="3267"/>
      <c r="H141" s="3267" t="s">
        <v>3182</v>
      </c>
      <c r="I141" s="3267"/>
      <c r="J141" s="3267">
        <v>1302</v>
      </c>
      <c r="K141" s="3267" t="s">
        <v>4235</v>
      </c>
      <c r="L141" s="3267">
        <v>68.61</v>
      </c>
      <c r="M141" s="3267">
        <v>13</v>
      </c>
      <c r="N141" s="3267" t="s">
        <v>3152</v>
      </c>
      <c r="O141" s="3267"/>
      <c r="P141" s="3267" t="s">
        <v>2963</v>
      </c>
      <c r="Q141" s="3267">
        <v>595000</v>
      </c>
      <c r="R141" s="3288">
        <v>8672</v>
      </c>
      <c r="S141" s="3272">
        <v>48.76</v>
      </c>
      <c r="T141" s="3273">
        <v>487600</v>
      </c>
      <c r="U141" s="3267">
        <v>7108</v>
      </c>
      <c r="V141" s="3289">
        <v>0.2</v>
      </c>
      <c r="W141" s="3272">
        <v>39</v>
      </c>
      <c r="X141" s="3273">
        <v>390000</v>
      </c>
      <c r="Y141" s="3267">
        <v>2006</v>
      </c>
      <c r="Z141" s="3276">
        <v>7</v>
      </c>
      <c r="AA141" s="3267">
        <v>3</v>
      </c>
      <c r="AB141" s="3267">
        <v>1460</v>
      </c>
      <c r="AC141" s="3267" t="s">
        <v>3110</v>
      </c>
      <c r="AD141" s="3267"/>
      <c r="AE141" s="3267" t="s">
        <v>3344</v>
      </c>
      <c r="AF141" s="3267" t="s">
        <v>2966</v>
      </c>
      <c r="AG141" s="3267" t="s">
        <v>2967</v>
      </c>
      <c r="AH141" s="3267"/>
      <c r="AI141" s="3267" t="s">
        <v>3115</v>
      </c>
      <c r="AJ141" s="3267"/>
      <c r="AK141" s="3278" t="s">
        <v>2993</v>
      </c>
      <c r="AL141" s="3276">
        <v>51</v>
      </c>
      <c r="AM141" s="3276"/>
      <c r="AN141" s="3279" t="s">
        <v>3131</v>
      </c>
      <c r="AO141" s="3267" t="s">
        <v>4236</v>
      </c>
      <c r="AP141" s="3267" t="s">
        <v>3180</v>
      </c>
      <c r="AQ141" s="3276" t="s">
        <v>3113</v>
      </c>
      <c r="AR141" s="3276" t="s">
        <v>3262</v>
      </c>
      <c r="AS141" s="3267"/>
      <c r="AT141" s="3267"/>
      <c r="AU141" s="3267"/>
      <c r="AV141" s="3267"/>
      <c r="AW141" s="3267" t="s">
        <v>3119</v>
      </c>
      <c r="AX141" s="3267"/>
      <c r="AY141" s="3267"/>
      <c r="AZ141" s="3267" t="s">
        <v>4235</v>
      </c>
      <c r="BA141" s="3267"/>
      <c r="BB141" s="3267"/>
      <c r="BC141" s="3267"/>
      <c r="BD141" s="3267"/>
      <c r="BE141" s="3267">
        <v>13916310978</v>
      </c>
      <c r="BF141" s="3267"/>
      <c r="BG141" s="3284">
        <v>38879</v>
      </c>
      <c r="BH141" s="3267"/>
      <c r="BI141" s="3276" t="s">
        <v>3344</v>
      </c>
      <c r="BJ141" s="3284"/>
      <c r="BK141" s="3267"/>
      <c r="BL141" s="3267" t="s">
        <v>2998</v>
      </c>
      <c r="BM141" s="3267" t="s">
        <v>2879</v>
      </c>
      <c r="BN141" s="3267" t="s">
        <v>2999</v>
      </c>
      <c r="BO141" s="3267" t="s">
        <v>3146</v>
      </c>
      <c r="BP141" s="3267"/>
      <c r="BQ141" s="3276" t="e">
        <v>#DIV/0!</v>
      </c>
      <c r="BR141" s="3276" t="e">
        <v>#DIV/0!</v>
      </c>
      <c r="BS141" s="3285"/>
      <c r="BT141" s="3285"/>
      <c r="BU141" s="3285"/>
    </row>
    <row r="142" spans="1:73" hidden="1">
      <c r="A142" s="3267" t="s">
        <v>4237</v>
      </c>
      <c r="B142" s="3267" t="s">
        <v>4238</v>
      </c>
      <c r="C142" s="3269" t="s">
        <v>4239</v>
      </c>
      <c r="D142" s="3267">
        <v>13581927793</v>
      </c>
      <c r="E142" s="3267" t="s">
        <v>2985</v>
      </c>
      <c r="F142" s="3267" t="s">
        <v>4240</v>
      </c>
      <c r="G142" s="3267"/>
      <c r="H142" s="3267" t="s">
        <v>3130</v>
      </c>
      <c r="I142" s="3267"/>
      <c r="J142" s="3267" t="s">
        <v>4241</v>
      </c>
      <c r="K142" s="3268" t="s">
        <v>4242</v>
      </c>
      <c r="L142" s="3267">
        <v>149.97</v>
      </c>
      <c r="M142" s="3267">
        <v>22</v>
      </c>
      <c r="N142" s="3267" t="s">
        <v>3129</v>
      </c>
      <c r="O142" s="3267">
        <v>123.79</v>
      </c>
      <c r="P142" s="3267" t="s">
        <v>2963</v>
      </c>
      <c r="Q142" s="3267">
        <v>830000</v>
      </c>
      <c r="R142" s="3267">
        <v>5534</v>
      </c>
      <c r="S142" s="3272">
        <v>88.33</v>
      </c>
      <c r="T142" s="3273">
        <v>883300</v>
      </c>
      <c r="U142" s="3267">
        <v>5890</v>
      </c>
      <c r="V142" s="3274">
        <v>0.3</v>
      </c>
      <c r="W142" s="3272">
        <v>61.83</v>
      </c>
      <c r="X142" s="3275">
        <v>618300</v>
      </c>
      <c r="Y142" s="3267">
        <v>2006</v>
      </c>
      <c r="Z142" s="3267">
        <v>7</v>
      </c>
      <c r="AA142" s="3276">
        <v>14</v>
      </c>
      <c r="AB142" s="3267">
        <v>1500</v>
      </c>
      <c r="AC142" s="3267" t="s">
        <v>3110</v>
      </c>
      <c r="AD142" s="3269"/>
      <c r="AE142" s="3267" t="s">
        <v>2991</v>
      </c>
      <c r="AF142" s="3267" t="s">
        <v>2966</v>
      </c>
      <c r="AG142" s="3267" t="s">
        <v>2967</v>
      </c>
      <c r="AH142" s="3267"/>
      <c r="AI142" s="3267" t="s">
        <v>3115</v>
      </c>
      <c r="AJ142" s="3284"/>
      <c r="AK142" s="3267" t="s">
        <v>2993</v>
      </c>
      <c r="AL142" s="3267"/>
      <c r="AM142" s="3276"/>
      <c r="AN142" s="3267" t="s">
        <v>3140</v>
      </c>
      <c r="AO142" s="3267" t="s">
        <v>2968</v>
      </c>
      <c r="AP142" s="3267" t="s">
        <v>3180</v>
      </c>
      <c r="AQ142" s="3276" t="s">
        <v>3113</v>
      </c>
      <c r="AR142" s="3267"/>
      <c r="AS142" s="3267"/>
      <c r="AT142" s="3267"/>
      <c r="AU142" s="3267"/>
      <c r="AV142" s="3267"/>
      <c r="AW142" s="3267" t="s">
        <v>2997</v>
      </c>
      <c r="AX142" s="3267"/>
      <c r="AY142" s="3269"/>
      <c r="AZ142" s="3267" t="s">
        <v>4242</v>
      </c>
      <c r="BA142" s="3267"/>
      <c r="BB142" s="3267"/>
      <c r="BC142" s="3267"/>
      <c r="BD142" s="3267"/>
      <c r="BE142" s="3267">
        <v>87893370</v>
      </c>
      <c r="BF142" s="3267"/>
      <c r="BG142" s="3307">
        <v>38864</v>
      </c>
      <c r="BH142" s="3267"/>
      <c r="BI142" s="3267" t="s">
        <v>3295</v>
      </c>
      <c r="BJ142" s="3299"/>
      <c r="BK142" s="3283"/>
      <c r="BL142" s="3267" t="s">
        <v>2998</v>
      </c>
      <c r="BM142" s="3267" t="s">
        <v>2879</v>
      </c>
      <c r="BN142" s="3267" t="s">
        <v>2999</v>
      </c>
      <c r="BO142" s="3267" t="s">
        <v>3000</v>
      </c>
      <c r="BP142" s="3267"/>
      <c r="BQ142" s="3276">
        <v>7135</v>
      </c>
      <c r="BR142" s="3276">
        <v>6705</v>
      </c>
      <c r="BS142" s="3285"/>
      <c r="BT142" s="3285"/>
      <c r="BU142" s="3285"/>
    </row>
    <row r="143" spans="1:73" hidden="1">
      <c r="A143" s="3267" t="s">
        <v>4243</v>
      </c>
      <c r="B143" s="3267" t="s">
        <v>4244</v>
      </c>
      <c r="C143" s="3269" t="s">
        <v>4245</v>
      </c>
      <c r="D143" s="3267">
        <v>13501002906</v>
      </c>
      <c r="E143" s="3267" t="s">
        <v>2985</v>
      </c>
      <c r="F143" s="3267" t="s">
        <v>4246</v>
      </c>
      <c r="G143" s="3267"/>
      <c r="H143" s="3267" t="s">
        <v>3182</v>
      </c>
      <c r="I143" s="3267"/>
      <c r="J143" s="3354" t="s">
        <v>3413</v>
      </c>
      <c r="K143" s="3268" t="s">
        <v>4247</v>
      </c>
      <c r="L143" s="3267">
        <v>156.69</v>
      </c>
      <c r="M143" s="3355">
        <v>16</v>
      </c>
      <c r="N143" s="3267" t="s">
        <v>3129</v>
      </c>
      <c r="O143" s="3267">
        <v>132.01</v>
      </c>
      <c r="P143" s="3267" t="s">
        <v>2963</v>
      </c>
      <c r="Q143" s="3267">
        <v>1269189</v>
      </c>
      <c r="R143" s="3267">
        <v>8100</v>
      </c>
      <c r="S143" s="3272">
        <v>126.19</v>
      </c>
      <c r="T143" s="3273">
        <v>1261900</v>
      </c>
      <c r="U143" s="3267">
        <v>8054</v>
      </c>
      <c r="V143" s="3274">
        <v>0.3</v>
      </c>
      <c r="W143" s="3272">
        <v>88.33</v>
      </c>
      <c r="X143" s="3275">
        <v>883300</v>
      </c>
      <c r="Y143" s="3267">
        <v>2006</v>
      </c>
      <c r="Z143" s="3267">
        <v>8</v>
      </c>
      <c r="AA143" s="3276">
        <v>3</v>
      </c>
      <c r="AB143" s="3267">
        <v>1500</v>
      </c>
      <c r="AC143" s="3267" t="s">
        <v>3110</v>
      </c>
      <c r="AD143" s="3267"/>
      <c r="AE143" s="3276" t="s">
        <v>3295</v>
      </c>
      <c r="AF143" s="3267" t="s">
        <v>2966</v>
      </c>
      <c r="AG143" s="3267" t="s">
        <v>2967</v>
      </c>
      <c r="AH143" s="3267"/>
      <c r="AI143" s="3279" t="s">
        <v>3115</v>
      </c>
      <c r="AJ143" s="3284"/>
      <c r="AK143" s="3278">
        <v>8</v>
      </c>
      <c r="AL143" s="3276"/>
      <c r="AM143" s="3276"/>
      <c r="AN143" s="3267" t="s">
        <v>3131</v>
      </c>
      <c r="AO143" s="3267"/>
      <c r="AP143" s="3279" t="s">
        <v>3180</v>
      </c>
      <c r="AQ143" s="3267" t="s">
        <v>3113</v>
      </c>
      <c r="AR143" s="3267"/>
      <c r="AS143" s="3267"/>
      <c r="AT143" s="3267"/>
      <c r="AU143" s="3267"/>
      <c r="AV143" s="3267"/>
      <c r="AW143" s="3267" t="s">
        <v>2997</v>
      </c>
      <c r="AX143" s="3267"/>
      <c r="AY143" s="3269"/>
      <c r="AZ143" s="3267" t="s">
        <v>4247</v>
      </c>
      <c r="BA143" s="3267"/>
      <c r="BB143" s="3267"/>
      <c r="BC143" s="3267"/>
      <c r="BD143" s="3267"/>
      <c r="BE143" s="3267"/>
      <c r="BF143" s="3356"/>
      <c r="BG143" s="3284">
        <v>38924</v>
      </c>
      <c r="BH143" s="3267"/>
      <c r="BI143" s="3268" t="s">
        <v>3295</v>
      </c>
      <c r="BJ143" s="3299">
        <v>38924</v>
      </c>
      <c r="BK143" s="3283"/>
      <c r="BL143" s="3267" t="s">
        <v>3249</v>
      </c>
      <c r="BM143" s="3267" t="s">
        <v>2879</v>
      </c>
      <c r="BN143" s="3267" t="s">
        <v>2999</v>
      </c>
      <c r="BO143" s="3267" t="s">
        <v>3000</v>
      </c>
      <c r="BP143" s="3267"/>
      <c r="BQ143" s="3276">
        <v>9559</v>
      </c>
      <c r="BR143" s="3276">
        <v>9614</v>
      </c>
      <c r="BS143" s="3285"/>
      <c r="BT143" s="3285"/>
      <c r="BU143" s="3285"/>
    </row>
    <row r="144" spans="1:73" hidden="1">
      <c r="A144" s="3267" t="s">
        <v>4248</v>
      </c>
      <c r="B144" s="3267" t="s">
        <v>4249</v>
      </c>
      <c r="C144" s="3267" t="s">
        <v>4250</v>
      </c>
      <c r="D144" s="3267" t="s">
        <v>4251</v>
      </c>
      <c r="E144" s="3267" t="s">
        <v>2985</v>
      </c>
      <c r="F144" s="3267" t="s">
        <v>4252</v>
      </c>
      <c r="G144" s="3267"/>
      <c r="H144" s="3267" t="s">
        <v>4253</v>
      </c>
      <c r="I144" s="3267" t="s">
        <v>3318</v>
      </c>
      <c r="J144" s="3267" t="s">
        <v>4254</v>
      </c>
      <c r="K144" s="3267" t="s">
        <v>4255</v>
      </c>
      <c r="L144" s="3267">
        <v>57.95</v>
      </c>
      <c r="M144" s="3267">
        <v>1</v>
      </c>
      <c r="N144" s="3267" t="s">
        <v>3122</v>
      </c>
      <c r="O144" s="3267"/>
      <c r="P144" s="3267" t="s">
        <v>2963</v>
      </c>
      <c r="Q144" s="3267">
        <v>500000</v>
      </c>
      <c r="R144" s="3267">
        <v>8628</v>
      </c>
      <c r="S144" s="3272">
        <v>41.42</v>
      </c>
      <c r="T144" s="3273">
        <v>414200</v>
      </c>
      <c r="U144" s="3267">
        <v>7148</v>
      </c>
      <c r="V144" s="3289">
        <v>0.2</v>
      </c>
      <c r="W144" s="3272">
        <v>33.130000000000003</v>
      </c>
      <c r="X144" s="3275">
        <v>331300</v>
      </c>
      <c r="Y144" s="3267">
        <v>2006</v>
      </c>
      <c r="Z144" s="3267">
        <v>8</v>
      </c>
      <c r="AA144" s="3267">
        <v>9</v>
      </c>
      <c r="AB144" s="3267">
        <v>1240</v>
      </c>
      <c r="AC144" s="3267" t="s">
        <v>3110</v>
      </c>
      <c r="AD144" s="3267"/>
      <c r="AE144" s="3267" t="s">
        <v>3344</v>
      </c>
      <c r="AF144" s="3267" t="s">
        <v>2966</v>
      </c>
      <c r="AG144" s="3267" t="s">
        <v>2967</v>
      </c>
      <c r="AH144" s="3267"/>
      <c r="AI144" s="3267" t="s">
        <v>3115</v>
      </c>
      <c r="AJ144" s="3267"/>
      <c r="AK144" s="3267" t="s">
        <v>4256</v>
      </c>
      <c r="AL144" s="3267">
        <v>40</v>
      </c>
      <c r="AM144" s="3267"/>
      <c r="AN144" s="3267" t="s">
        <v>3140</v>
      </c>
      <c r="AO144" s="3267" t="s">
        <v>4257</v>
      </c>
      <c r="AP144" s="3267" t="s">
        <v>3180</v>
      </c>
      <c r="AQ144" s="3267" t="s">
        <v>3113</v>
      </c>
      <c r="AR144" s="3267"/>
      <c r="AS144" s="3267"/>
      <c r="AT144" s="3267"/>
      <c r="AU144" s="3267"/>
      <c r="AV144" s="3267"/>
      <c r="AW144" s="3267" t="s">
        <v>3119</v>
      </c>
      <c r="AX144" s="3267"/>
      <c r="AY144" s="3269"/>
      <c r="AZ144" s="3267" t="s">
        <v>4255</v>
      </c>
      <c r="BA144" s="3267"/>
      <c r="BB144" s="3269"/>
      <c r="BC144" s="3267"/>
      <c r="BD144" s="3304"/>
      <c r="BE144" s="3267">
        <v>13910017632</v>
      </c>
      <c r="BF144" s="3305"/>
      <c r="BG144" s="3284">
        <v>38910</v>
      </c>
      <c r="BH144" s="3267"/>
      <c r="BI144" s="3267" t="s">
        <v>3344</v>
      </c>
      <c r="BJ144" s="3303"/>
      <c r="BK144" s="3303"/>
      <c r="BL144" s="3267" t="s">
        <v>2998</v>
      </c>
      <c r="BM144" s="3267" t="s">
        <v>2879</v>
      </c>
      <c r="BN144" s="3267" t="s">
        <v>2999</v>
      </c>
      <c r="BO144" s="3267" t="s">
        <v>3146</v>
      </c>
      <c r="BP144" s="3267"/>
      <c r="BQ144" s="3276" t="e">
        <v>#DIV/0!</v>
      </c>
      <c r="BR144" s="3276" t="e">
        <v>#DIV/0!</v>
      </c>
      <c r="BS144" s="3285"/>
      <c r="BT144" s="3285"/>
      <c r="BU144" s="3285"/>
    </row>
    <row r="145" spans="1:73" hidden="1">
      <c r="A145" s="3267" t="s">
        <v>4258</v>
      </c>
      <c r="B145" s="3267" t="s">
        <v>4259</v>
      </c>
      <c r="C145" s="3269" t="s">
        <v>4260</v>
      </c>
      <c r="D145" s="3269" t="s">
        <v>4261</v>
      </c>
      <c r="E145" s="3267" t="s">
        <v>2985</v>
      </c>
      <c r="F145" s="3244" t="s">
        <v>4262</v>
      </c>
      <c r="G145" s="3267"/>
      <c r="H145" s="3267" t="s">
        <v>3127</v>
      </c>
      <c r="I145" s="3267" t="s">
        <v>3608</v>
      </c>
      <c r="J145" s="3269" t="s">
        <v>3123</v>
      </c>
      <c r="K145" s="3267" t="s">
        <v>4263</v>
      </c>
      <c r="L145" s="3267">
        <v>57.88</v>
      </c>
      <c r="M145" s="3267">
        <v>4</v>
      </c>
      <c r="N145" s="3267" t="s">
        <v>3122</v>
      </c>
      <c r="O145" s="3267"/>
      <c r="P145" s="3267" t="s">
        <v>2963</v>
      </c>
      <c r="Q145" s="3271">
        <v>500000</v>
      </c>
      <c r="R145" s="3267">
        <v>8639</v>
      </c>
      <c r="S145" s="3272">
        <v>40.840000000000003</v>
      </c>
      <c r="T145" s="3273">
        <v>408400.00000000006</v>
      </c>
      <c r="U145" s="3267">
        <v>7057</v>
      </c>
      <c r="V145" s="3274">
        <v>0.2</v>
      </c>
      <c r="W145" s="3272">
        <v>32.67</v>
      </c>
      <c r="X145" s="3275">
        <v>326700</v>
      </c>
      <c r="Y145" s="3267">
        <v>2006</v>
      </c>
      <c r="Z145" s="3267">
        <v>8</v>
      </c>
      <c r="AA145" s="3276">
        <v>9</v>
      </c>
      <c r="AB145" s="3267">
        <v>1225</v>
      </c>
      <c r="AC145" s="3267" t="s">
        <v>3110</v>
      </c>
      <c r="AD145" s="3269"/>
      <c r="AE145" s="3267" t="s">
        <v>3176</v>
      </c>
      <c r="AF145" s="3267" t="s">
        <v>2966</v>
      </c>
      <c r="AG145" s="3267" t="s">
        <v>2967</v>
      </c>
      <c r="AH145" s="3267"/>
      <c r="AI145" s="3267" t="s">
        <v>3115</v>
      </c>
      <c r="AJ145" s="3284"/>
      <c r="AK145" s="3278">
        <v>8</v>
      </c>
      <c r="AL145" s="3267"/>
      <c r="AM145" s="3267"/>
      <c r="AN145" s="3267" t="s">
        <v>3140</v>
      </c>
      <c r="AO145" s="3276"/>
      <c r="AP145" s="3267" t="s">
        <v>3180</v>
      </c>
      <c r="AQ145" s="3267" t="s">
        <v>3113</v>
      </c>
      <c r="AR145" s="3276"/>
      <c r="AS145" s="3276"/>
      <c r="AT145" s="3276"/>
      <c r="AU145" s="3276"/>
      <c r="AV145" s="3276"/>
      <c r="AW145" s="3276" t="s">
        <v>2997</v>
      </c>
      <c r="AX145" s="3276"/>
      <c r="AY145" s="3291"/>
      <c r="AZ145" s="3267" t="s">
        <v>4263</v>
      </c>
      <c r="BA145" s="3276"/>
      <c r="BB145" s="3291"/>
      <c r="BC145" s="3276"/>
      <c r="BD145" s="3292"/>
      <c r="BE145" s="3276">
        <v>13701119663</v>
      </c>
      <c r="BF145" s="3281"/>
      <c r="BG145" s="3299">
        <v>38916</v>
      </c>
      <c r="BH145" s="3267"/>
      <c r="BI145" s="3267" t="s">
        <v>3295</v>
      </c>
      <c r="BJ145" s="3299"/>
      <c r="BK145" s="3283"/>
      <c r="BL145" s="3267" t="s">
        <v>2998</v>
      </c>
      <c r="BM145" s="3267" t="s">
        <v>2879</v>
      </c>
      <c r="BN145" s="3267" t="s">
        <v>2999</v>
      </c>
      <c r="BO145" s="3267" t="s">
        <v>3000</v>
      </c>
      <c r="BP145" s="3276"/>
      <c r="BQ145" s="3276" t="e">
        <v>#DIV/0!</v>
      </c>
      <c r="BR145" s="3276" t="e">
        <v>#DIV/0!</v>
      </c>
      <c r="BS145" s="3285"/>
      <c r="BT145" s="3285"/>
      <c r="BU145" s="3285"/>
    </row>
    <row r="146" spans="1:73">
      <c r="A146" s="3267" t="s">
        <v>4264</v>
      </c>
      <c r="B146" s="3267" t="s">
        <v>4265</v>
      </c>
      <c r="C146" s="3269" t="s">
        <v>4266</v>
      </c>
      <c r="D146" s="3269" t="s">
        <v>4267</v>
      </c>
      <c r="E146" s="3267" t="s">
        <v>2985</v>
      </c>
      <c r="F146" s="3244" t="s">
        <v>4268</v>
      </c>
      <c r="G146" s="3267"/>
      <c r="H146" s="3267" t="s">
        <v>3130</v>
      </c>
      <c r="I146" s="3267"/>
      <c r="J146" s="3269" t="s">
        <v>4269</v>
      </c>
      <c r="K146" s="3267" t="s">
        <v>4265</v>
      </c>
      <c r="L146" s="3267">
        <v>95.61</v>
      </c>
      <c r="M146" s="3267">
        <v>17</v>
      </c>
      <c r="N146" s="3267" t="s">
        <v>3122</v>
      </c>
      <c r="O146" s="3267">
        <v>74.709999999999994</v>
      </c>
      <c r="P146" s="3267" t="s">
        <v>2963</v>
      </c>
      <c r="Q146" s="3271">
        <v>800000</v>
      </c>
      <c r="R146" s="3267">
        <v>8367</v>
      </c>
      <c r="S146" s="3272">
        <v>62.12</v>
      </c>
      <c r="T146" s="3273">
        <v>621200</v>
      </c>
      <c r="U146" s="3267">
        <v>6498</v>
      </c>
      <c r="V146" s="3289">
        <v>0.3</v>
      </c>
      <c r="W146" s="3272">
        <v>43.48</v>
      </c>
      <c r="X146" s="3275">
        <v>434800</v>
      </c>
      <c r="Y146" s="3276">
        <v>2006</v>
      </c>
      <c r="Z146" s="3276">
        <v>8</v>
      </c>
      <c r="AA146" s="3276">
        <v>10</v>
      </c>
      <c r="AB146" s="3267">
        <v>1500</v>
      </c>
      <c r="AC146" s="3267" t="s">
        <v>3110</v>
      </c>
      <c r="AD146" s="3267"/>
      <c r="AE146" s="3276" t="s">
        <v>3344</v>
      </c>
      <c r="AF146" s="3268" t="s">
        <v>2966</v>
      </c>
      <c r="AG146" s="3267" t="s">
        <v>2967</v>
      </c>
      <c r="AH146" s="3267"/>
      <c r="AI146" s="3267" t="s">
        <v>3115</v>
      </c>
      <c r="AJ146" s="3284"/>
      <c r="AK146" s="3316" t="s">
        <v>4256</v>
      </c>
      <c r="AL146" s="3276">
        <v>54</v>
      </c>
      <c r="AM146" s="3276" t="s">
        <v>4270</v>
      </c>
      <c r="AN146" s="3276" t="s">
        <v>3140</v>
      </c>
      <c r="AO146" s="3276" t="s">
        <v>4271</v>
      </c>
      <c r="AP146" s="3276" t="s">
        <v>3180</v>
      </c>
      <c r="AQ146" s="3267" t="s">
        <v>3113</v>
      </c>
      <c r="AR146" s="3276"/>
      <c r="AS146" s="3276"/>
      <c r="AT146" s="3276"/>
      <c r="AU146" s="3276"/>
      <c r="AV146" s="3276"/>
      <c r="AW146" s="3276" t="s">
        <v>3119</v>
      </c>
      <c r="AX146" s="3276"/>
      <c r="AY146" s="3291"/>
      <c r="AZ146" s="3276" t="s">
        <v>4272</v>
      </c>
      <c r="BA146" s="3276"/>
      <c r="BB146" s="3291"/>
      <c r="BC146" s="3276"/>
      <c r="BD146" s="3292"/>
      <c r="BE146" s="3276" t="s">
        <v>4273</v>
      </c>
      <c r="BF146" s="3281"/>
      <c r="BG146" s="3299">
        <v>38916</v>
      </c>
      <c r="BH146" s="3276"/>
      <c r="BI146" s="3276" t="s">
        <v>3344</v>
      </c>
      <c r="BJ146" s="3283"/>
      <c r="BK146" s="3283"/>
      <c r="BL146" s="3267" t="s">
        <v>2998</v>
      </c>
      <c r="BM146" s="3267" t="s">
        <v>2879</v>
      </c>
      <c r="BN146" s="3267" t="s">
        <v>2999</v>
      </c>
      <c r="BO146" s="3267" t="s">
        <v>3146</v>
      </c>
      <c r="BP146" s="3276"/>
      <c r="BQ146" s="3276">
        <v>8315</v>
      </c>
      <c r="BR146" s="3276">
        <v>10708</v>
      </c>
      <c r="BS146" s="3285"/>
      <c r="BT146" s="3285"/>
      <c r="BU146" s="3285"/>
    </row>
    <row r="147" spans="1:73">
      <c r="A147" s="3267" t="s">
        <v>4274</v>
      </c>
      <c r="B147" s="3267" t="s">
        <v>4275</v>
      </c>
      <c r="C147" s="3269" t="s">
        <v>4276</v>
      </c>
      <c r="D147" s="3269" t="s">
        <v>4277</v>
      </c>
      <c r="E147" s="3267" t="s">
        <v>2985</v>
      </c>
      <c r="F147" s="3267" t="s">
        <v>4105</v>
      </c>
      <c r="G147" s="3267"/>
      <c r="H147" s="3267" t="s">
        <v>3130</v>
      </c>
      <c r="I147" s="3267"/>
      <c r="J147" s="3269" t="s">
        <v>3684</v>
      </c>
      <c r="K147" s="3267" t="s">
        <v>4278</v>
      </c>
      <c r="L147" s="3286">
        <v>46.2</v>
      </c>
      <c r="M147" s="3269" t="s">
        <v>4279</v>
      </c>
      <c r="N147" s="3267" t="s">
        <v>3152</v>
      </c>
      <c r="O147" s="3267"/>
      <c r="P147" s="3267" t="s">
        <v>2963</v>
      </c>
      <c r="Q147" s="3287">
        <v>460000</v>
      </c>
      <c r="R147" s="3267">
        <v>9957</v>
      </c>
      <c r="S147" s="3272">
        <v>36.47</v>
      </c>
      <c r="T147" s="3273">
        <v>364700</v>
      </c>
      <c r="U147" s="3267">
        <v>7895</v>
      </c>
      <c r="V147" s="3289">
        <v>0.2</v>
      </c>
      <c r="W147" s="3272">
        <v>29.17</v>
      </c>
      <c r="X147" s="3275">
        <v>291700</v>
      </c>
      <c r="Y147" s="3276">
        <v>2006</v>
      </c>
      <c r="Z147" s="3276">
        <v>8</v>
      </c>
      <c r="AA147" s="3276">
        <v>29</v>
      </c>
      <c r="AB147" s="3267">
        <v>1090</v>
      </c>
      <c r="AC147" s="3267" t="s">
        <v>3110</v>
      </c>
      <c r="AD147" s="3269"/>
      <c r="AE147" s="3267" t="s">
        <v>3295</v>
      </c>
      <c r="AF147" s="3267" t="s">
        <v>2966</v>
      </c>
      <c r="AG147" s="3267" t="s">
        <v>2967</v>
      </c>
      <c r="AH147" s="3267"/>
      <c r="AI147" s="3279" t="s">
        <v>3115</v>
      </c>
      <c r="AJ147" s="3284"/>
      <c r="AK147" s="3278">
        <v>8</v>
      </c>
      <c r="AL147" s="3276"/>
      <c r="AM147" s="3267"/>
      <c r="AN147" s="3279" t="s">
        <v>3099</v>
      </c>
      <c r="AO147" s="3267"/>
      <c r="AP147" s="3279" t="s">
        <v>3180</v>
      </c>
      <c r="AQ147" s="3276" t="s">
        <v>3113</v>
      </c>
      <c r="AR147" s="3276"/>
      <c r="AS147" s="3276"/>
      <c r="AT147" s="3276"/>
      <c r="AU147" s="3276"/>
      <c r="AV147" s="3276"/>
      <c r="AW147" s="3267" t="s">
        <v>3112</v>
      </c>
      <c r="AX147" s="3276"/>
      <c r="AY147" s="3291"/>
      <c r="AZ147" s="3291" t="s">
        <v>4280</v>
      </c>
      <c r="BA147" s="3276"/>
      <c r="BB147" s="3291"/>
      <c r="BC147" s="3276"/>
      <c r="BD147" s="3292"/>
      <c r="BE147" s="3276"/>
      <c r="BF147" s="3281"/>
      <c r="BG147" s="3299">
        <v>38942</v>
      </c>
      <c r="BH147" s="3267" t="s">
        <v>2998</v>
      </c>
      <c r="BI147" s="3276" t="s">
        <v>3295</v>
      </c>
      <c r="BJ147" s="3283"/>
      <c r="BK147" s="3283"/>
      <c r="BL147" s="3267" t="s">
        <v>3249</v>
      </c>
      <c r="BM147" s="3267" t="s">
        <v>2879</v>
      </c>
      <c r="BN147" s="3267" t="s">
        <v>2999</v>
      </c>
      <c r="BO147" s="3276" t="s">
        <v>3000</v>
      </c>
      <c r="BP147" s="3276"/>
      <c r="BQ147" s="3276" t="e">
        <v>#DIV/0!</v>
      </c>
      <c r="BR147" s="3276" t="e">
        <v>#DIV/0!</v>
      </c>
      <c r="BS147" s="3285"/>
      <c r="BT147" s="3285"/>
      <c r="BU147" s="3285"/>
    </row>
    <row r="148" spans="1:73" hidden="1">
      <c r="A148" s="3268" t="s">
        <v>4281</v>
      </c>
      <c r="B148" s="3267" t="s">
        <v>4282</v>
      </c>
      <c r="C148" s="3269" t="s">
        <v>4283</v>
      </c>
      <c r="D148" s="3269" t="s">
        <v>4284</v>
      </c>
      <c r="E148" s="3267" t="s">
        <v>2985</v>
      </c>
      <c r="F148" s="3267" t="s">
        <v>4285</v>
      </c>
      <c r="G148" s="3267"/>
      <c r="H148" s="3267" t="s">
        <v>4253</v>
      </c>
      <c r="I148" s="3267" t="s">
        <v>3586</v>
      </c>
      <c r="J148" s="3269" t="s">
        <v>4286</v>
      </c>
      <c r="K148" s="3267" t="s">
        <v>4287</v>
      </c>
      <c r="L148" s="3267">
        <v>59.55</v>
      </c>
      <c r="M148" s="3267">
        <v>5</v>
      </c>
      <c r="N148" s="3267" t="s">
        <v>3122</v>
      </c>
      <c r="O148" s="3267"/>
      <c r="P148" s="3267" t="s">
        <v>2963</v>
      </c>
      <c r="Q148" s="3271">
        <v>560000</v>
      </c>
      <c r="R148" s="3267">
        <v>9404</v>
      </c>
      <c r="S148" s="3272">
        <v>45.3</v>
      </c>
      <c r="T148" s="3273">
        <v>453000</v>
      </c>
      <c r="U148" s="3267">
        <v>7608</v>
      </c>
      <c r="V148" s="3289">
        <v>0.2</v>
      </c>
      <c r="W148" s="3272">
        <v>36.24</v>
      </c>
      <c r="X148" s="3275">
        <v>362400</v>
      </c>
      <c r="Y148" s="3276">
        <v>2006</v>
      </c>
      <c r="Z148" s="3276">
        <v>9</v>
      </c>
      <c r="AA148" s="3276">
        <v>12</v>
      </c>
      <c r="AB148" s="3267">
        <v>1355</v>
      </c>
      <c r="AC148" s="3267" t="s">
        <v>3110</v>
      </c>
      <c r="AD148" s="3267"/>
      <c r="AE148" s="3314" t="s">
        <v>3344</v>
      </c>
      <c r="AF148" s="3267" t="s">
        <v>2966</v>
      </c>
      <c r="AG148" s="3267" t="s">
        <v>2967</v>
      </c>
      <c r="AH148" s="3267"/>
      <c r="AI148" s="3267" t="s">
        <v>3115</v>
      </c>
      <c r="AJ148" s="3284"/>
      <c r="AK148" s="3316" t="s">
        <v>3154</v>
      </c>
      <c r="AL148" s="3276">
        <v>30</v>
      </c>
      <c r="AM148" s="3267"/>
      <c r="AN148" s="3276" t="s">
        <v>3114</v>
      </c>
      <c r="AO148" s="3276"/>
      <c r="AP148" s="3276" t="s">
        <v>3180</v>
      </c>
      <c r="AQ148" s="3276" t="s">
        <v>3113</v>
      </c>
      <c r="AR148" s="3276"/>
      <c r="AS148" s="3276"/>
      <c r="AT148" s="3276"/>
      <c r="AU148" s="3276"/>
      <c r="AV148" s="3276"/>
      <c r="AW148" s="3276" t="s">
        <v>3119</v>
      </c>
      <c r="AX148" s="3276"/>
      <c r="AY148" s="3291"/>
      <c r="AZ148" s="3276" t="s">
        <v>4287</v>
      </c>
      <c r="BA148" s="3276"/>
      <c r="BB148" s="3291"/>
      <c r="BC148" s="3276"/>
      <c r="BD148" s="3292"/>
      <c r="BE148" s="3276"/>
      <c r="BF148" s="3281"/>
      <c r="BG148" s="3299">
        <v>38961</v>
      </c>
      <c r="BH148" s="3276"/>
      <c r="BI148" s="3276" t="s">
        <v>3344</v>
      </c>
      <c r="BJ148" s="3283"/>
      <c r="BK148" s="3283"/>
      <c r="BL148" s="3267" t="s">
        <v>2998</v>
      </c>
      <c r="BM148" s="3276" t="s">
        <v>2879</v>
      </c>
      <c r="BN148" s="3276" t="s">
        <v>2999</v>
      </c>
      <c r="BO148" s="3276" t="s">
        <v>3000</v>
      </c>
      <c r="BP148" s="3276"/>
      <c r="BQ148" s="3276" t="e">
        <v>#DIV/0!</v>
      </c>
      <c r="BR148" s="3276" t="e">
        <v>#DIV/0!</v>
      </c>
      <c r="BS148" s="3285"/>
      <c r="BT148" s="3285"/>
      <c r="BU148" s="3285"/>
    </row>
    <row r="149" spans="1:73" hidden="1">
      <c r="A149" s="3268" t="s">
        <v>4288</v>
      </c>
      <c r="B149" s="3267" t="s">
        <v>4289</v>
      </c>
      <c r="C149" s="3269" t="s">
        <v>4290</v>
      </c>
      <c r="D149" s="3269" t="s">
        <v>4291</v>
      </c>
      <c r="E149" s="3267" t="s">
        <v>2985</v>
      </c>
      <c r="F149" s="3267" t="s">
        <v>4292</v>
      </c>
      <c r="G149" s="3267"/>
      <c r="H149" s="3267" t="s">
        <v>3402</v>
      </c>
      <c r="I149" s="3267" t="s">
        <v>3191</v>
      </c>
      <c r="J149" s="3269" t="s">
        <v>3266</v>
      </c>
      <c r="K149" s="3267" t="s">
        <v>4293</v>
      </c>
      <c r="L149" s="3267">
        <v>61.5</v>
      </c>
      <c r="M149" s="3267">
        <v>3</v>
      </c>
      <c r="N149" s="3267" t="s">
        <v>3122</v>
      </c>
      <c r="O149" s="3267"/>
      <c r="P149" s="3267" t="s">
        <v>2963</v>
      </c>
      <c r="Q149" s="3271">
        <v>540000</v>
      </c>
      <c r="R149" s="3267">
        <v>8780</v>
      </c>
      <c r="S149" s="3272">
        <v>38.32</v>
      </c>
      <c r="T149" s="3273">
        <v>383200</v>
      </c>
      <c r="U149" s="3267">
        <v>6231</v>
      </c>
      <c r="V149" s="3289">
        <v>0.2</v>
      </c>
      <c r="W149" s="3272">
        <v>30.65</v>
      </c>
      <c r="X149" s="3275">
        <v>306500</v>
      </c>
      <c r="Y149" s="3276">
        <v>2006</v>
      </c>
      <c r="Z149" s="3276">
        <v>9</v>
      </c>
      <c r="AA149" s="3276">
        <v>29</v>
      </c>
      <c r="AB149" s="3267">
        <v>1145</v>
      </c>
      <c r="AC149" s="3267" t="s">
        <v>3110</v>
      </c>
      <c r="AD149" s="3267"/>
      <c r="AE149" s="3279" t="s">
        <v>3344</v>
      </c>
      <c r="AF149" s="3267" t="s">
        <v>2966</v>
      </c>
      <c r="AG149" s="3267" t="s">
        <v>2967</v>
      </c>
      <c r="AH149" s="3267"/>
      <c r="AI149" s="3267" t="s">
        <v>3115</v>
      </c>
      <c r="AJ149" s="3284"/>
      <c r="AK149" s="3316" t="s">
        <v>3154</v>
      </c>
      <c r="AL149" s="3276">
        <v>3</v>
      </c>
      <c r="AM149" s="3267" t="s">
        <v>4294</v>
      </c>
      <c r="AN149" s="3276" t="s">
        <v>2994</v>
      </c>
      <c r="AO149" s="3276" t="s">
        <v>4295</v>
      </c>
      <c r="AP149" s="3276" t="s">
        <v>3180</v>
      </c>
      <c r="AQ149" s="3276" t="s">
        <v>3113</v>
      </c>
      <c r="AR149" s="3276"/>
      <c r="AS149" s="3276"/>
      <c r="AT149" s="3276"/>
      <c r="AU149" s="3276"/>
      <c r="AV149" s="3276"/>
      <c r="AW149" s="3276" t="s">
        <v>3119</v>
      </c>
      <c r="AX149" s="3276"/>
      <c r="AY149" s="3291"/>
      <c r="AZ149" s="3276" t="s">
        <v>4293</v>
      </c>
      <c r="BA149" s="3276"/>
      <c r="BB149" s="3291"/>
      <c r="BC149" s="3276"/>
      <c r="BD149" s="3292"/>
      <c r="BE149" s="3276">
        <v>13621007170</v>
      </c>
      <c r="BF149" s="3281"/>
      <c r="BG149" s="3299">
        <v>38989</v>
      </c>
      <c r="BH149" s="3276"/>
      <c r="BI149" s="3314" t="s">
        <v>3344</v>
      </c>
      <c r="BJ149" s="3283"/>
      <c r="BK149" s="3283"/>
      <c r="BL149" s="3267" t="s">
        <v>2998</v>
      </c>
      <c r="BM149" s="3276" t="s">
        <v>2879</v>
      </c>
      <c r="BN149" s="3276" t="s">
        <v>2999</v>
      </c>
      <c r="BO149" s="3276" t="s">
        <v>3146</v>
      </c>
      <c r="BP149" s="3276"/>
      <c r="BQ149" s="3276" t="e">
        <v>#DIV/0!</v>
      </c>
      <c r="BR149" s="3276" t="e">
        <v>#DIV/0!</v>
      </c>
      <c r="BS149" s="3285"/>
      <c r="BT149" s="3285"/>
      <c r="BU149" s="3285"/>
    </row>
    <row r="150" spans="1:73" hidden="1">
      <c r="A150" s="3268" t="s">
        <v>4296</v>
      </c>
      <c r="B150" s="3267" t="s">
        <v>4297</v>
      </c>
      <c r="C150" s="3269" t="s">
        <v>4298</v>
      </c>
      <c r="D150" s="3269" t="s">
        <v>4299</v>
      </c>
      <c r="E150" s="3267" t="s">
        <v>2985</v>
      </c>
      <c r="F150" s="3267" t="s">
        <v>3309</v>
      </c>
      <c r="G150" s="3267"/>
      <c r="H150" s="3267" t="s">
        <v>4300</v>
      </c>
      <c r="I150" s="3267"/>
      <c r="J150" s="3269" t="s">
        <v>4082</v>
      </c>
      <c r="K150" s="3267" t="s">
        <v>4301</v>
      </c>
      <c r="L150" s="3267">
        <v>75.599999999999994</v>
      </c>
      <c r="M150" s="3267">
        <v>13</v>
      </c>
      <c r="N150" s="3267" t="s">
        <v>3122</v>
      </c>
      <c r="O150" s="3267"/>
      <c r="P150" s="3267" t="s">
        <v>2963</v>
      </c>
      <c r="Q150" s="3271">
        <v>580000</v>
      </c>
      <c r="R150" s="3267">
        <v>7672</v>
      </c>
      <c r="S150" s="3272">
        <v>51.03</v>
      </c>
      <c r="T150" s="3273">
        <v>510300</v>
      </c>
      <c r="U150" s="3267">
        <v>6750</v>
      </c>
      <c r="V150" s="3289">
        <v>0.2</v>
      </c>
      <c r="W150" s="3272">
        <v>40.82</v>
      </c>
      <c r="X150" s="3275">
        <v>408200</v>
      </c>
      <c r="Y150" s="3276">
        <v>2006</v>
      </c>
      <c r="Z150" s="3276">
        <v>10</v>
      </c>
      <c r="AA150" s="3276">
        <v>16</v>
      </c>
      <c r="AB150" s="3267">
        <v>1500</v>
      </c>
      <c r="AC150" s="3267" t="s">
        <v>3110</v>
      </c>
      <c r="AD150" s="3267"/>
      <c r="AE150" s="3279" t="s">
        <v>3344</v>
      </c>
      <c r="AF150" s="3267" t="s">
        <v>2966</v>
      </c>
      <c r="AG150" s="3267" t="s">
        <v>2967</v>
      </c>
      <c r="AH150" s="3267"/>
      <c r="AI150" s="3267" t="s">
        <v>3115</v>
      </c>
      <c r="AJ150" s="3284"/>
      <c r="AK150" s="3316" t="s">
        <v>3148</v>
      </c>
      <c r="AL150" s="3276">
        <v>51</v>
      </c>
      <c r="AM150" s="3267"/>
      <c r="AN150" s="3276" t="s">
        <v>3114</v>
      </c>
      <c r="AO150" s="3276"/>
      <c r="AP150" s="3276" t="s">
        <v>3180</v>
      </c>
      <c r="AQ150" s="3276" t="s">
        <v>3113</v>
      </c>
      <c r="AR150" s="3276"/>
      <c r="AS150" s="3276"/>
      <c r="AT150" s="3276"/>
      <c r="AU150" s="3276"/>
      <c r="AV150" s="3276"/>
      <c r="AW150" s="3276" t="s">
        <v>3119</v>
      </c>
      <c r="AX150" s="3276"/>
      <c r="AY150" s="3291"/>
      <c r="AZ150" s="3276" t="s">
        <v>4301</v>
      </c>
      <c r="BA150" s="3276"/>
      <c r="BB150" s="3291"/>
      <c r="BC150" s="3276"/>
      <c r="BD150" s="3292"/>
      <c r="BE150" s="3276">
        <v>13910023130</v>
      </c>
      <c r="BF150" s="3281"/>
      <c r="BG150" s="3299">
        <v>39002</v>
      </c>
      <c r="BH150" s="3276"/>
      <c r="BI150" s="3314" t="s">
        <v>3344</v>
      </c>
      <c r="BJ150" s="3283"/>
      <c r="BK150" s="3283"/>
      <c r="BL150" s="3267" t="s">
        <v>2998</v>
      </c>
      <c r="BM150" s="3276" t="s">
        <v>2879</v>
      </c>
      <c r="BN150" s="3276" t="s">
        <v>3111</v>
      </c>
      <c r="BO150" s="3276" t="s">
        <v>3146</v>
      </c>
      <c r="BP150" s="3276"/>
      <c r="BQ150" s="3276" t="e">
        <v>#DIV/0!</v>
      </c>
      <c r="BR150" s="3276" t="e">
        <v>#DIV/0!</v>
      </c>
      <c r="BS150" s="3285"/>
      <c r="BT150" s="3285"/>
      <c r="BU150" s="3285"/>
    </row>
    <row r="151" spans="1:73" hidden="1">
      <c r="A151" s="3268" t="s">
        <v>4302</v>
      </c>
      <c r="B151" s="3267" t="s">
        <v>4303</v>
      </c>
      <c r="C151" s="3269" t="s">
        <v>4304</v>
      </c>
      <c r="D151" s="3269" t="s">
        <v>4305</v>
      </c>
      <c r="E151" s="3267" t="s">
        <v>2985</v>
      </c>
      <c r="F151" s="3267" t="s">
        <v>4306</v>
      </c>
      <c r="G151" s="3267"/>
      <c r="H151" s="3267" t="s">
        <v>3139</v>
      </c>
      <c r="I151" s="3267"/>
      <c r="J151" s="3269" t="s">
        <v>4269</v>
      </c>
      <c r="K151" s="3267" t="s">
        <v>4307</v>
      </c>
      <c r="L151" s="3267">
        <v>129.66</v>
      </c>
      <c r="M151" s="3267">
        <v>15</v>
      </c>
      <c r="N151" s="3267" t="s">
        <v>3125</v>
      </c>
      <c r="O151" s="3267">
        <v>105.15</v>
      </c>
      <c r="P151" s="3267" t="s">
        <v>2963</v>
      </c>
      <c r="Q151" s="3271">
        <v>820000</v>
      </c>
      <c r="R151" s="3267">
        <v>6324</v>
      </c>
      <c r="S151" s="3272">
        <v>98.96</v>
      </c>
      <c r="T151" s="3273">
        <v>989599.99999999988</v>
      </c>
      <c r="U151" s="3267">
        <v>7633</v>
      </c>
      <c r="V151" s="3289">
        <v>0.3</v>
      </c>
      <c r="W151" s="3272">
        <v>69.27</v>
      </c>
      <c r="X151" s="3275">
        <v>692700</v>
      </c>
      <c r="Y151" s="3276">
        <v>2006</v>
      </c>
      <c r="Z151" s="3276">
        <v>11</v>
      </c>
      <c r="AA151" s="3276">
        <v>13</v>
      </c>
      <c r="AB151" s="3267">
        <v>1500</v>
      </c>
      <c r="AC151" s="3267" t="s">
        <v>3110</v>
      </c>
      <c r="AD151" s="3267"/>
      <c r="AE151" s="3314" t="s">
        <v>3344</v>
      </c>
      <c r="AF151" s="3267" t="s">
        <v>2966</v>
      </c>
      <c r="AG151" s="3267" t="s">
        <v>2967</v>
      </c>
      <c r="AH151" s="3267"/>
      <c r="AI151" s="3267" t="s">
        <v>3115</v>
      </c>
      <c r="AJ151" s="3284"/>
      <c r="AK151" s="3316" t="s">
        <v>3137</v>
      </c>
      <c r="AL151" s="3276">
        <v>56</v>
      </c>
      <c r="AM151" s="3267"/>
      <c r="AN151" s="3276" t="s">
        <v>3114</v>
      </c>
      <c r="AO151" s="3276"/>
      <c r="AP151" s="3276" t="s">
        <v>3180</v>
      </c>
      <c r="AQ151" s="3276" t="s">
        <v>3113</v>
      </c>
      <c r="AR151" s="3276"/>
      <c r="AS151" s="3276"/>
      <c r="AT151" s="3276"/>
      <c r="AU151" s="3276"/>
      <c r="AV151" s="3276"/>
      <c r="AW151" s="3276" t="s">
        <v>3119</v>
      </c>
      <c r="AX151" s="3276"/>
      <c r="AY151" s="3291"/>
      <c r="AZ151" s="3276" t="s">
        <v>4307</v>
      </c>
      <c r="BA151" s="3276"/>
      <c r="BB151" s="3291"/>
      <c r="BC151" s="3276"/>
      <c r="BD151" s="3292"/>
      <c r="BE151" s="3276">
        <v>13141365817</v>
      </c>
      <c r="BF151" s="3281"/>
      <c r="BG151" s="3299">
        <v>39020</v>
      </c>
      <c r="BH151" s="3276"/>
      <c r="BI151" s="3276" t="s">
        <v>3344</v>
      </c>
      <c r="BJ151" s="3283"/>
      <c r="BK151" s="3283"/>
      <c r="BL151" s="3267" t="s">
        <v>2998</v>
      </c>
      <c r="BM151" s="3276" t="s">
        <v>2879</v>
      </c>
      <c r="BN151" s="3276" t="s">
        <v>2999</v>
      </c>
      <c r="BO151" s="3276" t="s">
        <v>3000</v>
      </c>
      <c r="BP151" s="3276"/>
      <c r="BQ151" s="3276">
        <v>9411</v>
      </c>
      <c r="BR151" s="3276">
        <v>7798</v>
      </c>
      <c r="BS151" s="3285"/>
      <c r="BT151" s="3285"/>
      <c r="BU151" s="3285"/>
    </row>
    <row r="152" spans="1:73" hidden="1">
      <c r="A152" s="3267" t="s">
        <v>4308</v>
      </c>
      <c r="B152" s="3268" t="s">
        <v>4309</v>
      </c>
      <c r="C152" s="3269" t="s">
        <v>4310</v>
      </c>
      <c r="D152" s="3268">
        <v>13910864770</v>
      </c>
      <c r="E152" s="3268" t="s">
        <v>2985</v>
      </c>
      <c r="F152" s="3268" t="s">
        <v>3309</v>
      </c>
      <c r="G152" s="3268"/>
      <c r="H152" s="3268" t="s">
        <v>4311</v>
      </c>
      <c r="I152" s="3268"/>
      <c r="J152" s="3268">
        <v>1905</v>
      </c>
      <c r="K152" s="3268" t="s">
        <v>4312</v>
      </c>
      <c r="L152" s="3270">
        <v>81.680000000000007</v>
      </c>
      <c r="M152" s="3270">
        <v>19</v>
      </c>
      <c r="N152" s="3268" t="s">
        <v>3122</v>
      </c>
      <c r="O152" s="3270"/>
      <c r="P152" s="3268" t="s">
        <v>2963</v>
      </c>
      <c r="Q152" s="3271">
        <v>430000</v>
      </c>
      <c r="R152" s="3267">
        <v>5264</v>
      </c>
      <c r="S152" s="3272">
        <v>48.41</v>
      </c>
      <c r="T152" s="3273">
        <v>484100</v>
      </c>
      <c r="U152" s="3267">
        <v>5928</v>
      </c>
      <c r="V152" s="3274">
        <v>0.05</v>
      </c>
      <c r="W152" s="3272">
        <v>45.98</v>
      </c>
      <c r="X152" s="3275">
        <v>459800</v>
      </c>
      <c r="Y152" s="3276">
        <v>2006</v>
      </c>
      <c r="Z152" s="3276">
        <v>3</v>
      </c>
      <c r="AA152" s="3276">
        <v>24</v>
      </c>
      <c r="AB152" s="3267">
        <v>1450</v>
      </c>
      <c r="AC152" s="3267" t="s">
        <v>3227</v>
      </c>
      <c r="AD152" s="3268"/>
      <c r="AE152" s="3267" t="s">
        <v>3344</v>
      </c>
      <c r="AF152" s="3268" t="s">
        <v>2966</v>
      </c>
      <c r="AG152" s="3268" t="s">
        <v>2967</v>
      </c>
      <c r="AH152" s="3268"/>
      <c r="AI152" s="3279" t="s">
        <v>3176</v>
      </c>
      <c r="AJ152" s="3290"/>
      <c r="AK152" s="3278" t="s">
        <v>3114</v>
      </c>
      <c r="AL152" s="3267">
        <v>82253558</v>
      </c>
      <c r="AM152" s="3276"/>
      <c r="AN152" s="3294" t="s">
        <v>2994</v>
      </c>
      <c r="AO152" s="3276"/>
      <c r="AP152" s="3267" t="s">
        <v>3180</v>
      </c>
      <c r="AQ152" s="3276" t="s">
        <v>3113</v>
      </c>
      <c r="AR152" s="3267"/>
      <c r="AS152" s="3267"/>
      <c r="AT152" s="3267"/>
      <c r="AU152" s="3267"/>
      <c r="AV152" s="3277"/>
      <c r="AW152" s="3319" t="s">
        <v>2997</v>
      </c>
      <c r="AX152" s="3268"/>
      <c r="AY152" s="3268"/>
      <c r="AZ152" s="3268" t="s">
        <v>4312</v>
      </c>
      <c r="BA152" s="3268"/>
      <c r="BB152" s="3280"/>
      <c r="BC152" s="3268"/>
      <c r="BD152" s="3268"/>
      <c r="BE152" s="3268">
        <v>13911839927</v>
      </c>
      <c r="BF152" s="3281"/>
      <c r="BG152" s="3307"/>
      <c r="BH152" s="3268"/>
      <c r="BI152" s="3314" t="s">
        <v>3344</v>
      </c>
      <c r="BJ152" s="3299">
        <v>38793</v>
      </c>
      <c r="BK152" s="3284"/>
      <c r="BL152" s="3267" t="s">
        <v>2998</v>
      </c>
      <c r="BM152" s="3267" t="s">
        <v>2879</v>
      </c>
      <c r="BN152" s="3276" t="s">
        <v>2999</v>
      </c>
      <c r="BO152" s="3267" t="s">
        <v>3146</v>
      </c>
      <c r="BP152" s="3276"/>
      <c r="BQ152" s="3276" t="e">
        <v>#DIV/0!</v>
      </c>
      <c r="BR152" s="3276" t="e">
        <v>#DIV/0!</v>
      </c>
      <c r="BS152" s="3285"/>
      <c r="BT152" s="3285"/>
      <c r="BU152" s="3285"/>
    </row>
    <row r="153" spans="1:73" hidden="1">
      <c r="A153" s="3267" t="s">
        <v>4313</v>
      </c>
      <c r="B153" s="3267" t="s">
        <v>4314</v>
      </c>
      <c r="C153" s="3269" t="s">
        <v>4315</v>
      </c>
      <c r="D153" s="3269" t="s">
        <v>4316</v>
      </c>
      <c r="E153" s="3267" t="s">
        <v>2985</v>
      </c>
      <c r="F153" s="3267" t="s">
        <v>3872</v>
      </c>
      <c r="G153" s="3267"/>
      <c r="H153" s="3267" t="s">
        <v>3127</v>
      </c>
      <c r="I153" s="3267"/>
      <c r="J153" s="3269" t="s">
        <v>4317</v>
      </c>
      <c r="K153" s="3267" t="s">
        <v>4314</v>
      </c>
      <c r="L153" s="3267">
        <v>85.94</v>
      </c>
      <c r="M153" s="3267">
        <v>10</v>
      </c>
      <c r="N153" s="3268" t="s">
        <v>3122</v>
      </c>
      <c r="O153" s="3267"/>
      <c r="P153" s="3268" t="s">
        <v>2963</v>
      </c>
      <c r="Q153" s="3287">
        <v>500000</v>
      </c>
      <c r="R153" s="3267">
        <v>5818</v>
      </c>
      <c r="S153" s="3272">
        <v>53.42</v>
      </c>
      <c r="T153" s="3273">
        <v>534200</v>
      </c>
      <c r="U153" s="3287">
        <v>6216</v>
      </c>
      <c r="V153" s="3289">
        <v>0.05</v>
      </c>
      <c r="W153" s="3272">
        <v>50.74</v>
      </c>
      <c r="X153" s="3275">
        <v>507400</v>
      </c>
      <c r="Y153" s="3276">
        <v>2006</v>
      </c>
      <c r="Z153" s="3276">
        <v>1</v>
      </c>
      <c r="AA153" s="3276">
        <v>6</v>
      </c>
      <c r="AB153" s="3267">
        <v>1500</v>
      </c>
      <c r="AC153" s="3268" t="s">
        <v>3227</v>
      </c>
      <c r="AD153" s="3267"/>
      <c r="AE153" s="3268" t="s">
        <v>3304</v>
      </c>
      <c r="AF153" s="3267" t="s">
        <v>2966</v>
      </c>
      <c r="AG153" s="3268" t="s">
        <v>2967</v>
      </c>
      <c r="AH153" s="3267"/>
      <c r="AI153" s="3267" t="s">
        <v>2992</v>
      </c>
      <c r="AJ153" s="3277"/>
      <c r="AK153" s="3316" t="s">
        <v>3131</v>
      </c>
      <c r="AL153" s="3276">
        <v>67641700</v>
      </c>
      <c r="AM153" s="3276"/>
      <c r="AN153" s="3276" t="s">
        <v>3131</v>
      </c>
      <c r="AO153" s="3276"/>
      <c r="AP153" s="3276" t="s">
        <v>3342</v>
      </c>
      <c r="AQ153" s="3267" t="s">
        <v>3113</v>
      </c>
      <c r="AR153" s="3276"/>
      <c r="AS153" s="3276"/>
      <c r="AT153" s="3276"/>
      <c r="AU153" s="3276"/>
      <c r="AV153" s="3276"/>
      <c r="AW153" s="3276" t="s">
        <v>3112</v>
      </c>
      <c r="AX153" s="3276"/>
      <c r="AY153" s="3291"/>
      <c r="AZ153" s="3276"/>
      <c r="BA153" s="3276"/>
      <c r="BB153" s="3291"/>
      <c r="BC153" s="3276"/>
      <c r="BD153" s="3292"/>
      <c r="BE153" s="3276"/>
      <c r="BF153" s="3281"/>
      <c r="BG153" s="3293" t="s">
        <v>4318</v>
      </c>
      <c r="BH153" s="3276"/>
      <c r="BI153" s="3276" t="s">
        <v>3342</v>
      </c>
      <c r="BJ153" s="3283">
        <v>38721</v>
      </c>
      <c r="BK153" s="3283"/>
      <c r="BL153" s="3267" t="s">
        <v>2998</v>
      </c>
      <c r="BM153" s="3276" t="s">
        <v>2879</v>
      </c>
      <c r="BN153" s="3276" t="s">
        <v>3111</v>
      </c>
      <c r="BO153" s="3276" t="s">
        <v>3146</v>
      </c>
      <c r="BP153" s="3276"/>
      <c r="BQ153" s="3276"/>
      <c r="BR153" s="3276"/>
      <c r="BS153" s="3285"/>
      <c r="BT153" s="3285"/>
      <c r="BU153" s="3285"/>
    </row>
    <row r="154" spans="1:73" hidden="1">
      <c r="A154" s="3267" t="s">
        <v>4319</v>
      </c>
      <c r="B154" s="3267" t="s">
        <v>4320</v>
      </c>
      <c r="C154" s="3269" t="s">
        <v>4321</v>
      </c>
      <c r="D154" s="3268">
        <v>13683357248</v>
      </c>
      <c r="E154" s="3267" t="s">
        <v>2985</v>
      </c>
      <c r="F154" s="3267" t="s">
        <v>3420</v>
      </c>
      <c r="G154" s="3267"/>
      <c r="H154" s="3270" t="s">
        <v>3421</v>
      </c>
      <c r="I154" s="3268"/>
      <c r="J154" s="3270" t="s">
        <v>4322</v>
      </c>
      <c r="K154" s="3267" t="s">
        <v>4320</v>
      </c>
      <c r="L154" s="3286">
        <v>61.45</v>
      </c>
      <c r="M154" s="3270">
        <v>11</v>
      </c>
      <c r="N154" s="3267" t="s">
        <v>3122</v>
      </c>
      <c r="O154" s="3267"/>
      <c r="P154" s="3267" t="s">
        <v>2963</v>
      </c>
      <c r="Q154" s="3287">
        <v>350000</v>
      </c>
      <c r="R154" s="3267">
        <v>5696</v>
      </c>
      <c r="S154" s="3272">
        <v>36.32</v>
      </c>
      <c r="T154" s="3273">
        <v>363200</v>
      </c>
      <c r="U154" s="3287">
        <v>5912</v>
      </c>
      <c r="V154" s="3289">
        <v>0.05</v>
      </c>
      <c r="W154" s="3272">
        <v>34.5</v>
      </c>
      <c r="X154" s="3273">
        <v>345000</v>
      </c>
      <c r="Y154" s="3276">
        <v>2006</v>
      </c>
      <c r="Z154" s="3276">
        <v>1</v>
      </c>
      <c r="AA154" s="3276">
        <v>6</v>
      </c>
      <c r="AB154" s="3267">
        <v>1085</v>
      </c>
      <c r="AC154" s="3267" t="s">
        <v>3227</v>
      </c>
      <c r="AD154" s="3267"/>
      <c r="AE154" s="3267" t="s">
        <v>3304</v>
      </c>
      <c r="AF154" s="3267" t="s">
        <v>2966</v>
      </c>
      <c r="AG154" s="3267" t="s">
        <v>2967</v>
      </c>
      <c r="AH154" s="3267"/>
      <c r="AI154" s="3267" t="s">
        <v>2992</v>
      </c>
      <c r="AJ154" s="3277"/>
      <c r="AK154" s="3316" t="s">
        <v>3131</v>
      </c>
      <c r="AL154" s="3276">
        <v>67641700</v>
      </c>
      <c r="AM154" s="3276"/>
      <c r="AN154" s="3276" t="s">
        <v>3131</v>
      </c>
      <c r="AO154" s="3276"/>
      <c r="AP154" s="3276" t="s">
        <v>3342</v>
      </c>
      <c r="AQ154" s="3276" t="s">
        <v>3113</v>
      </c>
      <c r="AR154" s="3276"/>
      <c r="AS154" s="3267"/>
      <c r="AT154" s="3267"/>
      <c r="AU154" s="3267"/>
      <c r="AV154" s="3267"/>
      <c r="AW154" s="3267" t="s">
        <v>2997</v>
      </c>
      <c r="AX154" s="3267"/>
      <c r="AY154" s="3279"/>
      <c r="AZ154" s="3267"/>
      <c r="BA154" s="3267"/>
      <c r="BB154" s="3267"/>
      <c r="BC154" s="3267"/>
      <c r="BD154" s="3267"/>
      <c r="BE154" s="3267"/>
      <c r="BF154" s="3267"/>
      <c r="BG154" s="3290" t="s">
        <v>4318</v>
      </c>
      <c r="BH154" s="3267"/>
      <c r="BI154" s="3276" t="s">
        <v>3342</v>
      </c>
      <c r="BJ154" s="3284">
        <v>38721</v>
      </c>
      <c r="BK154" s="3284"/>
      <c r="BL154" s="3267" t="s">
        <v>2998</v>
      </c>
      <c r="BM154" s="3276" t="s">
        <v>2879</v>
      </c>
      <c r="BN154" s="3276" t="s">
        <v>2999</v>
      </c>
      <c r="BO154" s="3276" t="s">
        <v>3146</v>
      </c>
      <c r="BP154" s="3276"/>
      <c r="BQ154" s="3276"/>
      <c r="BR154" s="3276"/>
      <c r="BS154" s="3285"/>
      <c r="BT154" s="3285"/>
      <c r="BU154" s="3285"/>
    </row>
    <row r="155" spans="1:73" hidden="1">
      <c r="A155" s="3267" t="s">
        <v>4323</v>
      </c>
      <c r="B155" s="3267" t="s">
        <v>4324</v>
      </c>
      <c r="C155" s="3267" t="s">
        <v>4325</v>
      </c>
      <c r="D155" s="3267" t="s">
        <v>4326</v>
      </c>
      <c r="E155" s="3267" t="s">
        <v>2985</v>
      </c>
      <c r="F155" s="3267" t="s">
        <v>4327</v>
      </c>
      <c r="G155" s="3267"/>
      <c r="H155" s="3267" t="s">
        <v>3124</v>
      </c>
      <c r="I155" s="3267" t="s">
        <v>4328</v>
      </c>
      <c r="J155" s="3267" t="s">
        <v>3360</v>
      </c>
      <c r="K155" s="3267" t="s">
        <v>4324</v>
      </c>
      <c r="L155" s="3267">
        <v>57.05</v>
      </c>
      <c r="M155" s="3267">
        <v>2</v>
      </c>
      <c r="N155" s="3267" t="s">
        <v>3122</v>
      </c>
      <c r="O155" s="3267"/>
      <c r="P155" s="3267" t="s">
        <v>2963</v>
      </c>
      <c r="Q155" s="3267">
        <v>400000</v>
      </c>
      <c r="R155" s="3267">
        <v>7011</v>
      </c>
      <c r="S155" s="3272">
        <v>31.94</v>
      </c>
      <c r="T155" s="3273">
        <v>319400</v>
      </c>
      <c r="U155" s="3267">
        <v>5600</v>
      </c>
      <c r="V155" s="3289">
        <v>0.05</v>
      </c>
      <c r="W155" s="3272">
        <v>30.34</v>
      </c>
      <c r="X155" s="3273">
        <v>303400</v>
      </c>
      <c r="Y155" s="3267">
        <v>2006</v>
      </c>
      <c r="Z155" s="3267">
        <v>1</v>
      </c>
      <c r="AA155" s="3267">
        <v>12</v>
      </c>
      <c r="AB155" s="3267">
        <v>955</v>
      </c>
      <c r="AC155" s="3267" t="s">
        <v>3227</v>
      </c>
      <c r="AD155" s="3267"/>
      <c r="AE155" s="3267" t="s">
        <v>3245</v>
      </c>
      <c r="AF155" s="3267" t="s">
        <v>2966</v>
      </c>
      <c r="AG155" s="3267" t="s">
        <v>2967</v>
      </c>
      <c r="AH155" s="3267"/>
      <c r="AI155" s="3267" t="s">
        <v>2992</v>
      </c>
      <c r="AJ155" s="3303"/>
      <c r="AK155" s="3267">
        <v>1</v>
      </c>
      <c r="AL155" s="3267">
        <v>67641700</v>
      </c>
      <c r="AM155" s="3267"/>
      <c r="AN155" s="3267" t="s">
        <v>3140</v>
      </c>
      <c r="AO155" s="3267"/>
      <c r="AP155" s="3267" t="s">
        <v>3305</v>
      </c>
      <c r="AQ155" s="3267" t="s">
        <v>3113</v>
      </c>
      <c r="AR155" s="3267"/>
      <c r="AS155" s="3267"/>
      <c r="AT155" s="3267"/>
      <c r="AU155" s="3267"/>
      <c r="AV155" s="3267"/>
      <c r="AW155" s="3267"/>
      <c r="AX155" s="3267"/>
      <c r="AY155" s="3269"/>
      <c r="AZ155" s="3267" t="s">
        <v>4329</v>
      </c>
      <c r="BA155" s="3267"/>
      <c r="BB155" s="3269"/>
      <c r="BC155" s="3267"/>
      <c r="BD155" s="3304"/>
      <c r="BE155" s="3267"/>
      <c r="BF155" s="3305"/>
      <c r="BG155" s="3284">
        <v>38709</v>
      </c>
      <c r="BH155" s="3267" t="s">
        <v>2998</v>
      </c>
      <c r="BI155" s="3267" t="s">
        <v>3305</v>
      </c>
      <c r="BJ155" s="3303">
        <v>38721</v>
      </c>
      <c r="BK155" s="3303"/>
      <c r="BL155" s="3267" t="s">
        <v>3249</v>
      </c>
      <c r="BM155" s="3267" t="s">
        <v>2879</v>
      </c>
      <c r="BN155" s="3267" t="s">
        <v>3111</v>
      </c>
      <c r="BO155" s="3267" t="s">
        <v>3146</v>
      </c>
      <c r="BP155" s="3267"/>
      <c r="BQ155" s="3267" t="e">
        <v>#DIV/0!</v>
      </c>
      <c r="BR155" s="3267" t="e">
        <v>#DIV/0!</v>
      </c>
      <c r="BS155" s="3285"/>
      <c r="BT155" s="3285"/>
      <c r="BU155" s="3285"/>
    </row>
    <row r="156" spans="1:73" hidden="1">
      <c r="A156" s="3267" t="s">
        <v>4330</v>
      </c>
      <c r="B156" s="3267" t="s">
        <v>4331</v>
      </c>
      <c r="C156" s="3267" t="s">
        <v>4332</v>
      </c>
      <c r="D156" s="3267" t="s">
        <v>4333</v>
      </c>
      <c r="E156" s="3267" t="s">
        <v>2985</v>
      </c>
      <c r="F156" s="3267" t="s">
        <v>4334</v>
      </c>
      <c r="G156" s="3267"/>
      <c r="H156" s="3267" t="s">
        <v>3162</v>
      </c>
      <c r="I156" s="3267" t="s">
        <v>2968</v>
      </c>
      <c r="J156" s="3267" t="s">
        <v>4335</v>
      </c>
      <c r="K156" s="3267" t="s">
        <v>4331</v>
      </c>
      <c r="L156" s="3267">
        <v>111.55</v>
      </c>
      <c r="M156" s="3267">
        <v>5</v>
      </c>
      <c r="N156" s="3267" t="s">
        <v>3122</v>
      </c>
      <c r="O156" s="3267">
        <v>97.25</v>
      </c>
      <c r="P156" s="3267" t="s">
        <v>2963</v>
      </c>
      <c r="Q156" s="3267">
        <v>725000</v>
      </c>
      <c r="R156" s="3267">
        <v>6499</v>
      </c>
      <c r="S156" s="3272">
        <v>69.16</v>
      </c>
      <c r="T156" s="3273">
        <v>691600</v>
      </c>
      <c r="U156" s="3267">
        <v>6200</v>
      </c>
      <c r="V156" s="3289">
        <v>0.05</v>
      </c>
      <c r="W156" s="3272">
        <v>65.7</v>
      </c>
      <c r="X156" s="3273">
        <v>657000</v>
      </c>
      <c r="Y156" s="3267">
        <v>2006</v>
      </c>
      <c r="Z156" s="3267">
        <v>1</v>
      </c>
      <c r="AA156" s="3267">
        <v>12</v>
      </c>
      <c r="AB156" s="3267">
        <v>1500</v>
      </c>
      <c r="AC156" s="3267" t="s">
        <v>3227</v>
      </c>
      <c r="AD156" s="3267"/>
      <c r="AE156" s="3267" t="s">
        <v>3245</v>
      </c>
      <c r="AF156" s="3267" t="s">
        <v>2966</v>
      </c>
      <c r="AG156" s="3267" t="s">
        <v>2967</v>
      </c>
      <c r="AH156" s="3267"/>
      <c r="AI156" s="3267" t="s">
        <v>2992</v>
      </c>
      <c r="AJ156" s="3303"/>
      <c r="AK156" s="3267">
        <v>1</v>
      </c>
      <c r="AL156" s="3267">
        <v>67641700</v>
      </c>
      <c r="AM156" s="3267"/>
      <c r="AN156" s="3267" t="s">
        <v>3140</v>
      </c>
      <c r="AO156" s="3267"/>
      <c r="AP156" s="3267" t="s">
        <v>3305</v>
      </c>
      <c r="AQ156" s="3267" t="s">
        <v>3113</v>
      </c>
      <c r="AR156" s="3267"/>
      <c r="AS156" s="3267"/>
      <c r="AT156" s="3267"/>
      <c r="AU156" s="3267"/>
      <c r="AV156" s="3267"/>
      <c r="AW156" s="3267"/>
      <c r="AX156" s="3267"/>
      <c r="AY156" s="3269"/>
      <c r="AZ156" s="3267" t="s">
        <v>4336</v>
      </c>
      <c r="BA156" s="3267"/>
      <c r="BB156" s="3269"/>
      <c r="BC156" s="3267"/>
      <c r="BD156" s="3304"/>
      <c r="BE156" s="3267"/>
      <c r="BF156" s="3305"/>
      <c r="BG156" s="3284">
        <v>38689</v>
      </c>
      <c r="BH156" s="3267" t="s">
        <v>2998</v>
      </c>
      <c r="BI156" s="3267" t="s">
        <v>3305</v>
      </c>
      <c r="BJ156" s="3303">
        <v>38721</v>
      </c>
      <c r="BK156" s="3303"/>
      <c r="BL156" s="3267" t="s">
        <v>3249</v>
      </c>
      <c r="BM156" s="3267" t="s">
        <v>2879</v>
      </c>
      <c r="BN156" s="3267" t="s">
        <v>3111</v>
      </c>
      <c r="BO156" s="3267" t="s">
        <v>3146</v>
      </c>
      <c r="BP156" s="3267"/>
      <c r="BQ156" s="3267">
        <v>7112</v>
      </c>
      <c r="BR156" s="3267">
        <v>7455</v>
      </c>
      <c r="BS156" s="3285"/>
      <c r="BT156" s="3285"/>
      <c r="BU156" s="3285"/>
    </row>
    <row r="157" spans="1:73" hidden="1">
      <c r="A157" s="3267" t="s">
        <v>4337</v>
      </c>
      <c r="B157" s="3267" t="s">
        <v>4338</v>
      </c>
      <c r="C157" s="3267" t="s">
        <v>4339</v>
      </c>
      <c r="D157" s="3267">
        <v>13910290537</v>
      </c>
      <c r="E157" s="3267" t="s">
        <v>2985</v>
      </c>
      <c r="F157" s="3267" t="s">
        <v>4340</v>
      </c>
      <c r="G157" s="3267"/>
      <c r="H157" s="3267" t="s">
        <v>4341</v>
      </c>
      <c r="I157" s="3267"/>
      <c r="J157" s="3267" t="s">
        <v>4342</v>
      </c>
      <c r="K157" s="3267" t="s">
        <v>4338</v>
      </c>
      <c r="L157" s="3267">
        <v>76.02</v>
      </c>
      <c r="M157" s="3267">
        <v>1</v>
      </c>
      <c r="N157" s="3267" t="s">
        <v>3122</v>
      </c>
      <c r="O157" s="3267" t="s">
        <v>2968</v>
      </c>
      <c r="P157" s="3267" t="s">
        <v>2963</v>
      </c>
      <c r="Q157" s="3267">
        <v>550000</v>
      </c>
      <c r="R157" s="3267">
        <v>7235</v>
      </c>
      <c r="S157" s="3272">
        <v>47.89</v>
      </c>
      <c r="T157" s="3273">
        <v>478900</v>
      </c>
      <c r="U157" s="3267">
        <v>6300</v>
      </c>
      <c r="V157" s="3289">
        <v>0.05</v>
      </c>
      <c r="W157" s="3272">
        <v>45.49</v>
      </c>
      <c r="X157" s="3273">
        <v>454900</v>
      </c>
      <c r="Y157" s="3267">
        <v>2006</v>
      </c>
      <c r="Z157" s="3267">
        <v>1</v>
      </c>
      <c r="AA157" s="3267">
        <v>17</v>
      </c>
      <c r="AB157" s="3267">
        <v>1435</v>
      </c>
      <c r="AC157" s="3267" t="s">
        <v>3227</v>
      </c>
      <c r="AD157" s="3267"/>
      <c r="AE157" s="3267" t="s">
        <v>3295</v>
      </c>
      <c r="AF157" s="3267" t="s">
        <v>2966</v>
      </c>
      <c r="AG157" s="3267" t="s">
        <v>2967</v>
      </c>
      <c r="AH157" s="3267"/>
      <c r="AI157" s="3267" t="s">
        <v>2992</v>
      </c>
      <c r="AJ157" s="3303"/>
      <c r="AK157" s="3267">
        <v>1</v>
      </c>
      <c r="AL157" s="3267">
        <v>67641700</v>
      </c>
      <c r="AM157" s="3267"/>
      <c r="AN157" s="3267" t="s">
        <v>3114</v>
      </c>
      <c r="AO157" s="3267" t="s">
        <v>2968</v>
      </c>
      <c r="AP157" s="3267" t="s">
        <v>3305</v>
      </c>
      <c r="AQ157" s="3267" t="s">
        <v>3228</v>
      </c>
      <c r="AR157" s="3267"/>
      <c r="AS157" s="3267"/>
      <c r="AT157" s="3267"/>
      <c r="AU157" s="3267"/>
      <c r="AV157" s="3267"/>
      <c r="AW157" s="3267" t="s">
        <v>2997</v>
      </c>
      <c r="AX157" s="3267"/>
      <c r="AY157" s="3269"/>
      <c r="AZ157" s="3267" t="s">
        <v>4343</v>
      </c>
      <c r="BA157" s="3267"/>
      <c r="BB157" s="3269"/>
      <c r="BC157" s="3267"/>
      <c r="BD157" s="3304"/>
      <c r="BE157" s="3267">
        <v>13621154998</v>
      </c>
      <c r="BF157" s="3305"/>
      <c r="BG157" s="3284">
        <v>38706</v>
      </c>
      <c r="BH157" s="3267" t="s">
        <v>2998</v>
      </c>
      <c r="BI157" s="3267" t="s">
        <v>3305</v>
      </c>
      <c r="BJ157" s="3303">
        <v>38722</v>
      </c>
      <c r="BK157" s="3303"/>
      <c r="BL157" s="3267" t="s">
        <v>3249</v>
      </c>
      <c r="BM157" s="3267" t="s">
        <v>2879</v>
      </c>
      <c r="BN157" s="3267" t="s">
        <v>3111</v>
      </c>
      <c r="BO157" s="3267" t="s">
        <v>3000</v>
      </c>
      <c r="BP157" s="3267"/>
      <c r="BQ157" s="3267" t="e">
        <v>#VALUE!</v>
      </c>
      <c r="BR157" s="3267" t="e">
        <v>#VALUE!</v>
      </c>
      <c r="BS157" s="3285"/>
      <c r="BT157" s="3285"/>
      <c r="BU157" s="3285"/>
    </row>
    <row r="158" spans="1:73" hidden="1">
      <c r="A158" s="3267" t="s">
        <v>4344</v>
      </c>
      <c r="B158" s="3267" t="s">
        <v>4345</v>
      </c>
      <c r="C158" s="3269" t="s">
        <v>4346</v>
      </c>
      <c r="D158" s="3269">
        <v>13381330730</v>
      </c>
      <c r="E158" s="3267" t="s">
        <v>2985</v>
      </c>
      <c r="F158" s="3308" t="s">
        <v>4129</v>
      </c>
      <c r="G158" s="3267"/>
      <c r="H158" s="3268" t="s">
        <v>3244</v>
      </c>
      <c r="I158" s="3268" t="s">
        <v>4347</v>
      </c>
      <c r="J158" s="3269" t="s">
        <v>3301</v>
      </c>
      <c r="K158" s="3267" t="s">
        <v>4348</v>
      </c>
      <c r="L158" s="3267">
        <v>71.52</v>
      </c>
      <c r="M158" s="3267">
        <v>5</v>
      </c>
      <c r="N158" s="3267" t="s">
        <v>3122</v>
      </c>
      <c r="O158" s="3267">
        <v>63.09</v>
      </c>
      <c r="P158" s="3267" t="s">
        <v>2963</v>
      </c>
      <c r="Q158" s="3271">
        <v>360000</v>
      </c>
      <c r="R158" s="3267">
        <v>5034</v>
      </c>
      <c r="S158" s="3272">
        <v>30.03</v>
      </c>
      <c r="T158" s="3273">
        <v>300300</v>
      </c>
      <c r="U158" s="3267">
        <v>4200</v>
      </c>
      <c r="V158" s="3289">
        <v>0.05</v>
      </c>
      <c r="W158" s="3272">
        <v>28.52</v>
      </c>
      <c r="X158" s="3275">
        <v>285200</v>
      </c>
      <c r="Y158" s="3276">
        <v>2006</v>
      </c>
      <c r="Z158" s="3276">
        <v>2</v>
      </c>
      <c r="AA158" s="3294">
        <v>21</v>
      </c>
      <c r="AB158" s="3267">
        <v>900</v>
      </c>
      <c r="AC158" s="3267" t="s">
        <v>3480</v>
      </c>
      <c r="AD158" s="3267"/>
      <c r="AE158" s="3276" t="s">
        <v>3180</v>
      </c>
      <c r="AF158" s="3267" t="s">
        <v>2966</v>
      </c>
      <c r="AG158" s="3279" t="s">
        <v>2967</v>
      </c>
      <c r="AH158" s="3267" t="s">
        <v>2968</v>
      </c>
      <c r="AI158" s="3279" t="s">
        <v>2992</v>
      </c>
      <c r="AJ158" s="3284" t="s">
        <v>2968</v>
      </c>
      <c r="AK158" s="3278">
        <v>2</v>
      </c>
      <c r="AL158" s="3276">
        <v>67641700</v>
      </c>
      <c r="AM158" s="3276"/>
      <c r="AN158" s="3279" t="s">
        <v>3114</v>
      </c>
      <c r="AO158" s="3276"/>
      <c r="AP158" s="3279" t="s">
        <v>3305</v>
      </c>
      <c r="AQ158" s="3267" t="s">
        <v>3228</v>
      </c>
      <c r="AR158" s="3276"/>
      <c r="AS158" s="3276"/>
      <c r="AT158" s="3276"/>
      <c r="AU158" s="3276"/>
      <c r="AV158" s="3276"/>
      <c r="AW158" s="3276" t="s">
        <v>4131</v>
      </c>
      <c r="AX158" s="3276"/>
      <c r="AY158" s="3291"/>
      <c r="AZ158" s="3276" t="s">
        <v>4348</v>
      </c>
      <c r="BA158" s="3276"/>
      <c r="BB158" s="3291"/>
      <c r="BC158" s="3276"/>
      <c r="BD158" s="3292"/>
      <c r="BE158" s="3276"/>
      <c r="BF158" s="3281"/>
      <c r="BG158" s="3299">
        <v>38715</v>
      </c>
      <c r="BH158" s="3276" t="s">
        <v>2998</v>
      </c>
      <c r="BI158" s="3314" t="s">
        <v>3305</v>
      </c>
      <c r="BJ158" s="3283">
        <v>38723</v>
      </c>
      <c r="BK158" s="3299"/>
      <c r="BL158" s="3267" t="s">
        <v>3249</v>
      </c>
      <c r="BM158" s="3276" t="s">
        <v>2879</v>
      </c>
      <c r="BN158" s="3276" t="s">
        <v>2999</v>
      </c>
      <c r="BO158" s="3276" t="s">
        <v>3146</v>
      </c>
      <c r="BP158" s="3276"/>
      <c r="BQ158" s="3276">
        <v>4760</v>
      </c>
      <c r="BR158" s="3276">
        <v>5706</v>
      </c>
      <c r="BS158" s="3285"/>
      <c r="BT158" s="3285"/>
      <c r="BU158" s="3285"/>
    </row>
    <row r="159" spans="1:73" hidden="1">
      <c r="A159" s="3267" t="s">
        <v>4349</v>
      </c>
      <c r="B159" s="3267" t="s">
        <v>4350</v>
      </c>
      <c r="C159" s="3269" t="s">
        <v>4351</v>
      </c>
      <c r="D159" s="3268" t="s">
        <v>4352</v>
      </c>
      <c r="E159" s="3267" t="s">
        <v>2985</v>
      </c>
      <c r="F159" s="3267" t="s">
        <v>4353</v>
      </c>
      <c r="G159" s="3267"/>
      <c r="H159" s="3268" t="s">
        <v>3169</v>
      </c>
      <c r="I159" s="3268"/>
      <c r="J159" s="3270" t="s">
        <v>4354</v>
      </c>
      <c r="K159" s="3267" t="s">
        <v>4355</v>
      </c>
      <c r="L159" s="3286">
        <v>68.38</v>
      </c>
      <c r="M159" s="3270">
        <v>7</v>
      </c>
      <c r="N159" s="3267" t="s">
        <v>3122</v>
      </c>
      <c r="O159" s="3267"/>
      <c r="P159" s="3267" t="s">
        <v>2963</v>
      </c>
      <c r="Q159" s="3287">
        <v>410000</v>
      </c>
      <c r="R159" s="3267">
        <v>5996</v>
      </c>
      <c r="S159" s="3272">
        <v>40.39</v>
      </c>
      <c r="T159" s="3273">
        <v>403900</v>
      </c>
      <c r="U159" s="3267">
        <v>5908</v>
      </c>
      <c r="V159" s="3274">
        <v>0.05</v>
      </c>
      <c r="W159" s="3272">
        <v>38.369999999999997</v>
      </c>
      <c r="X159" s="3275">
        <v>383700</v>
      </c>
      <c r="Y159" s="3267">
        <v>2006</v>
      </c>
      <c r="Z159" s="3267">
        <v>1</v>
      </c>
      <c r="AA159" s="3276">
        <v>11</v>
      </c>
      <c r="AB159" s="3267">
        <v>1210</v>
      </c>
      <c r="AC159" s="3267" t="s">
        <v>3227</v>
      </c>
      <c r="AD159" s="3267"/>
      <c r="AE159" s="3267" t="s">
        <v>3304</v>
      </c>
      <c r="AF159" s="3267" t="s">
        <v>2966</v>
      </c>
      <c r="AG159" s="3267" t="s">
        <v>2967</v>
      </c>
      <c r="AH159" s="3267"/>
      <c r="AI159" s="3267" t="s">
        <v>2992</v>
      </c>
      <c r="AJ159" s="3277"/>
      <c r="AK159" s="3278" t="s">
        <v>3131</v>
      </c>
      <c r="AL159" s="3276">
        <v>67641700</v>
      </c>
      <c r="AM159" s="3267"/>
      <c r="AN159" s="3279" t="s">
        <v>3140</v>
      </c>
      <c r="AO159" s="3267"/>
      <c r="AP159" s="3267" t="s">
        <v>3305</v>
      </c>
      <c r="AQ159" s="3267" t="s">
        <v>3113</v>
      </c>
      <c r="AR159" s="3267"/>
      <c r="AS159" s="3267"/>
      <c r="AT159" s="3267"/>
      <c r="AU159" s="3267"/>
      <c r="AV159" s="3267"/>
      <c r="AW159" s="3268" t="s">
        <v>2997</v>
      </c>
      <c r="AX159" s="3267"/>
      <c r="AY159" s="3279"/>
      <c r="AZ159" s="3267" t="s">
        <v>4355</v>
      </c>
      <c r="BA159" s="3267"/>
      <c r="BB159" s="3267"/>
      <c r="BC159" s="3267"/>
      <c r="BD159" s="3267"/>
      <c r="BE159" s="3267"/>
      <c r="BF159" s="3267"/>
      <c r="BG159" s="3290">
        <v>38701</v>
      </c>
      <c r="BH159" s="3267"/>
      <c r="BI159" s="3276" t="s">
        <v>3396</v>
      </c>
      <c r="BJ159" s="3283">
        <v>38722</v>
      </c>
      <c r="BK159" s="3284"/>
      <c r="BL159" s="3267" t="s">
        <v>2998</v>
      </c>
      <c r="BM159" s="3267" t="s">
        <v>2879</v>
      </c>
      <c r="BN159" s="3267" t="s">
        <v>2999</v>
      </c>
      <c r="BO159" s="3267" t="s">
        <v>3146</v>
      </c>
      <c r="BP159" s="3267"/>
      <c r="BQ159" s="3276" t="e">
        <v>#DIV/0!</v>
      </c>
      <c r="BR159" s="3276" t="e">
        <v>#DIV/0!</v>
      </c>
      <c r="BS159" s="3285"/>
      <c r="BT159" s="3285"/>
      <c r="BU159" s="3285"/>
    </row>
    <row r="160" spans="1:73" hidden="1">
      <c r="A160" s="3267" t="s">
        <v>4356</v>
      </c>
      <c r="B160" s="3268" t="s">
        <v>4357</v>
      </c>
      <c r="C160" s="3269" t="s">
        <v>4358</v>
      </c>
      <c r="D160" s="3269" t="s">
        <v>4359</v>
      </c>
      <c r="E160" s="3268" t="s">
        <v>2985</v>
      </c>
      <c r="F160" s="3268" t="s">
        <v>4360</v>
      </c>
      <c r="G160" s="3268"/>
      <c r="H160" s="3268" t="s">
        <v>4361</v>
      </c>
      <c r="I160" s="3268"/>
      <c r="J160" s="3268">
        <v>1207</v>
      </c>
      <c r="K160" s="3268" t="s">
        <v>4362</v>
      </c>
      <c r="L160" s="3270">
        <v>76.77</v>
      </c>
      <c r="M160" s="3270">
        <v>12</v>
      </c>
      <c r="N160" s="3267" t="s">
        <v>3125</v>
      </c>
      <c r="O160" s="3270"/>
      <c r="P160" s="3268" t="s">
        <v>2963</v>
      </c>
      <c r="Q160" s="3271">
        <v>485000</v>
      </c>
      <c r="R160" s="3267">
        <v>6318</v>
      </c>
      <c r="S160" s="3272">
        <v>44.77</v>
      </c>
      <c r="T160" s="3273">
        <v>447700.00000000006</v>
      </c>
      <c r="U160" s="3267">
        <v>5832</v>
      </c>
      <c r="V160" s="3289">
        <v>0.05</v>
      </c>
      <c r="W160" s="3272">
        <v>42.53</v>
      </c>
      <c r="X160" s="3273">
        <v>425300</v>
      </c>
      <c r="Y160" s="3267">
        <v>2006</v>
      </c>
      <c r="Z160" s="3267">
        <v>1</v>
      </c>
      <c r="AA160" s="3276">
        <v>11</v>
      </c>
      <c r="AB160" s="3267">
        <v>1340</v>
      </c>
      <c r="AC160" s="3267" t="s">
        <v>3480</v>
      </c>
      <c r="AD160" s="3268"/>
      <c r="AE160" s="3268" t="s">
        <v>3238</v>
      </c>
      <c r="AF160" s="3268" t="s">
        <v>2966</v>
      </c>
      <c r="AG160" s="3268" t="s">
        <v>2967</v>
      </c>
      <c r="AH160" s="3268"/>
      <c r="AI160" s="3268" t="s">
        <v>3295</v>
      </c>
      <c r="AJ160" s="3277"/>
      <c r="AK160" s="3278" t="s">
        <v>3131</v>
      </c>
      <c r="AL160" s="3276">
        <v>67641700</v>
      </c>
      <c r="AM160" s="3276"/>
      <c r="AN160" s="3267" t="s">
        <v>3140</v>
      </c>
      <c r="AO160" s="3276"/>
      <c r="AP160" s="3267" t="s">
        <v>3305</v>
      </c>
      <c r="AQ160" s="3276" t="s">
        <v>3113</v>
      </c>
      <c r="AR160" s="3267"/>
      <c r="AS160" s="3267"/>
      <c r="AT160" s="3267"/>
      <c r="AU160" s="3267"/>
      <c r="AV160" s="3277"/>
      <c r="AW160" s="3267" t="s">
        <v>3112</v>
      </c>
      <c r="AX160" s="3268"/>
      <c r="AY160" s="3268"/>
      <c r="AZ160" s="3268" t="s">
        <v>4362</v>
      </c>
      <c r="BA160" s="3268"/>
      <c r="BB160" s="3280"/>
      <c r="BC160" s="3268"/>
      <c r="BD160" s="3268"/>
      <c r="BE160" s="3268"/>
      <c r="BF160" s="3281"/>
      <c r="BG160" s="3284">
        <v>38717</v>
      </c>
      <c r="BH160" s="3268"/>
      <c r="BI160" s="3276" t="s">
        <v>3537</v>
      </c>
      <c r="BJ160" s="3283">
        <v>38723</v>
      </c>
      <c r="BK160" s="3284"/>
      <c r="BL160" s="3267" t="s">
        <v>2998</v>
      </c>
      <c r="BM160" s="3267" t="s">
        <v>2879</v>
      </c>
      <c r="BN160" s="3276" t="s">
        <v>2999</v>
      </c>
      <c r="BO160" s="3267" t="s">
        <v>3446</v>
      </c>
      <c r="BP160" s="3276"/>
      <c r="BQ160" s="3276" t="e">
        <v>#DIV/0!</v>
      </c>
      <c r="BR160" s="3276" t="e">
        <v>#DIV/0!</v>
      </c>
      <c r="BS160" s="3285"/>
      <c r="BT160" s="3285"/>
      <c r="BU160" s="3285"/>
    </row>
    <row r="161" spans="1:73" hidden="1">
      <c r="A161" s="3267" t="s">
        <v>4363</v>
      </c>
      <c r="B161" s="3267" t="s">
        <v>4364</v>
      </c>
      <c r="C161" s="3267" t="s">
        <v>4365</v>
      </c>
      <c r="D161" s="3267" t="s">
        <v>4366</v>
      </c>
      <c r="E161" s="3267" t="s">
        <v>2985</v>
      </c>
      <c r="F161" s="3267" t="s">
        <v>4367</v>
      </c>
      <c r="G161" s="3267"/>
      <c r="H161" s="3267" t="s">
        <v>3139</v>
      </c>
      <c r="I161" s="3267"/>
      <c r="J161" s="3267" t="s">
        <v>4368</v>
      </c>
      <c r="K161" s="3267" t="s">
        <v>4369</v>
      </c>
      <c r="L161" s="3267">
        <v>68.8</v>
      </c>
      <c r="M161" s="3267">
        <v>4</v>
      </c>
      <c r="N161" s="3267" t="s">
        <v>3122</v>
      </c>
      <c r="O161" s="3267"/>
      <c r="P161" s="3267" t="s">
        <v>2963</v>
      </c>
      <c r="Q161" s="3267">
        <v>458000</v>
      </c>
      <c r="R161" s="3267">
        <v>6657</v>
      </c>
      <c r="S161" s="3272">
        <v>40.89</v>
      </c>
      <c r="T161" s="3273">
        <v>408900</v>
      </c>
      <c r="U161" s="3267">
        <v>5944</v>
      </c>
      <c r="V161" s="3289">
        <v>0.05</v>
      </c>
      <c r="W161" s="3272">
        <v>38.840000000000003</v>
      </c>
      <c r="X161" s="3273">
        <v>388400</v>
      </c>
      <c r="Y161" s="3267">
        <v>2006</v>
      </c>
      <c r="Z161" s="3267">
        <v>1</v>
      </c>
      <c r="AA161" s="3267">
        <v>17</v>
      </c>
      <c r="AB161" s="3267">
        <v>1225</v>
      </c>
      <c r="AC161" s="3267" t="s">
        <v>3227</v>
      </c>
      <c r="AD161" s="3267"/>
      <c r="AE161" s="3267" t="s">
        <v>3238</v>
      </c>
      <c r="AF161" s="3267" t="s">
        <v>2966</v>
      </c>
      <c r="AG161" s="3267" t="s">
        <v>2967</v>
      </c>
      <c r="AH161" s="3267"/>
      <c r="AI161" s="3267" t="s">
        <v>3295</v>
      </c>
      <c r="AJ161" s="3303"/>
      <c r="AK161" s="3267" t="s">
        <v>3131</v>
      </c>
      <c r="AL161" s="3267">
        <v>67641700</v>
      </c>
      <c r="AM161" s="3267"/>
      <c r="AN161" s="3267" t="s">
        <v>3114</v>
      </c>
      <c r="AO161" s="3267"/>
      <c r="AP161" s="3267" t="s">
        <v>3305</v>
      </c>
      <c r="AQ161" s="3267" t="s">
        <v>3228</v>
      </c>
      <c r="AR161" s="3267"/>
      <c r="AS161" s="3267"/>
      <c r="AT161" s="3267"/>
      <c r="AU161" s="3267"/>
      <c r="AV161" s="3267"/>
      <c r="AW161" s="3267" t="s">
        <v>3112</v>
      </c>
      <c r="AX161" s="3267"/>
      <c r="AY161" s="3269"/>
      <c r="AZ161" s="3267" t="s">
        <v>4369</v>
      </c>
      <c r="BA161" s="3267"/>
      <c r="BB161" s="3269"/>
      <c r="BC161" s="3267"/>
      <c r="BD161" s="3304"/>
      <c r="BE161" s="3267"/>
      <c r="BF161" s="3305"/>
      <c r="BG161" s="3284">
        <v>38705</v>
      </c>
      <c r="BH161" s="3267"/>
      <c r="BI161" s="3267" t="s">
        <v>3537</v>
      </c>
      <c r="BJ161" s="3303">
        <v>38722</v>
      </c>
      <c r="BK161" s="3303"/>
      <c r="BL161" s="3267" t="s">
        <v>2998</v>
      </c>
      <c r="BM161" s="3267" t="s">
        <v>2879</v>
      </c>
      <c r="BN161" s="3267" t="s">
        <v>2999</v>
      </c>
      <c r="BO161" s="3267" t="s">
        <v>3446</v>
      </c>
      <c r="BP161" s="3267"/>
      <c r="BQ161" s="3267" t="e">
        <v>#DIV/0!</v>
      </c>
      <c r="BR161" s="3267" t="e">
        <v>#DIV/0!</v>
      </c>
      <c r="BS161" s="3285"/>
      <c r="BT161" s="3285"/>
      <c r="BU161" s="3285"/>
    </row>
    <row r="162" spans="1:73" hidden="1">
      <c r="A162" s="3267" t="s">
        <v>4370</v>
      </c>
      <c r="B162" s="3267" t="s">
        <v>4371</v>
      </c>
      <c r="C162" s="3269" t="s">
        <v>4372</v>
      </c>
      <c r="D162" s="3267">
        <v>13661283211</v>
      </c>
      <c r="E162" s="3267" t="s">
        <v>2985</v>
      </c>
      <c r="F162" s="3267" t="s">
        <v>4373</v>
      </c>
      <c r="G162" s="3267"/>
      <c r="H162" s="3267" t="s">
        <v>3263</v>
      </c>
      <c r="I162" s="3267" t="s">
        <v>3458</v>
      </c>
      <c r="J162" s="3267" t="s">
        <v>3165</v>
      </c>
      <c r="K162" s="3268" t="s">
        <v>4374</v>
      </c>
      <c r="L162" s="3267">
        <v>143.59</v>
      </c>
      <c r="M162" s="3267">
        <v>6</v>
      </c>
      <c r="N162" s="3267" t="s">
        <v>3129</v>
      </c>
      <c r="O162" s="3267"/>
      <c r="P162" s="3267" t="s">
        <v>3495</v>
      </c>
      <c r="Q162" s="3267">
        <v>800000</v>
      </c>
      <c r="R162" s="3267">
        <v>5571</v>
      </c>
      <c r="S162" s="3272">
        <v>79.2</v>
      </c>
      <c r="T162" s="3273">
        <v>792000</v>
      </c>
      <c r="U162" s="3267">
        <v>5516</v>
      </c>
      <c r="V162" s="3274">
        <v>0.05</v>
      </c>
      <c r="W162" s="3272">
        <v>75.239999999999995</v>
      </c>
      <c r="X162" s="3275">
        <v>752400</v>
      </c>
      <c r="Y162" s="3267">
        <v>2006</v>
      </c>
      <c r="Z162" s="3267">
        <v>1</v>
      </c>
      <c r="AA162" s="3276">
        <v>11</v>
      </c>
      <c r="AB162" s="3267">
        <v>1500</v>
      </c>
      <c r="AC162" s="3267" t="s">
        <v>3227</v>
      </c>
      <c r="AD162" s="3267"/>
      <c r="AE162" s="3276" t="s">
        <v>2991</v>
      </c>
      <c r="AF162" s="3267" t="s">
        <v>2966</v>
      </c>
      <c r="AG162" s="3267" t="s">
        <v>2967</v>
      </c>
      <c r="AH162" s="3267"/>
      <c r="AI162" s="3267" t="s">
        <v>3115</v>
      </c>
      <c r="AJ162" s="3303"/>
      <c r="AK162" s="3278" t="s">
        <v>3131</v>
      </c>
      <c r="AL162" s="3267">
        <v>82253558</v>
      </c>
      <c r="AM162" s="3267"/>
      <c r="AN162" s="3267" t="s">
        <v>3140</v>
      </c>
      <c r="AO162" s="3267" t="s">
        <v>2968</v>
      </c>
      <c r="AP162" s="3267" t="s">
        <v>3180</v>
      </c>
      <c r="AQ162" s="3267" t="s">
        <v>3113</v>
      </c>
      <c r="AR162" s="3267"/>
      <c r="AS162" s="3267"/>
      <c r="AT162" s="3267"/>
      <c r="AU162" s="3267"/>
      <c r="AV162" s="3267"/>
      <c r="AW162" s="3267" t="s">
        <v>2997</v>
      </c>
      <c r="AX162" s="3267"/>
      <c r="AY162" s="3269"/>
      <c r="AZ162" s="3267" t="s">
        <v>4374</v>
      </c>
      <c r="BA162" s="3267"/>
      <c r="BB162" s="3267"/>
      <c r="BC162" s="3267"/>
      <c r="BD162" s="3267"/>
      <c r="BE162" s="3267"/>
      <c r="BF162" s="3267"/>
      <c r="BG162" s="3307">
        <v>38711</v>
      </c>
      <c r="BH162" s="3267"/>
      <c r="BI162" s="3276" t="s">
        <v>3537</v>
      </c>
      <c r="BJ162" s="3283">
        <v>38722</v>
      </c>
      <c r="BK162" s="3283"/>
      <c r="BL162" s="3267" t="s">
        <v>2998</v>
      </c>
      <c r="BM162" s="3267" t="s">
        <v>2879</v>
      </c>
      <c r="BN162" s="3267" t="s">
        <v>2999</v>
      </c>
      <c r="BO162" s="3267" t="s">
        <v>3000</v>
      </c>
      <c r="BP162" s="3267"/>
      <c r="BQ162" s="3276" t="e">
        <v>#DIV/0!</v>
      </c>
      <c r="BR162" s="3276" t="e">
        <v>#DIV/0!</v>
      </c>
      <c r="BS162" s="3285"/>
      <c r="BT162" s="3285"/>
      <c r="BU162" s="3285"/>
    </row>
    <row r="163" spans="1:73" hidden="1">
      <c r="A163" s="3267" t="s">
        <v>4375</v>
      </c>
      <c r="B163" s="3267" t="s">
        <v>4376</v>
      </c>
      <c r="C163" s="3269" t="s">
        <v>4377</v>
      </c>
      <c r="D163" s="3267" t="s">
        <v>4378</v>
      </c>
      <c r="E163" s="3267" t="s">
        <v>2985</v>
      </c>
      <c r="F163" s="3267" t="s">
        <v>4379</v>
      </c>
      <c r="G163" s="3267"/>
      <c r="H163" s="3267" t="s">
        <v>3124</v>
      </c>
      <c r="I163" s="3267" t="s">
        <v>3431</v>
      </c>
      <c r="J163" s="3354" t="s">
        <v>4380</v>
      </c>
      <c r="K163" s="3268" t="s">
        <v>4376</v>
      </c>
      <c r="L163" s="3267">
        <v>70.28</v>
      </c>
      <c r="M163" s="3355">
        <v>6</v>
      </c>
      <c r="N163" s="3267" t="s">
        <v>3122</v>
      </c>
      <c r="O163" s="3267"/>
      <c r="P163" s="3267" t="s">
        <v>2963</v>
      </c>
      <c r="Q163" s="3267">
        <v>500000</v>
      </c>
      <c r="R163" s="3267">
        <v>7114</v>
      </c>
      <c r="S163" s="3272">
        <v>40.409999999999997</v>
      </c>
      <c r="T163" s="3273">
        <v>404100</v>
      </c>
      <c r="U163" s="3267">
        <v>5750</v>
      </c>
      <c r="V163" s="3274">
        <v>0.05</v>
      </c>
      <c r="W163" s="3272">
        <v>38.380000000000003</v>
      </c>
      <c r="X163" s="3275">
        <v>383800</v>
      </c>
      <c r="Y163" s="3267">
        <v>2006</v>
      </c>
      <c r="Z163" s="3267">
        <v>1</v>
      </c>
      <c r="AA163" s="3276">
        <v>20</v>
      </c>
      <c r="AB163" s="3267">
        <v>1210</v>
      </c>
      <c r="AC163" s="3267" t="s">
        <v>3227</v>
      </c>
      <c r="AD163" s="3267"/>
      <c r="AE163" s="3276" t="s">
        <v>3295</v>
      </c>
      <c r="AF163" s="3267" t="s">
        <v>2966</v>
      </c>
      <c r="AG163" s="3267" t="s">
        <v>2967</v>
      </c>
      <c r="AH163" s="3267"/>
      <c r="AI163" s="3267" t="s">
        <v>2992</v>
      </c>
      <c r="AJ163" s="3284"/>
      <c r="AK163" s="3278">
        <v>1</v>
      </c>
      <c r="AL163" s="3276">
        <v>67641700</v>
      </c>
      <c r="AM163" s="3276"/>
      <c r="AN163" s="3279" t="s">
        <v>3114</v>
      </c>
      <c r="AO163" s="3276"/>
      <c r="AP163" s="3279" t="s">
        <v>3305</v>
      </c>
      <c r="AQ163" s="3267" t="s">
        <v>3228</v>
      </c>
      <c r="AR163" s="3267"/>
      <c r="AS163" s="3267"/>
      <c r="AT163" s="3267"/>
      <c r="AU163" s="3267"/>
      <c r="AV163" s="3267"/>
      <c r="AW163" s="3267" t="s">
        <v>2997</v>
      </c>
      <c r="AX163" s="3267"/>
      <c r="AY163" s="3269"/>
      <c r="AZ163" s="3267" t="s">
        <v>4381</v>
      </c>
      <c r="BA163" s="3267"/>
      <c r="BB163" s="3267"/>
      <c r="BC163" s="3267"/>
      <c r="BD163" s="3267"/>
      <c r="BE163" s="3267">
        <v>13161992783</v>
      </c>
      <c r="BF163" s="3356"/>
      <c r="BG163" s="3307">
        <v>38703</v>
      </c>
      <c r="BH163" s="3267" t="s">
        <v>2998</v>
      </c>
      <c r="BI163" s="3276" t="s">
        <v>3238</v>
      </c>
      <c r="BJ163" s="3283">
        <v>38726</v>
      </c>
      <c r="BK163" s="3283"/>
      <c r="BL163" s="3267" t="s">
        <v>3249</v>
      </c>
      <c r="BM163" s="3267" t="s">
        <v>2879</v>
      </c>
      <c r="BN163" s="3267" t="s">
        <v>3111</v>
      </c>
      <c r="BO163" s="3267" t="s">
        <v>3000</v>
      </c>
      <c r="BP163" s="3267"/>
      <c r="BQ163" s="3276" t="e">
        <v>#DIV/0!</v>
      </c>
      <c r="BR163" s="3276" t="e">
        <v>#DIV/0!</v>
      </c>
      <c r="BS163" s="3285"/>
      <c r="BT163" s="3285"/>
      <c r="BU163" s="3285"/>
    </row>
    <row r="164" spans="1:73" hidden="1">
      <c r="A164" s="3267" t="s">
        <v>4382</v>
      </c>
      <c r="B164" s="3267" t="s">
        <v>4383</v>
      </c>
      <c r="C164" s="3267" t="s">
        <v>4384</v>
      </c>
      <c r="D164" s="3267" t="s">
        <v>4385</v>
      </c>
      <c r="E164" s="3267" t="s">
        <v>2985</v>
      </c>
      <c r="F164" s="3267" t="s">
        <v>4386</v>
      </c>
      <c r="G164" s="3267"/>
      <c r="H164" s="3267" t="s">
        <v>4253</v>
      </c>
      <c r="I164" s="3267"/>
      <c r="J164" s="3267" t="s">
        <v>4387</v>
      </c>
      <c r="K164" s="3267" t="s">
        <v>4388</v>
      </c>
      <c r="L164" s="3267">
        <v>80.430000000000007</v>
      </c>
      <c r="M164" s="3267">
        <v>7</v>
      </c>
      <c r="N164" s="3267" t="s">
        <v>3122</v>
      </c>
      <c r="O164" s="3267"/>
      <c r="P164" s="3267" t="s">
        <v>2963</v>
      </c>
      <c r="Q164" s="3267">
        <v>470000</v>
      </c>
      <c r="R164" s="3267">
        <v>5844</v>
      </c>
      <c r="S164" s="3272">
        <v>42.07</v>
      </c>
      <c r="T164" s="3273">
        <v>420700</v>
      </c>
      <c r="U164" s="3267">
        <v>5231</v>
      </c>
      <c r="V164" s="3289">
        <v>0.05</v>
      </c>
      <c r="W164" s="3272">
        <v>39.96</v>
      </c>
      <c r="X164" s="3273">
        <v>399600</v>
      </c>
      <c r="Y164" s="3267">
        <v>2006</v>
      </c>
      <c r="Z164" s="3267">
        <v>1</v>
      </c>
      <c r="AA164" s="3267">
        <v>19</v>
      </c>
      <c r="AB164" s="3267">
        <v>1260</v>
      </c>
      <c r="AC164" s="3267" t="s">
        <v>3480</v>
      </c>
      <c r="AD164" s="3267"/>
      <c r="AE164" s="3267" t="s">
        <v>3487</v>
      </c>
      <c r="AF164" s="3267" t="s">
        <v>2966</v>
      </c>
      <c r="AG164" s="3267" t="s">
        <v>2967</v>
      </c>
      <c r="AH164" s="3267"/>
      <c r="AI164" s="3267" t="s">
        <v>3115</v>
      </c>
      <c r="AJ164" s="3303"/>
      <c r="AK164" s="3267" t="s">
        <v>3131</v>
      </c>
      <c r="AL164" s="3267">
        <v>82253558</v>
      </c>
      <c r="AM164" s="3267"/>
      <c r="AN164" s="3267" t="s">
        <v>3114</v>
      </c>
      <c r="AO164" s="3267"/>
      <c r="AP164" s="3267" t="s">
        <v>3180</v>
      </c>
      <c r="AQ164" s="3267" t="s">
        <v>3228</v>
      </c>
      <c r="AR164" s="3267"/>
      <c r="AS164" s="3267"/>
      <c r="AT164" s="3267"/>
      <c r="AU164" s="3267"/>
      <c r="AV164" s="3267"/>
      <c r="AW164" s="3267" t="s">
        <v>3112</v>
      </c>
      <c r="AX164" s="3267"/>
      <c r="AY164" s="3269"/>
      <c r="AZ164" s="3267" t="s">
        <v>4388</v>
      </c>
      <c r="BA164" s="3267"/>
      <c r="BB164" s="3269"/>
      <c r="BC164" s="3267"/>
      <c r="BD164" s="3304"/>
      <c r="BE164" s="3267"/>
      <c r="BF164" s="3305"/>
      <c r="BG164" s="3284">
        <v>38722</v>
      </c>
      <c r="BH164" s="3267"/>
      <c r="BI164" s="3267" t="s">
        <v>3537</v>
      </c>
      <c r="BJ164" s="3303">
        <v>38726</v>
      </c>
      <c r="BK164" s="3303"/>
      <c r="BL164" s="3267" t="s">
        <v>2998</v>
      </c>
      <c r="BM164" s="3267" t="s">
        <v>3345</v>
      </c>
      <c r="BN164" s="3267" t="s">
        <v>2999</v>
      </c>
      <c r="BO164" s="3267"/>
      <c r="BP164" s="3267"/>
      <c r="BQ164" s="3267" t="e">
        <v>#DIV/0!</v>
      </c>
      <c r="BR164" s="3267" t="e">
        <v>#DIV/0!</v>
      </c>
      <c r="BS164" s="3285"/>
      <c r="BT164" s="3285"/>
      <c r="BU164" s="3285"/>
    </row>
    <row r="165" spans="1:73" hidden="1">
      <c r="A165" s="3267" t="s">
        <v>4389</v>
      </c>
      <c r="B165" s="3267" t="s">
        <v>4390</v>
      </c>
      <c r="C165" s="3269" t="s">
        <v>4391</v>
      </c>
      <c r="D165" s="3267">
        <v>13366066913</v>
      </c>
      <c r="E165" s="3267" t="s">
        <v>2985</v>
      </c>
      <c r="F165" s="3267" t="s">
        <v>4392</v>
      </c>
      <c r="G165" s="3267"/>
      <c r="H165" s="3267" t="s">
        <v>3244</v>
      </c>
      <c r="I165" s="3267" t="s">
        <v>3191</v>
      </c>
      <c r="J165" s="3354" t="s">
        <v>4393</v>
      </c>
      <c r="K165" s="3268" t="s">
        <v>4394</v>
      </c>
      <c r="L165" s="3267">
        <v>99</v>
      </c>
      <c r="M165" s="3355">
        <v>4</v>
      </c>
      <c r="N165" s="3267" t="s">
        <v>3125</v>
      </c>
      <c r="O165" s="3267"/>
      <c r="P165" s="3267" t="s">
        <v>2963</v>
      </c>
      <c r="Q165" s="3267">
        <v>720000</v>
      </c>
      <c r="R165" s="3267">
        <v>7273</v>
      </c>
      <c r="S165" s="3272">
        <v>60.88</v>
      </c>
      <c r="T165" s="3273">
        <v>608800</v>
      </c>
      <c r="U165" s="3267">
        <v>6150</v>
      </c>
      <c r="V165" s="3274">
        <v>0.05</v>
      </c>
      <c r="W165" s="3272">
        <v>57.83</v>
      </c>
      <c r="X165" s="3275">
        <v>578300</v>
      </c>
      <c r="Y165" s="3267">
        <v>2006</v>
      </c>
      <c r="Z165" s="3267">
        <v>1</v>
      </c>
      <c r="AA165" s="3276">
        <v>17</v>
      </c>
      <c r="AB165" s="3267">
        <v>1500</v>
      </c>
      <c r="AC165" s="3267" t="s">
        <v>3227</v>
      </c>
      <c r="AD165" s="3267"/>
      <c r="AE165" s="3276" t="s">
        <v>3295</v>
      </c>
      <c r="AF165" s="3267" t="s">
        <v>2966</v>
      </c>
      <c r="AG165" s="3267" t="s">
        <v>2967</v>
      </c>
      <c r="AH165" s="3267"/>
      <c r="AI165" s="3267" t="s">
        <v>2992</v>
      </c>
      <c r="AJ165" s="3284"/>
      <c r="AK165" s="3267" t="s">
        <v>3131</v>
      </c>
      <c r="AL165" s="3267">
        <v>82253558</v>
      </c>
      <c r="AM165" s="3267"/>
      <c r="AN165" s="3267" t="s">
        <v>3114</v>
      </c>
      <c r="AO165" s="3267" t="s">
        <v>2968</v>
      </c>
      <c r="AP165" s="3267" t="s">
        <v>4395</v>
      </c>
      <c r="AQ165" s="3267" t="s">
        <v>3113</v>
      </c>
      <c r="AR165" s="3267"/>
      <c r="AS165" s="3267"/>
      <c r="AT165" s="3267"/>
      <c r="AU165" s="3267"/>
      <c r="AV165" s="3267"/>
      <c r="AW165" s="3267" t="s">
        <v>2997</v>
      </c>
      <c r="AX165" s="3267"/>
      <c r="AY165" s="3269"/>
      <c r="AZ165" s="3267" t="s">
        <v>4394</v>
      </c>
      <c r="BA165" s="3267"/>
      <c r="BB165" s="3267"/>
      <c r="BC165" s="3267"/>
      <c r="BD165" s="3267"/>
      <c r="BE165" s="3267">
        <v>13701130577</v>
      </c>
      <c r="BF165" s="3356"/>
      <c r="BG165" s="3307">
        <v>38709</v>
      </c>
      <c r="BH165" s="3267"/>
      <c r="BI165" s="3267" t="s">
        <v>3295</v>
      </c>
      <c r="BJ165" s="3283">
        <v>38727</v>
      </c>
      <c r="BK165" s="3283"/>
      <c r="BL165" s="3267" t="s">
        <v>2998</v>
      </c>
      <c r="BM165" s="3267" t="s">
        <v>2879</v>
      </c>
      <c r="BN165" s="3267" t="s">
        <v>2999</v>
      </c>
      <c r="BO165" s="3267" t="s">
        <v>3000</v>
      </c>
      <c r="BP165" s="3267"/>
      <c r="BQ165" s="3276" t="e">
        <v>#DIV/0!</v>
      </c>
      <c r="BR165" s="3276" t="e">
        <v>#DIV/0!</v>
      </c>
      <c r="BS165" s="3285"/>
      <c r="BT165" s="3285"/>
      <c r="BU165" s="3285"/>
    </row>
    <row r="166" spans="1:73" hidden="1">
      <c r="A166" s="3267" t="s">
        <v>4396</v>
      </c>
      <c r="B166" s="3267" t="s">
        <v>4397</v>
      </c>
      <c r="C166" s="3267" t="s">
        <v>4398</v>
      </c>
      <c r="D166" s="3267" t="s">
        <v>4399</v>
      </c>
      <c r="E166" s="3267" t="s">
        <v>2985</v>
      </c>
      <c r="F166" s="3267" t="s">
        <v>4400</v>
      </c>
      <c r="G166" s="3267"/>
      <c r="H166" s="3267" t="s">
        <v>3244</v>
      </c>
      <c r="I166" s="3267"/>
      <c r="J166" s="3267" t="s">
        <v>4401</v>
      </c>
      <c r="K166" s="3267" t="s">
        <v>4402</v>
      </c>
      <c r="L166" s="3267">
        <v>63.39</v>
      </c>
      <c r="M166" s="3267">
        <v>5</v>
      </c>
      <c r="N166" s="3267" t="s">
        <v>3122</v>
      </c>
      <c r="O166" s="3267"/>
      <c r="P166" s="3267" t="s">
        <v>2963</v>
      </c>
      <c r="Q166" s="3267">
        <v>378000</v>
      </c>
      <c r="R166" s="3267">
        <v>5963</v>
      </c>
      <c r="S166" s="3272">
        <v>34.83</v>
      </c>
      <c r="T166" s="3273">
        <v>348300</v>
      </c>
      <c r="U166" s="3267">
        <v>5496</v>
      </c>
      <c r="V166" s="3289">
        <v>0.05</v>
      </c>
      <c r="W166" s="3272">
        <v>33.08</v>
      </c>
      <c r="X166" s="3273">
        <v>330800</v>
      </c>
      <c r="Y166" s="3267">
        <v>2006</v>
      </c>
      <c r="Z166" s="3267">
        <v>1</v>
      </c>
      <c r="AA166" s="3267">
        <v>17</v>
      </c>
      <c r="AB166" s="3267">
        <v>1040</v>
      </c>
      <c r="AC166" s="3267" t="s">
        <v>3227</v>
      </c>
      <c r="AD166" s="3267"/>
      <c r="AE166" s="3267" t="s">
        <v>3304</v>
      </c>
      <c r="AF166" s="3267" t="s">
        <v>2966</v>
      </c>
      <c r="AG166" s="3267" t="s">
        <v>2967</v>
      </c>
      <c r="AH166" s="3267"/>
      <c r="AI166" s="3267" t="s">
        <v>3295</v>
      </c>
      <c r="AJ166" s="3303"/>
      <c r="AK166" s="3267" t="s">
        <v>3131</v>
      </c>
      <c r="AL166" s="3267">
        <v>67641700</v>
      </c>
      <c r="AM166" s="3267"/>
      <c r="AN166" s="3267" t="s">
        <v>3114</v>
      </c>
      <c r="AO166" s="3267"/>
      <c r="AP166" s="3267" t="s">
        <v>3342</v>
      </c>
      <c r="AQ166" s="3267" t="s">
        <v>3113</v>
      </c>
      <c r="AR166" s="3267"/>
      <c r="AS166" s="3267"/>
      <c r="AT166" s="3267"/>
      <c r="AU166" s="3267"/>
      <c r="AV166" s="3267"/>
      <c r="AW166" s="3267" t="s">
        <v>2997</v>
      </c>
      <c r="AX166" s="3267"/>
      <c r="AY166" s="3269"/>
      <c r="AZ166" s="3267" t="s">
        <v>4402</v>
      </c>
      <c r="BA166" s="3267"/>
      <c r="BB166" s="3269"/>
      <c r="BC166" s="3267"/>
      <c r="BD166" s="3304"/>
      <c r="BE166" s="3267"/>
      <c r="BF166" s="3305"/>
      <c r="BG166" s="3284">
        <v>38727</v>
      </c>
      <c r="BH166" s="3267"/>
      <c r="BI166" s="3267" t="s">
        <v>3537</v>
      </c>
      <c r="BJ166" s="3303">
        <v>38728</v>
      </c>
      <c r="BK166" s="3303"/>
      <c r="BL166" s="3267" t="s">
        <v>2998</v>
      </c>
      <c r="BM166" s="3267" t="s">
        <v>2879</v>
      </c>
      <c r="BN166" s="3267" t="s">
        <v>2999</v>
      </c>
      <c r="BO166" s="3267" t="s">
        <v>3146</v>
      </c>
      <c r="BP166" s="3267"/>
      <c r="BQ166" s="3267" t="e">
        <v>#DIV/0!</v>
      </c>
      <c r="BR166" s="3267" t="e">
        <v>#DIV/0!</v>
      </c>
      <c r="BS166" s="3285"/>
      <c r="BT166" s="3285"/>
      <c r="BU166" s="3285"/>
    </row>
    <row r="167" spans="1:73" hidden="1">
      <c r="A167" s="3267" t="s">
        <v>4403</v>
      </c>
      <c r="B167" s="3267" t="s">
        <v>4404</v>
      </c>
      <c r="C167" s="3267" t="s">
        <v>4405</v>
      </c>
      <c r="D167" s="3267" t="s">
        <v>4406</v>
      </c>
      <c r="E167" s="3267" t="s">
        <v>2985</v>
      </c>
      <c r="F167" s="3267" t="s">
        <v>4068</v>
      </c>
      <c r="G167" s="3267"/>
      <c r="H167" s="3267" t="s">
        <v>3668</v>
      </c>
      <c r="I167" s="3267"/>
      <c r="J167" s="3267" t="s">
        <v>4407</v>
      </c>
      <c r="K167" s="3267" t="s">
        <v>4404</v>
      </c>
      <c r="L167" s="3267">
        <v>64.11</v>
      </c>
      <c r="M167" s="3267">
        <v>12</v>
      </c>
      <c r="N167" s="3267" t="s">
        <v>3122</v>
      </c>
      <c r="O167" s="3267"/>
      <c r="P167" s="3267" t="s">
        <v>2963</v>
      </c>
      <c r="Q167" s="3267">
        <v>450000</v>
      </c>
      <c r="R167" s="3267">
        <v>7019</v>
      </c>
      <c r="S167" s="3272">
        <v>35.630000000000003</v>
      </c>
      <c r="T167" s="3273">
        <v>356300</v>
      </c>
      <c r="U167" s="3267">
        <v>5559</v>
      </c>
      <c r="V167" s="3289">
        <v>0.05</v>
      </c>
      <c r="W167" s="3272">
        <v>33.840000000000003</v>
      </c>
      <c r="X167" s="3273">
        <v>338400</v>
      </c>
      <c r="Y167" s="3267">
        <v>2006</v>
      </c>
      <c r="Z167" s="3267">
        <v>1</v>
      </c>
      <c r="AA167" s="3267">
        <v>17</v>
      </c>
      <c r="AB167" s="3267">
        <v>1065</v>
      </c>
      <c r="AC167" s="3267" t="s">
        <v>3227</v>
      </c>
      <c r="AD167" s="3267"/>
      <c r="AE167" s="3267" t="s">
        <v>3304</v>
      </c>
      <c r="AF167" s="3267" t="s">
        <v>2966</v>
      </c>
      <c r="AG167" s="3267" t="s">
        <v>2967</v>
      </c>
      <c r="AH167" s="3267"/>
      <c r="AI167" s="3267" t="s">
        <v>3295</v>
      </c>
      <c r="AJ167" s="3303"/>
      <c r="AK167" s="3267" t="s">
        <v>3131</v>
      </c>
      <c r="AL167" s="3267">
        <v>67641700</v>
      </c>
      <c r="AM167" s="3267"/>
      <c r="AN167" s="3267" t="s">
        <v>3114</v>
      </c>
      <c r="AO167" s="3267"/>
      <c r="AP167" s="3267" t="s">
        <v>3305</v>
      </c>
      <c r="AQ167" s="3267" t="s">
        <v>3113</v>
      </c>
      <c r="AR167" s="3267"/>
      <c r="AS167" s="3267"/>
      <c r="AT167" s="3267"/>
      <c r="AU167" s="3267"/>
      <c r="AV167" s="3267"/>
      <c r="AW167" s="3267" t="s">
        <v>3171</v>
      </c>
      <c r="AX167" s="3267"/>
      <c r="AY167" s="3269"/>
      <c r="AZ167" s="3267" t="s">
        <v>4408</v>
      </c>
      <c r="BA167" s="3267"/>
      <c r="BB167" s="3269"/>
      <c r="BC167" s="3267"/>
      <c r="BD167" s="3304"/>
      <c r="BE167" s="3267">
        <v>13611184660</v>
      </c>
      <c r="BF167" s="3305"/>
      <c r="BG167" s="3284"/>
      <c r="BH167" s="3267"/>
      <c r="BI167" s="3267" t="s">
        <v>3537</v>
      </c>
      <c r="BJ167" s="3303">
        <v>38707</v>
      </c>
      <c r="BK167" s="3303"/>
      <c r="BL167" s="3267" t="s">
        <v>2998</v>
      </c>
      <c r="BM167" s="3267" t="s">
        <v>2879</v>
      </c>
      <c r="BN167" s="3267" t="s">
        <v>2999</v>
      </c>
      <c r="BO167" s="3267" t="s">
        <v>3146</v>
      </c>
      <c r="BP167" s="3267"/>
      <c r="BQ167" s="3267" t="e">
        <v>#DIV/0!</v>
      </c>
      <c r="BR167" s="3267" t="e">
        <v>#DIV/0!</v>
      </c>
      <c r="BS167" s="3285"/>
      <c r="BT167" s="3285"/>
      <c r="BU167" s="3285"/>
    </row>
    <row r="168" spans="1:73" hidden="1">
      <c r="A168" s="3268" t="s">
        <v>4409</v>
      </c>
      <c r="B168" s="3268" t="s">
        <v>4410</v>
      </c>
      <c r="C168" s="3269" t="s">
        <v>4411</v>
      </c>
      <c r="D168" s="3268">
        <v>13683182503</v>
      </c>
      <c r="E168" s="3268" t="s">
        <v>2985</v>
      </c>
      <c r="F168" s="3268" t="s">
        <v>4412</v>
      </c>
      <c r="G168" s="3268"/>
      <c r="H168" s="3268" t="s">
        <v>4413</v>
      </c>
      <c r="I168" s="3268"/>
      <c r="J168" s="3268">
        <v>1403</v>
      </c>
      <c r="K168" s="3268"/>
      <c r="L168" s="3286">
        <v>78.599999999999994</v>
      </c>
      <c r="M168" s="3270">
        <v>14</v>
      </c>
      <c r="N168" s="3268" t="s">
        <v>3125</v>
      </c>
      <c r="O168" s="3270"/>
      <c r="P168" s="3268" t="s">
        <v>3495</v>
      </c>
      <c r="Q168" s="3271">
        <v>475000</v>
      </c>
      <c r="R168" s="3267">
        <v>6043</v>
      </c>
      <c r="S168" s="3272">
        <v>47.23</v>
      </c>
      <c r="T168" s="3273">
        <v>472299.99999999994</v>
      </c>
      <c r="U168" s="3267">
        <v>6010</v>
      </c>
      <c r="V168" s="3274">
        <v>0.05</v>
      </c>
      <c r="W168" s="3272">
        <v>44.86</v>
      </c>
      <c r="X168" s="3275">
        <v>448600</v>
      </c>
      <c r="Y168" s="3267">
        <v>2006</v>
      </c>
      <c r="Z168" s="3276">
        <v>2</v>
      </c>
      <c r="AA168" s="3276">
        <v>16</v>
      </c>
      <c r="AB168" s="3267">
        <v>1415</v>
      </c>
      <c r="AC168" s="3267" t="s">
        <v>3227</v>
      </c>
      <c r="AD168" s="3268"/>
      <c r="AE168" s="3270" t="s">
        <v>3304</v>
      </c>
      <c r="AF168" s="3268" t="s">
        <v>2966</v>
      </c>
      <c r="AG168" s="3268" t="s">
        <v>2967</v>
      </c>
      <c r="AH168" s="3268"/>
      <c r="AI168" s="3270" t="s">
        <v>3295</v>
      </c>
      <c r="AJ168" s="3290"/>
      <c r="AK168" s="3278">
        <v>2</v>
      </c>
      <c r="AL168" s="3267">
        <v>82253558</v>
      </c>
      <c r="AM168" s="3276"/>
      <c r="AN168" s="3279" t="s">
        <v>3114</v>
      </c>
      <c r="AO168" s="3267"/>
      <c r="AP168" s="3270" t="s">
        <v>3305</v>
      </c>
      <c r="AQ168" s="3276" t="s">
        <v>3113</v>
      </c>
      <c r="AR168" s="3267"/>
      <c r="AS168" s="3267"/>
      <c r="AT168" s="3267"/>
      <c r="AU168" s="3267"/>
      <c r="AV168" s="3277"/>
      <c r="AW168" s="3268" t="s">
        <v>2997</v>
      </c>
      <c r="AX168" s="3268"/>
      <c r="AY168" s="3268"/>
      <c r="AZ168" s="3268"/>
      <c r="BA168" s="3268"/>
      <c r="BB168" s="3280"/>
      <c r="BC168" s="3268"/>
      <c r="BD168" s="3268"/>
      <c r="BE168" s="3268"/>
      <c r="BF168" s="3281"/>
      <c r="BG168" s="3299">
        <v>38698</v>
      </c>
      <c r="BH168" s="3267"/>
      <c r="BI168" s="3267" t="s">
        <v>3487</v>
      </c>
      <c r="BJ168" s="3283">
        <v>38729</v>
      </c>
      <c r="BK168" s="3284"/>
      <c r="BL168" s="3267"/>
      <c r="BM168" s="3267"/>
      <c r="BN168" s="3267"/>
      <c r="BO168" s="3267"/>
      <c r="BP168" s="3276"/>
      <c r="BQ168" s="3276" t="e">
        <v>#DIV/0!</v>
      </c>
      <c r="BR168" s="3276" t="e">
        <v>#DIV/0!</v>
      </c>
      <c r="BS168" s="3285"/>
      <c r="BT168" s="3285"/>
      <c r="BU168" s="3285"/>
    </row>
    <row r="169" spans="1:73" hidden="1">
      <c r="A169" s="3267" t="s">
        <v>4414</v>
      </c>
      <c r="B169" s="3267" t="s">
        <v>4415</v>
      </c>
      <c r="C169" s="3267" t="s">
        <v>4416</v>
      </c>
      <c r="D169" s="3267" t="s">
        <v>4417</v>
      </c>
      <c r="E169" s="3267" t="s">
        <v>2985</v>
      </c>
      <c r="F169" s="3267" t="s">
        <v>4373</v>
      </c>
      <c r="G169" s="3267"/>
      <c r="H169" s="3267" t="s">
        <v>3130</v>
      </c>
      <c r="I169" s="3267"/>
      <c r="J169" s="3267" t="s">
        <v>4418</v>
      </c>
      <c r="K169" s="3267" t="s">
        <v>4415</v>
      </c>
      <c r="L169" s="3267">
        <v>131.57</v>
      </c>
      <c r="M169" s="3267">
        <v>6</v>
      </c>
      <c r="N169" s="3267" t="s">
        <v>3116</v>
      </c>
      <c r="O169" s="3267"/>
      <c r="P169" s="3267" t="s">
        <v>3495</v>
      </c>
      <c r="Q169" s="3267">
        <v>670000</v>
      </c>
      <c r="R169" s="3267">
        <v>5092</v>
      </c>
      <c r="S169" s="3272">
        <v>66.099999999999994</v>
      </c>
      <c r="T169" s="3273">
        <v>661000</v>
      </c>
      <c r="U169" s="3267">
        <v>5024</v>
      </c>
      <c r="V169" s="3289">
        <v>0.05</v>
      </c>
      <c r="W169" s="3272">
        <v>62.79</v>
      </c>
      <c r="X169" s="3273">
        <v>627900</v>
      </c>
      <c r="Y169" s="3267">
        <v>2006</v>
      </c>
      <c r="Z169" s="3267">
        <v>1</v>
      </c>
      <c r="AA169" s="3267">
        <v>17</v>
      </c>
      <c r="AB169" s="3267">
        <v>1500</v>
      </c>
      <c r="AC169" s="3267" t="s">
        <v>3227</v>
      </c>
      <c r="AD169" s="3267"/>
      <c r="AE169" s="3267" t="s">
        <v>2991</v>
      </c>
      <c r="AF169" s="3267" t="s">
        <v>2966</v>
      </c>
      <c r="AG169" s="3267" t="s">
        <v>2967</v>
      </c>
      <c r="AH169" s="3267"/>
      <c r="AI169" s="3267" t="s">
        <v>3115</v>
      </c>
      <c r="AJ169" s="3303"/>
      <c r="AK169" s="3267" t="s">
        <v>3131</v>
      </c>
      <c r="AL169" s="3267">
        <v>82253558</v>
      </c>
      <c r="AM169" s="3267"/>
      <c r="AN169" s="3267" t="s">
        <v>3114</v>
      </c>
      <c r="AO169" s="3267" t="s">
        <v>2968</v>
      </c>
      <c r="AP169" s="3267" t="s">
        <v>3180</v>
      </c>
      <c r="AQ169" s="3267" t="s">
        <v>3113</v>
      </c>
      <c r="AR169" s="3267"/>
      <c r="AS169" s="3267"/>
      <c r="AT169" s="3267"/>
      <c r="AU169" s="3267"/>
      <c r="AV169" s="3267"/>
      <c r="AW169" s="3267" t="s">
        <v>2997</v>
      </c>
      <c r="AX169" s="3267"/>
      <c r="AY169" s="3269"/>
      <c r="AZ169" s="3267" t="s">
        <v>4419</v>
      </c>
      <c r="BA169" s="3267"/>
      <c r="BB169" s="3269"/>
      <c r="BC169" s="3267"/>
      <c r="BD169" s="3304"/>
      <c r="BE169" s="3267">
        <v>13901075959</v>
      </c>
      <c r="BF169" s="3305"/>
      <c r="BG169" s="3284">
        <v>38712</v>
      </c>
      <c r="BH169" s="3267"/>
      <c r="BI169" s="3267" t="s">
        <v>3537</v>
      </c>
      <c r="BJ169" s="3303">
        <v>38728</v>
      </c>
      <c r="BK169" s="3303"/>
      <c r="BL169" s="3267" t="s">
        <v>2998</v>
      </c>
      <c r="BM169" s="3267" t="s">
        <v>2879</v>
      </c>
      <c r="BN169" s="3267" t="s">
        <v>2999</v>
      </c>
      <c r="BO169" s="3267" t="s">
        <v>3000</v>
      </c>
      <c r="BP169" s="3267"/>
      <c r="BQ169" s="3267" t="e">
        <v>#DIV/0!</v>
      </c>
      <c r="BR169" s="3267" t="e">
        <v>#DIV/0!</v>
      </c>
      <c r="BS169" s="3285"/>
      <c r="BT169" s="3285"/>
      <c r="BU169" s="3285"/>
    </row>
    <row r="170" spans="1:73" hidden="1">
      <c r="A170" s="3267" t="s">
        <v>4420</v>
      </c>
      <c r="B170" s="3267" t="s">
        <v>4421</v>
      </c>
      <c r="C170" s="3267" t="s">
        <v>4422</v>
      </c>
      <c r="D170" s="3267" t="s">
        <v>4423</v>
      </c>
      <c r="E170" s="3267" t="s">
        <v>2985</v>
      </c>
      <c r="F170" s="3267" t="s">
        <v>4424</v>
      </c>
      <c r="G170" s="3267"/>
      <c r="H170" s="3267" t="s">
        <v>3263</v>
      </c>
      <c r="I170" s="3267" t="s">
        <v>4425</v>
      </c>
      <c r="J170" s="3267" t="s">
        <v>3156</v>
      </c>
      <c r="K170" s="3267" t="s">
        <v>2968</v>
      </c>
      <c r="L170" s="3267">
        <v>60.54</v>
      </c>
      <c r="M170" s="3267">
        <v>6</v>
      </c>
      <c r="N170" s="3267" t="s">
        <v>3122</v>
      </c>
      <c r="O170" s="3267"/>
      <c r="P170" s="3267" t="s">
        <v>2963</v>
      </c>
      <c r="Q170" s="3267">
        <v>320000</v>
      </c>
      <c r="R170" s="3267">
        <v>5286</v>
      </c>
      <c r="S170" s="3272">
        <v>31.94</v>
      </c>
      <c r="T170" s="3273">
        <v>319400</v>
      </c>
      <c r="U170" s="3267">
        <v>5277</v>
      </c>
      <c r="V170" s="3289">
        <v>0.05</v>
      </c>
      <c r="W170" s="3272">
        <v>30.34</v>
      </c>
      <c r="X170" s="3273">
        <v>303400</v>
      </c>
      <c r="Y170" s="3267">
        <v>2006</v>
      </c>
      <c r="Z170" s="3267">
        <v>1</v>
      </c>
      <c r="AA170" s="3267">
        <v>17</v>
      </c>
      <c r="AB170" s="3267">
        <v>955</v>
      </c>
      <c r="AC170" s="3267" t="s">
        <v>3227</v>
      </c>
      <c r="AD170" s="3267"/>
      <c r="AE170" s="3267" t="s">
        <v>3304</v>
      </c>
      <c r="AF170" s="3267" t="s">
        <v>2966</v>
      </c>
      <c r="AG170" s="3267" t="s">
        <v>2967</v>
      </c>
      <c r="AH170" s="3267"/>
      <c r="AI170" s="3267" t="s">
        <v>3295</v>
      </c>
      <c r="AJ170" s="3303"/>
      <c r="AK170" s="3267" t="s">
        <v>3131</v>
      </c>
      <c r="AL170" s="3267">
        <v>67641700</v>
      </c>
      <c r="AM170" s="3267"/>
      <c r="AN170" s="3267" t="s">
        <v>3114</v>
      </c>
      <c r="AO170" s="3267"/>
      <c r="AP170" s="3267" t="s">
        <v>3305</v>
      </c>
      <c r="AQ170" s="3267" t="s">
        <v>3113</v>
      </c>
      <c r="AR170" s="3267"/>
      <c r="AS170" s="3267"/>
      <c r="AT170" s="3267"/>
      <c r="AU170" s="3267"/>
      <c r="AV170" s="3267"/>
      <c r="AW170" s="3267" t="s">
        <v>2997</v>
      </c>
      <c r="AX170" s="3267"/>
      <c r="AY170" s="3269"/>
      <c r="AZ170" s="3267"/>
      <c r="BA170" s="3267"/>
      <c r="BB170" s="3269"/>
      <c r="BC170" s="3267"/>
      <c r="BD170" s="3304"/>
      <c r="BE170" s="3267"/>
      <c r="BF170" s="3305"/>
      <c r="BG170" s="3284">
        <v>38706</v>
      </c>
      <c r="BH170" s="3267"/>
      <c r="BI170" s="3267" t="s">
        <v>2979</v>
      </c>
      <c r="BJ170" s="3303">
        <v>38729</v>
      </c>
      <c r="BK170" s="3303"/>
      <c r="BL170" s="3267" t="s">
        <v>2998</v>
      </c>
      <c r="BM170" s="3267" t="s">
        <v>4426</v>
      </c>
      <c r="BN170" s="3267" t="s">
        <v>3111</v>
      </c>
      <c r="BO170" s="3267" t="s">
        <v>3146</v>
      </c>
      <c r="BP170" s="3267"/>
      <c r="BQ170" s="3267"/>
      <c r="BR170" s="3267"/>
      <c r="BS170" s="3285"/>
      <c r="BT170" s="3285"/>
      <c r="BU170" s="3285"/>
    </row>
    <row r="171" spans="1:73" hidden="1">
      <c r="A171" s="3267" t="s">
        <v>4427</v>
      </c>
      <c r="B171" s="3267" t="s">
        <v>4428</v>
      </c>
      <c r="C171" s="3267" t="s">
        <v>4429</v>
      </c>
      <c r="D171" s="3267">
        <v>13901046857</v>
      </c>
      <c r="E171" s="3267" t="s">
        <v>2985</v>
      </c>
      <c r="F171" s="3267" t="s">
        <v>4386</v>
      </c>
      <c r="G171" s="3267"/>
      <c r="H171" s="3267" t="s">
        <v>3194</v>
      </c>
      <c r="I171" s="3267"/>
      <c r="J171" s="3267" t="s">
        <v>4430</v>
      </c>
      <c r="K171" s="3267"/>
      <c r="L171" s="3267">
        <v>50.58</v>
      </c>
      <c r="M171" s="3267">
        <v>4</v>
      </c>
      <c r="N171" s="3267" t="s">
        <v>3152</v>
      </c>
      <c r="O171" s="3267"/>
      <c r="P171" s="3267" t="s">
        <v>3495</v>
      </c>
      <c r="Q171" s="3267">
        <v>260000</v>
      </c>
      <c r="R171" s="3267">
        <v>5140</v>
      </c>
      <c r="S171" s="3272">
        <v>23.94</v>
      </c>
      <c r="T171" s="3273">
        <v>239400</v>
      </c>
      <c r="U171" s="3267">
        <v>4735</v>
      </c>
      <c r="V171" s="3289">
        <v>0.05</v>
      </c>
      <c r="W171" s="3272">
        <v>22.74</v>
      </c>
      <c r="X171" s="3273">
        <v>227400</v>
      </c>
      <c r="Y171" s="3267">
        <v>2006</v>
      </c>
      <c r="Z171" s="3267">
        <v>1</v>
      </c>
      <c r="AA171" s="3267">
        <v>17</v>
      </c>
      <c r="AB171" s="3267">
        <v>715</v>
      </c>
      <c r="AC171" s="3267" t="s">
        <v>3227</v>
      </c>
      <c r="AD171" s="3267"/>
      <c r="AE171" s="3267" t="s">
        <v>3304</v>
      </c>
      <c r="AF171" s="3267" t="s">
        <v>2966</v>
      </c>
      <c r="AG171" s="3267" t="s">
        <v>2967</v>
      </c>
      <c r="AH171" s="3267"/>
      <c r="AI171" s="3267" t="s">
        <v>3295</v>
      </c>
      <c r="AJ171" s="3303"/>
      <c r="AK171" s="3267">
        <v>1</v>
      </c>
      <c r="AL171" s="3267">
        <v>67641700</v>
      </c>
      <c r="AM171" s="3267"/>
      <c r="AN171" s="3267" t="s">
        <v>3114</v>
      </c>
      <c r="AO171" s="3267"/>
      <c r="AP171" s="3267" t="s">
        <v>3342</v>
      </c>
      <c r="AQ171" s="3267" t="s">
        <v>3113</v>
      </c>
      <c r="AR171" s="3267"/>
      <c r="AS171" s="3267"/>
      <c r="AT171" s="3267"/>
      <c r="AU171" s="3267"/>
      <c r="AV171" s="3267"/>
      <c r="AW171" s="3267" t="s">
        <v>3112</v>
      </c>
      <c r="AX171" s="3267"/>
      <c r="AY171" s="3269"/>
      <c r="AZ171" s="3267"/>
      <c r="BA171" s="3267"/>
      <c r="BB171" s="3269"/>
      <c r="BC171" s="3267"/>
      <c r="BD171" s="3304"/>
      <c r="BE171" s="3267"/>
      <c r="BF171" s="3305"/>
      <c r="BG171" s="3284">
        <v>38730</v>
      </c>
      <c r="BH171" s="3267"/>
      <c r="BI171" s="3267" t="s">
        <v>3487</v>
      </c>
      <c r="BJ171" s="3303">
        <v>38730</v>
      </c>
      <c r="BK171" s="3303"/>
      <c r="BL171" s="3267"/>
      <c r="BM171" s="3267"/>
      <c r="BN171" s="3267"/>
      <c r="BO171" s="3267"/>
      <c r="BP171" s="3267"/>
      <c r="BQ171" s="3267" t="e">
        <v>#DIV/0!</v>
      </c>
      <c r="BR171" s="3267" t="e">
        <v>#DIV/0!</v>
      </c>
      <c r="BS171" s="3285"/>
      <c r="BT171" s="3285"/>
      <c r="BU171" s="3285"/>
    </row>
    <row r="172" spans="1:73" hidden="1">
      <c r="A172" s="3267" t="s">
        <v>4431</v>
      </c>
      <c r="B172" s="3267" t="s">
        <v>4432</v>
      </c>
      <c r="C172" s="3267" t="s">
        <v>4433</v>
      </c>
      <c r="D172" s="3267">
        <v>13910175953</v>
      </c>
      <c r="E172" s="3267" t="s">
        <v>2985</v>
      </c>
      <c r="F172" s="3267" t="s">
        <v>3525</v>
      </c>
      <c r="G172" s="3267"/>
      <c r="H172" s="3267" t="s">
        <v>3402</v>
      </c>
      <c r="I172" s="3267" t="s">
        <v>4434</v>
      </c>
      <c r="J172" s="3267" t="s">
        <v>4435</v>
      </c>
      <c r="K172" s="3267" t="s">
        <v>4436</v>
      </c>
      <c r="L172" s="3267">
        <v>56.35</v>
      </c>
      <c r="M172" s="3267" t="s">
        <v>4180</v>
      </c>
      <c r="N172" s="3267" t="s">
        <v>3122</v>
      </c>
      <c r="O172" s="3267"/>
      <c r="P172" s="3267" t="s">
        <v>2963</v>
      </c>
      <c r="Q172" s="3267">
        <v>385000</v>
      </c>
      <c r="R172" s="3267">
        <v>6832</v>
      </c>
      <c r="S172" s="3272">
        <v>35.68</v>
      </c>
      <c r="T172" s="3273">
        <v>356800</v>
      </c>
      <c r="U172" s="3267">
        <v>6333</v>
      </c>
      <c r="V172" s="3289">
        <v>0.05</v>
      </c>
      <c r="W172" s="3272">
        <v>33.89</v>
      </c>
      <c r="X172" s="3273">
        <v>338900</v>
      </c>
      <c r="Y172" s="3267">
        <v>2006</v>
      </c>
      <c r="Z172" s="3267">
        <v>1</v>
      </c>
      <c r="AA172" s="3267">
        <v>17</v>
      </c>
      <c r="AB172" s="3267">
        <v>1070</v>
      </c>
      <c r="AC172" s="3267" t="s">
        <v>3480</v>
      </c>
      <c r="AD172" s="3267"/>
      <c r="AE172" s="3267" t="s">
        <v>3238</v>
      </c>
      <c r="AF172" s="3267" t="s">
        <v>2966</v>
      </c>
      <c r="AG172" s="3267" t="s">
        <v>2967</v>
      </c>
      <c r="AH172" s="3267" t="s">
        <v>2968</v>
      </c>
      <c r="AI172" s="3267" t="s">
        <v>2992</v>
      </c>
      <c r="AJ172" s="3303"/>
      <c r="AK172" s="3267" t="s">
        <v>3131</v>
      </c>
      <c r="AL172" s="3267">
        <v>67641700</v>
      </c>
      <c r="AM172" s="3267"/>
      <c r="AN172" s="3267" t="s">
        <v>3114</v>
      </c>
      <c r="AO172" s="3267"/>
      <c r="AP172" s="3267" t="s">
        <v>3305</v>
      </c>
      <c r="AQ172" s="3267" t="s">
        <v>3113</v>
      </c>
      <c r="AR172" s="3267"/>
      <c r="AS172" s="3267"/>
      <c r="AT172" s="3267"/>
      <c r="AU172" s="3267"/>
      <c r="AV172" s="3267" t="s">
        <v>2968</v>
      </c>
      <c r="AW172" s="3267"/>
      <c r="AX172" s="3267"/>
      <c r="AY172" s="3269"/>
      <c r="AZ172" s="3267" t="s">
        <v>4436</v>
      </c>
      <c r="BA172" s="3267" t="s">
        <v>2968</v>
      </c>
      <c r="BB172" s="3269" t="s">
        <v>2968</v>
      </c>
      <c r="BC172" s="3267" t="s">
        <v>2968</v>
      </c>
      <c r="BD172" s="3304" t="s">
        <v>2968</v>
      </c>
      <c r="BE172" s="3267" t="s">
        <v>2968</v>
      </c>
      <c r="BF172" s="3305" t="s">
        <v>2968</v>
      </c>
      <c r="BG172" s="3284">
        <v>38726</v>
      </c>
      <c r="BH172" s="3267"/>
      <c r="BI172" s="3267" t="s">
        <v>3238</v>
      </c>
      <c r="BJ172" s="3303">
        <v>38729</v>
      </c>
      <c r="BK172" s="3303"/>
      <c r="BL172" s="3267" t="s">
        <v>3249</v>
      </c>
      <c r="BM172" s="3267" t="s">
        <v>2879</v>
      </c>
      <c r="BN172" s="3267" t="s">
        <v>2999</v>
      </c>
      <c r="BO172" s="3267" t="s">
        <v>3146</v>
      </c>
      <c r="BP172" s="3267"/>
      <c r="BQ172" s="3267" t="e">
        <v>#DIV/0!</v>
      </c>
      <c r="BR172" s="3267" t="e">
        <v>#DIV/0!</v>
      </c>
      <c r="BS172" s="3285"/>
      <c r="BT172" s="3285"/>
      <c r="BU172" s="3285"/>
    </row>
    <row r="173" spans="1:73" hidden="1">
      <c r="A173" s="3267" t="s">
        <v>4437</v>
      </c>
      <c r="B173" s="3267" t="s">
        <v>4438</v>
      </c>
      <c r="C173" s="3267" t="s">
        <v>4439</v>
      </c>
      <c r="D173" s="3267" t="s">
        <v>4440</v>
      </c>
      <c r="E173" s="3267" t="s">
        <v>2985</v>
      </c>
      <c r="F173" s="3267" t="s">
        <v>4441</v>
      </c>
      <c r="G173" s="3267"/>
      <c r="H173" s="3267" t="s">
        <v>3430</v>
      </c>
      <c r="I173" s="3267"/>
      <c r="J173" s="3267" t="s">
        <v>4442</v>
      </c>
      <c r="K173" s="3267" t="s">
        <v>4438</v>
      </c>
      <c r="L173" s="3267">
        <v>61.94</v>
      </c>
      <c r="M173" s="3267">
        <v>6</v>
      </c>
      <c r="N173" s="3267" t="s">
        <v>3122</v>
      </c>
      <c r="O173" s="3267"/>
      <c r="P173" s="3267" t="s">
        <v>2963</v>
      </c>
      <c r="Q173" s="3267">
        <v>320000</v>
      </c>
      <c r="R173" s="3267">
        <v>5166</v>
      </c>
      <c r="S173" s="3272">
        <v>31.54</v>
      </c>
      <c r="T173" s="3273">
        <v>315400</v>
      </c>
      <c r="U173" s="3267">
        <v>5093</v>
      </c>
      <c r="V173" s="3289">
        <v>0.05</v>
      </c>
      <c r="W173" s="3272">
        <v>29.96</v>
      </c>
      <c r="X173" s="3273">
        <v>299600</v>
      </c>
      <c r="Y173" s="3267">
        <v>2006</v>
      </c>
      <c r="Z173" s="3267">
        <v>1</v>
      </c>
      <c r="AA173" s="3267">
        <v>18</v>
      </c>
      <c r="AB173" s="3267">
        <v>945</v>
      </c>
      <c r="AC173" s="3267" t="s">
        <v>4443</v>
      </c>
      <c r="AD173" s="3267"/>
      <c r="AE173" s="3267" t="s">
        <v>3121</v>
      </c>
      <c r="AF173" s="3267" t="s">
        <v>2966</v>
      </c>
      <c r="AG173" s="3267" t="s">
        <v>2967</v>
      </c>
      <c r="AH173" s="3267"/>
      <c r="AI173" s="3267" t="s">
        <v>2992</v>
      </c>
      <c r="AJ173" s="3303"/>
      <c r="AK173" s="3267">
        <v>1</v>
      </c>
      <c r="AL173" s="3267">
        <v>67641700</v>
      </c>
      <c r="AM173" s="3267"/>
      <c r="AN173" s="3267" t="s">
        <v>3114</v>
      </c>
      <c r="AO173" s="3267"/>
      <c r="AP173" s="3267" t="s">
        <v>3305</v>
      </c>
      <c r="AQ173" s="3267" t="s">
        <v>3113</v>
      </c>
      <c r="AR173" s="3267"/>
      <c r="AS173" s="3267"/>
      <c r="AT173" s="3267"/>
      <c r="AU173" s="3267"/>
      <c r="AV173" s="3267"/>
      <c r="AW173" s="3267" t="s">
        <v>3119</v>
      </c>
      <c r="AX173" s="3267"/>
      <c r="AY173" s="3269"/>
      <c r="AZ173" s="3267" t="s">
        <v>4444</v>
      </c>
      <c r="BA173" s="3267"/>
      <c r="BB173" s="3269"/>
      <c r="BC173" s="3267"/>
      <c r="BD173" s="3304"/>
      <c r="BE173" s="3267"/>
      <c r="BF173" s="3305"/>
      <c r="BG173" s="3284">
        <v>38733</v>
      </c>
      <c r="BH173" s="3267" t="s">
        <v>2998</v>
      </c>
      <c r="BI173" s="3267" t="s">
        <v>3305</v>
      </c>
      <c r="BJ173" s="3303">
        <v>38733</v>
      </c>
      <c r="BK173" s="3303"/>
      <c r="BL173" s="3267" t="s">
        <v>3249</v>
      </c>
      <c r="BM173" s="3267" t="s">
        <v>2879</v>
      </c>
      <c r="BN173" s="3267" t="s">
        <v>2999</v>
      </c>
      <c r="BO173" s="3267" t="s">
        <v>3146</v>
      </c>
      <c r="BP173" s="3267"/>
      <c r="BQ173" s="3267" t="e">
        <v>#DIV/0!</v>
      </c>
      <c r="BR173" s="3267" t="e">
        <v>#DIV/0!</v>
      </c>
      <c r="BS173" s="3285"/>
      <c r="BT173" s="3285"/>
      <c r="BU173" s="3285"/>
    </row>
    <row r="174" spans="1:73" hidden="1">
      <c r="A174" s="3267" t="s">
        <v>4445</v>
      </c>
      <c r="B174" s="3267" t="s">
        <v>4446</v>
      </c>
      <c r="C174" s="3269" t="s">
        <v>4447</v>
      </c>
      <c r="D174" s="3269" t="s">
        <v>4448</v>
      </c>
      <c r="E174" s="3268" t="s">
        <v>2985</v>
      </c>
      <c r="F174" s="3268" t="s">
        <v>4449</v>
      </c>
      <c r="G174" s="3267"/>
      <c r="H174" s="3267" t="s">
        <v>4450</v>
      </c>
      <c r="I174" s="3268" t="s">
        <v>3188</v>
      </c>
      <c r="J174" s="3267" t="s">
        <v>4451</v>
      </c>
      <c r="K174" s="3267" t="s">
        <v>4452</v>
      </c>
      <c r="L174" s="3267">
        <v>68.3</v>
      </c>
      <c r="M174" s="3267">
        <v>6</v>
      </c>
      <c r="N174" s="3267" t="s">
        <v>3122</v>
      </c>
      <c r="O174" s="3267"/>
      <c r="P174" s="3267" t="s">
        <v>2963</v>
      </c>
      <c r="Q174" s="3271">
        <v>452000</v>
      </c>
      <c r="R174" s="3267">
        <v>6618</v>
      </c>
      <c r="S174" s="3272">
        <v>37.97</v>
      </c>
      <c r="T174" s="3273">
        <v>379700</v>
      </c>
      <c r="U174" s="3267">
        <v>5560</v>
      </c>
      <c r="V174" s="3289">
        <v>0.05</v>
      </c>
      <c r="W174" s="3272">
        <v>36.07</v>
      </c>
      <c r="X174" s="3275">
        <v>360700</v>
      </c>
      <c r="Y174" s="3276">
        <v>2006</v>
      </c>
      <c r="Z174" s="3276">
        <v>1</v>
      </c>
      <c r="AA174" s="3276">
        <v>25</v>
      </c>
      <c r="AB174" s="3267">
        <v>1135</v>
      </c>
      <c r="AC174" s="3267" t="s">
        <v>3227</v>
      </c>
      <c r="AD174" s="3267"/>
      <c r="AE174" s="3279" t="s">
        <v>3245</v>
      </c>
      <c r="AF174" s="3268" t="s">
        <v>2966</v>
      </c>
      <c r="AG174" s="3279" t="s">
        <v>2967</v>
      </c>
      <c r="AH174" s="3267"/>
      <c r="AI174" s="3279" t="s">
        <v>2992</v>
      </c>
      <c r="AJ174" s="3284"/>
      <c r="AK174" s="3278">
        <v>1</v>
      </c>
      <c r="AL174" s="3276">
        <v>67641700</v>
      </c>
      <c r="AM174" s="3276"/>
      <c r="AN174" s="3279" t="s">
        <v>2994</v>
      </c>
      <c r="AO174" s="3267"/>
      <c r="AP174" s="3279" t="s">
        <v>3305</v>
      </c>
      <c r="AQ174" s="3267" t="s">
        <v>3228</v>
      </c>
      <c r="AR174" s="3276"/>
      <c r="AS174" s="3276"/>
      <c r="AT174" s="3276"/>
      <c r="AU174" s="3276"/>
      <c r="AV174" s="3276"/>
      <c r="AW174" s="3276" t="s">
        <v>3119</v>
      </c>
      <c r="AX174" s="3276"/>
      <c r="AY174" s="3291"/>
      <c r="AZ174" s="3267" t="s">
        <v>4452</v>
      </c>
      <c r="BA174" s="3296"/>
      <c r="BB174" s="3297"/>
      <c r="BC174" s="3296"/>
      <c r="BD174" s="3298"/>
      <c r="BE174" s="3276"/>
      <c r="BF174" s="3281"/>
      <c r="BG174" s="3293">
        <v>38733</v>
      </c>
      <c r="BH174" s="3267" t="s">
        <v>2998</v>
      </c>
      <c r="BI174" s="3314" t="s">
        <v>3305</v>
      </c>
      <c r="BJ174" s="3283">
        <v>38733</v>
      </c>
      <c r="BK174" s="3283"/>
      <c r="BL174" s="3267" t="s">
        <v>3249</v>
      </c>
      <c r="BM174" s="3276" t="s">
        <v>2879</v>
      </c>
      <c r="BN174" s="3276" t="s">
        <v>3111</v>
      </c>
      <c r="BO174" s="3276" t="s">
        <v>3146</v>
      </c>
      <c r="BP174" s="3276"/>
      <c r="BQ174" s="3276" t="e">
        <v>#DIV/0!</v>
      </c>
      <c r="BR174" s="3276" t="e">
        <v>#DIV/0!</v>
      </c>
      <c r="BS174" s="3285"/>
      <c r="BT174" s="3285"/>
      <c r="BU174" s="3285"/>
    </row>
    <row r="175" spans="1:73" hidden="1">
      <c r="A175" s="3267" t="s">
        <v>4453</v>
      </c>
      <c r="B175" s="3267" t="s">
        <v>4454</v>
      </c>
      <c r="C175" s="3267" t="s">
        <v>4455</v>
      </c>
      <c r="D175" s="3267">
        <v>13811855312</v>
      </c>
      <c r="E175" s="3267" t="s">
        <v>2985</v>
      </c>
      <c r="F175" s="3267" t="s">
        <v>4353</v>
      </c>
      <c r="G175" s="3267"/>
      <c r="H175" s="3267" t="s">
        <v>3244</v>
      </c>
      <c r="I175" s="3267"/>
      <c r="J175" s="3267">
        <v>1704</v>
      </c>
      <c r="K175" s="3267" t="s">
        <v>4456</v>
      </c>
      <c r="L175" s="3267">
        <v>65.319999999999993</v>
      </c>
      <c r="M175" s="3267">
        <v>17</v>
      </c>
      <c r="N175" s="3267" t="s">
        <v>3122</v>
      </c>
      <c r="O175" s="3267"/>
      <c r="P175" s="3267" t="s">
        <v>2963</v>
      </c>
      <c r="Q175" s="3267">
        <v>430000</v>
      </c>
      <c r="R175" s="3267">
        <v>6583</v>
      </c>
      <c r="S175" s="3272">
        <v>39.799999999999997</v>
      </c>
      <c r="T175" s="3273">
        <v>398000</v>
      </c>
      <c r="U175" s="3267">
        <v>6094</v>
      </c>
      <c r="V175" s="3289">
        <v>0.05</v>
      </c>
      <c r="W175" s="3272">
        <v>37.81</v>
      </c>
      <c r="X175" s="3273">
        <v>378100</v>
      </c>
      <c r="Y175" s="3267">
        <v>2006</v>
      </c>
      <c r="Z175" s="3267">
        <v>1</v>
      </c>
      <c r="AA175" s="3267">
        <v>18</v>
      </c>
      <c r="AB175" s="3267">
        <v>1190</v>
      </c>
      <c r="AC175" s="3267" t="s">
        <v>3227</v>
      </c>
      <c r="AD175" s="3267"/>
      <c r="AE175" s="3267" t="s">
        <v>3304</v>
      </c>
      <c r="AF175" s="3267" t="s">
        <v>2966</v>
      </c>
      <c r="AG175" s="3267" t="s">
        <v>2967</v>
      </c>
      <c r="AH175" s="3267"/>
      <c r="AI175" s="3267" t="s">
        <v>3295</v>
      </c>
      <c r="AJ175" s="3303"/>
      <c r="AK175" s="3267">
        <v>1</v>
      </c>
      <c r="AL175" s="3267">
        <v>67641700</v>
      </c>
      <c r="AM175" s="3267"/>
      <c r="AN175" s="3267" t="s">
        <v>3114</v>
      </c>
      <c r="AO175" s="3267"/>
      <c r="AP175" s="3267" t="s">
        <v>3305</v>
      </c>
      <c r="AQ175" s="3267" t="s">
        <v>3113</v>
      </c>
      <c r="AR175" s="3267"/>
      <c r="AS175" s="3267"/>
      <c r="AT175" s="3267"/>
      <c r="AU175" s="3267"/>
      <c r="AV175" s="3267"/>
      <c r="AW175" s="3267" t="s">
        <v>2997</v>
      </c>
      <c r="AX175" s="3267"/>
      <c r="AY175" s="3269"/>
      <c r="AZ175" s="3267" t="s">
        <v>4456</v>
      </c>
      <c r="BA175" s="3267"/>
      <c r="BB175" s="3269"/>
      <c r="BC175" s="3267"/>
      <c r="BD175" s="3304"/>
      <c r="BE175" s="3267"/>
      <c r="BF175" s="3305"/>
      <c r="BG175" s="3284">
        <v>38733</v>
      </c>
      <c r="BH175" s="3267"/>
      <c r="BI175" s="3267" t="s">
        <v>3537</v>
      </c>
      <c r="BJ175" s="3303">
        <v>38733</v>
      </c>
      <c r="BK175" s="3303"/>
      <c r="BL175" s="3267" t="s">
        <v>2998</v>
      </c>
      <c r="BM175" s="3267" t="s">
        <v>2879</v>
      </c>
      <c r="BN175" s="3267" t="s">
        <v>3111</v>
      </c>
      <c r="BO175" s="3267" t="s">
        <v>3146</v>
      </c>
      <c r="BP175" s="3267"/>
      <c r="BQ175" s="3267" t="e">
        <v>#DIV/0!</v>
      </c>
      <c r="BR175" s="3267" t="e">
        <v>#DIV/0!</v>
      </c>
      <c r="BS175" s="3285"/>
      <c r="BT175" s="3285"/>
      <c r="BU175" s="3285"/>
    </row>
    <row r="176" spans="1:73" hidden="1">
      <c r="A176" s="3267" t="s">
        <v>4457</v>
      </c>
      <c r="B176" s="3268" t="s">
        <v>4458</v>
      </c>
      <c r="C176" s="3269" t="s">
        <v>4459</v>
      </c>
      <c r="D176" s="3268" t="s">
        <v>4460</v>
      </c>
      <c r="E176" s="3268" t="s">
        <v>2985</v>
      </c>
      <c r="F176" s="3268" t="s">
        <v>4461</v>
      </c>
      <c r="G176" s="3268"/>
      <c r="H176" s="3268" t="s">
        <v>3182</v>
      </c>
      <c r="I176" s="3268" t="s">
        <v>3586</v>
      </c>
      <c r="J176" s="3268" t="s">
        <v>3126</v>
      </c>
      <c r="K176" s="3268" t="s">
        <v>4458</v>
      </c>
      <c r="L176" s="3270">
        <v>73.650000000000006</v>
      </c>
      <c r="M176" s="3270">
        <v>6</v>
      </c>
      <c r="N176" s="3267" t="s">
        <v>3125</v>
      </c>
      <c r="O176" s="3270"/>
      <c r="P176" s="3268" t="s">
        <v>2963</v>
      </c>
      <c r="Q176" s="3271">
        <v>461000</v>
      </c>
      <c r="R176" s="3267">
        <v>6259</v>
      </c>
      <c r="S176" s="3272">
        <v>46.9</v>
      </c>
      <c r="T176" s="3273">
        <v>469000</v>
      </c>
      <c r="U176" s="3267">
        <v>6368</v>
      </c>
      <c r="V176" s="3289">
        <v>0.05</v>
      </c>
      <c r="W176" s="3272">
        <v>44.55</v>
      </c>
      <c r="X176" s="3275">
        <v>445500</v>
      </c>
      <c r="Y176" s="3276">
        <v>2006</v>
      </c>
      <c r="Z176" s="3276">
        <v>1</v>
      </c>
      <c r="AA176" s="3276">
        <v>19</v>
      </c>
      <c r="AB176" s="3267">
        <v>1405</v>
      </c>
      <c r="AC176" s="3267" t="s">
        <v>3227</v>
      </c>
      <c r="AD176" s="3268"/>
      <c r="AE176" s="3268" t="s">
        <v>3238</v>
      </c>
      <c r="AF176" s="3268" t="s">
        <v>2966</v>
      </c>
      <c r="AG176" s="3268" t="s">
        <v>2967</v>
      </c>
      <c r="AH176" s="3268"/>
      <c r="AI176" s="3267" t="s">
        <v>2992</v>
      </c>
      <c r="AJ176" s="3290"/>
      <c r="AK176" s="3278" t="s">
        <v>3131</v>
      </c>
      <c r="AL176" s="3276">
        <v>67641700</v>
      </c>
      <c r="AM176" s="3276"/>
      <c r="AN176" s="3279" t="s">
        <v>3114</v>
      </c>
      <c r="AO176" s="3267"/>
      <c r="AP176" s="3279" t="s">
        <v>3305</v>
      </c>
      <c r="AQ176" s="3276" t="s">
        <v>3113</v>
      </c>
      <c r="AR176" s="3267"/>
      <c r="AS176" s="3267"/>
      <c r="AT176" s="3267"/>
      <c r="AU176" s="3267"/>
      <c r="AV176" s="3277"/>
      <c r="AW176" s="3267"/>
      <c r="AX176" s="3276"/>
      <c r="AY176" s="3291"/>
      <c r="AZ176" s="3267" t="s">
        <v>4462</v>
      </c>
      <c r="BA176" s="3296"/>
      <c r="BB176" s="3297"/>
      <c r="BC176" s="3296"/>
      <c r="BD176" s="3298"/>
      <c r="BE176" s="3276">
        <v>13651178983</v>
      </c>
      <c r="BF176" s="3281"/>
      <c r="BG176" s="3293">
        <v>38709</v>
      </c>
      <c r="BH176" s="3267"/>
      <c r="BI176" s="3276" t="s">
        <v>3238</v>
      </c>
      <c r="BJ176" s="3283">
        <v>38733</v>
      </c>
      <c r="BK176" s="3284"/>
      <c r="BL176" s="3267" t="s">
        <v>3249</v>
      </c>
      <c r="BM176" s="3267" t="s">
        <v>2879</v>
      </c>
      <c r="BN176" s="3276" t="s">
        <v>2999</v>
      </c>
      <c r="BO176" s="3267" t="s">
        <v>3146</v>
      </c>
      <c r="BP176" s="3276"/>
      <c r="BQ176" s="3276" t="e">
        <v>#DIV/0!</v>
      </c>
      <c r="BR176" s="3276" t="e">
        <v>#DIV/0!</v>
      </c>
      <c r="BS176" s="3285"/>
      <c r="BT176" s="3285"/>
      <c r="BU176" s="3285"/>
    </row>
    <row r="177" spans="1:73" hidden="1">
      <c r="A177" s="3267" t="s">
        <v>4463</v>
      </c>
      <c r="B177" s="3267" t="s">
        <v>4464</v>
      </c>
      <c r="C177" s="3269" t="s">
        <v>4465</v>
      </c>
      <c r="D177" s="3269">
        <v>13911566231</v>
      </c>
      <c r="E177" s="3267" t="s">
        <v>2985</v>
      </c>
      <c r="F177" s="3308" t="s">
        <v>4466</v>
      </c>
      <c r="G177" s="3267"/>
      <c r="H177" s="3268" t="s">
        <v>3162</v>
      </c>
      <c r="I177" s="3268"/>
      <c r="J177" s="3269" t="s">
        <v>4467</v>
      </c>
      <c r="K177" s="3267" t="s">
        <v>4468</v>
      </c>
      <c r="L177" s="3267">
        <v>56.91</v>
      </c>
      <c r="M177" s="3267">
        <v>9</v>
      </c>
      <c r="N177" s="3267" t="s">
        <v>3152</v>
      </c>
      <c r="O177" s="3267"/>
      <c r="P177" s="3267" t="s">
        <v>2963</v>
      </c>
      <c r="Q177" s="3271">
        <v>380000</v>
      </c>
      <c r="R177" s="3267">
        <v>6677</v>
      </c>
      <c r="S177" s="3272">
        <v>31.71</v>
      </c>
      <c r="T177" s="3273">
        <v>317100</v>
      </c>
      <c r="U177" s="3267">
        <v>5573</v>
      </c>
      <c r="V177" s="3289">
        <v>0.05</v>
      </c>
      <c r="W177" s="3272">
        <v>30.12</v>
      </c>
      <c r="X177" s="3275">
        <v>301200</v>
      </c>
      <c r="Y177" s="3276">
        <v>2006</v>
      </c>
      <c r="Z177" s="3276">
        <v>1</v>
      </c>
      <c r="AA177" s="3276">
        <v>25</v>
      </c>
      <c r="AB177" s="3267">
        <v>950</v>
      </c>
      <c r="AC177" s="3267" t="s">
        <v>3227</v>
      </c>
      <c r="AD177" s="3267"/>
      <c r="AE177" s="3276" t="s">
        <v>3342</v>
      </c>
      <c r="AF177" s="3267" t="s">
        <v>2966</v>
      </c>
      <c r="AG177" s="3279" t="s">
        <v>2967</v>
      </c>
      <c r="AH177" s="3267"/>
      <c r="AI177" s="3279" t="s">
        <v>2992</v>
      </c>
      <c r="AJ177" s="3284"/>
      <c r="AK177" s="3278">
        <v>1</v>
      </c>
      <c r="AL177" s="3276">
        <v>67641700</v>
      </c>
      <c r="AM177" s="3276"/>
      <c r="AN177" s="3279" t="s">
        <v>2994</v>
      </c>
      <c r="AO177" s="3276"/>
      <c r="AP177" s="3279" t="s">
        <v>3305</v>
      </c>
      <c r="AQ177" s="3267" t="s">
        <v>3228</v>
      </c>
      <c r="AR177" s="3276"/>
      <c r="AS177" s="3276"/>
      <c r="AT177" s="3276"/>
      <c r="AU177" s="3276"/>
      <c r="AV177" s="3276"/>
      <c r="AW177" s="3276" t="s">
        <v>3112</v>
      </c>
      <c r="AX177" s="3276"/>
      <c r="AY177" s="3291"/>
      <c r="AZ177" s="3276" t="s">
        <v>4468</v>
      </c>
      <c r="BA177" s="3276"/>
      <c r="BB177" s="3291"/>
      <c r="BC177" s="3276"/>
      <c r="BD177" s="3292"/>
      <c r="BE177" s="3276"/>
      <c r="BF177" s="3281"/>
      <c r="BG177" s="3299">
        <v>38733</v>
      </c>
      <c r="BH177" s="3276" t="s">
        <v>2998</v>
      </c>
      <c r="BI177" s="3314" t="s">
        <v>3305</v>
      </c>
      <c r="BJ177" s="3283">
        <v>38733</v>
      </c>
      <c r="BK177" s="3299"/>
      <c r="BL177" s="3267" t="s">
        <v>3249</v>
      </c>
      <c r="BM177" s="3276" t="s">
        <v>2879</v>
      </c>
      <c r="BN177" s="3276" t="s">
        <v>2999</v>
      </c>
      <c r="BO177" s="3276" t="s">
        <v>3146</v>
      </c>
      <c r="BP177" s="3276"/>
      <c r="BQ177" s="3276" t="e">
        <v>#DIV/0!</v>
      </c>
      <c r="BR177" s="3276" t="e">
        <v>#DIV/0!</v>
      </c>
      <c r="BS177" s="3285"/>
      <c r="BT177" s="3285"/>
      <c r="BU177" s="3285"/>
    </row>
    <row r="178" spans="1:73" hidden="1">
      <c r="A178" s="3267" t="s">
        <v>4469</v>
      </c>
      <c r="B178" s="3267" t="s">
        <v>3914</v>
      </c>
      <c r="C178" s="3269" t="s">
        <v>4470</v>
      </c>
      <c r="D178" s="3267">
        <v>13811291555</v>
      </c>
      <c r="E178" s="3267" t="s">
        <v>2985</v>
      </c>
      <c r="F178" s="3267" t="s">
        <v>3542</v>
      </c>
      <c r="G178" s="3267"/>
      <c r="H178" s="3267" t="s">
        <v>3124</v>
      </c>
      <c r="I178" s="3267"/>
      <c r="J178" s="3267" t="s">
        <v>4471</v>
      </c>
      <c r="K178" s="3267" t="s">
        <v>4472</v>
      </c>
      <c r="L178" s="3286">
        <v>69.17</v>
      </c>
      <c r="M178" s="3267">
        <v>13</v>
      </c>
      <c r="N178" s="3267" t="s">
        <v>3098</v>
      </c>
      <c r="O178" s="3267"/>
      <c r="P178" s="3267" t="s">
        <v>2963</v>
      </c>
      <c r="Q178" s="3267">
        <v>502000</v>
      </c>
      <c r="R178" s="3267">
        <v>7257</v>
      </c>
      <c r="S178" s="3272">
        <v>42.88</v>
      </c>
      <c r="T178" s="3273">
        <v>428800</v>
      </c>
      <c r="U178" s="3267">
        <v>6200</v>
      </c>
      <c r="V178" s="3289">
        <v>0.05</v>
      </c>
      <c r="W178" s="3272">
        <v>40.729999999999997</v>
      </c>
      <c r="X178" s="3275">
        <v>407299.99999999994</v>
      </c>
      <c r="Y178" s="3276">
        <v>2006</v>
      </c>
      <c r="Z178" s="3276">
        <v>2</v>
      </c>
      <c r="AA178" s="3276">
        <v>23</v>
      </c>
      <c r="AB178" s="3267">
        <v>1285</v>
      </c>
      <c r="AC178" s="3267" t="s">
        <v>3227</v>
      </c>
      <c r="AD178" s="3267"/>
      <c r="AE178" s="3267" t="s">
        <v>3245</v>
      </c>
      <c r="AF178" s="3267" t="s">
        <v>2966</v>
      </c>
      <c r="AG178" s="3267" t="s">
        <v>2967</v>
      </c>
      <c r="AH178" s="3267"/>
      <c r="AI178" s="3279" t="s">
        <v>2992</v>
      </c>
      <c r="AJ178" s="3284"/>
      <c r="AK178" s="3278">
        <v>2</v>
      </c>
      <c r="AL178" s="3276">
        <v>67641700</v>
      </c>
      <c r="AM178" s="3276"/>
      <c r="AN178" s="3279" t="s">
        <v>3114</v>
      </c>
      <c r="AO178" s="3267" t="s">
        <v>2968</v>
      </c>
      <c r="AP178" s="3279" t="s">
        <v>3305</v>
      </c>
      <c r="AQ178" s="3267" t="s">
        <v>3113</v>
      </c>
      <c r="AR178" s="3267"/>
      <c r="AS178" s="3267"/>
      <c r="AT178" s="3267"/>
      <c r="AU178" s="3267"/>
      <c r="AV178" s="3267"/>
      <c r="AW178" s="3267" t="s">
        <v>3112</v>
      </c>
      <c r="AX178" s="3267"/>
      <c r="AY178" s="3269"/>
      <c r="AZ178" s="3267" t="s">
        <v>4472</v>
      </c>
      <c r="BA178" s="3267"/>
      <c r="BB178" s="3269"/>
      <c r="BC178" s="3267"/>
      <c r="BD178" s="3304"/>
      <c r="BE178" s="3267"/>
      <c r="BF178" s="3305"/>
      <c r="BG178" s="3284">
        <v>38684</v>
      </c>
      <c r="BH178" s="3267" t="s">
        <v>2998</v>
      </c>
      <c r="BI178" s="3267" t="s">
        <v>3245</v>
      </c>
      <c r="BJ178" s="3303">
        <v>38734</v>
      </c>
      <c r="BK178" s="3303"/>
      <c r="BL178" s="3267" t="s">
        <v>3249</v>
      </c>
      <c r="BM178" s="3267" t="s">
        <v>2879</v>
      </c>
      <c r="BN178" s="3267" t="s">
        <v>3111</v>
      </c>
      <c r="BO178" s="3267" t="s">
        <v>3146</v>
      </c>
      <c r="BP178" s="3267"/>
      <c r="BQ178" s="3276" t="e">
        <v>#DIV/0!</v>
      </c>
      <c r="BR178" s="3276" t="e">
        <v>#DIV/0!</v>
      </c>
      <c r="BS178" s="3285"/>
      <c r="BT178" s="3285"/>
      <c r="BU178" s="3285"/>
    </row>
    <row r="179" spans="1:73" hidden="1">
      <c r="A179" s="3267" t="s">
        <v>4473</v>
      </c>
      <c r="B179" s="3267" t="s">
        <v>4474</v>
      </c>
      <c r="C179" s="3269" t="s">
        <v>4475</v>
      </c>
      <c r="D179" s="3269" t="s">
        <v>4476</v>
      </c>
      <c r="E179" s="3268" t="s">
        <v>2985</v>
      </c>
      <c r="F179" s="3268" t="s">
        <v>3309</v>
      </c>
      <c r="G179" s="3267"/>
      <c r="H179" s="3268" t="s">
        <v>4477</v>
      </c>
      <c r="I179" s="3268"/>
      <c r="J179" s="3267" t="s">
        <v>4478</v>
      </c>
      <c r="K179" s="3267" t="s">
        <v>4474</v>
      </c>
      <c r="L179" s="3267">
        <v>77.98</v>
      </c>
      <c r="M179" s="3267">
        <v>3</v>
      </c>
      <c r="N179" s="3267" t="s">
        <v>3122</v>
      </c>
      <c r="O179" s="3267">
        <v>62.39</v>
      </c>
      <c r="P179" s="3267" t="s">
        <v>2963</v>
      </c>
      <c r="Q179" s="3271">
        <v>402000</v>
      </c>
      <c r="R179" s="3267">
        <v>5155</v>
      </c>
      <c r="S179" s="3272">
        <v>39.76</v>
      </c>
      <c r="T179" s="3273">
        <v>397600</v>
      </c>
      <c r="U179" s="3267">
        <v>5100</v>
      </c>
      <c r="V179" s="3289">
        <v>0.05</v>
      </c>
      <c r="W179" s="3272">
        <v>37.770000000000003</v>
      </c>
      <c r="X179" s="3275">
        <v>377700.00000000006</v>
      </c>
      <c r="Y179" s="3276">
        <v>2006</v>
      </c>
      <c r="Z179" s="3276">
        <v>1</v>
      </c>
      <c r="AA179" s="3276">
        <v>19</v>
      </c>
      <c r="AB179" s="3267">
        <v>1190</v>
      </c>
      <c r="AC179" s="3267" t="s">
        <v>3227</v>
      </c>
      <c r="AD179" s="3267"/>
      <c r="AE179" s="3279" t="s">
        <v>3245</v>
      </c>
      <c r="AF179" s="3268" t="s">
        <v>2966</v>
      </c>
      <c r="AG179" s="3279" t="s">
        <v>2967</v>
      </c>
      <c r="AH179" s="3267"/>
      <c r="AI179" s="3279" t="s">
        <v>2992</v>
      </c>
      <c r="AJ179" s="3284"/>
      <c r="AK179" s="3278">
        <v>1</v>
      </c>
      <c r="AL179" s="3276">
        <v>67641700</v>
      </c>
      <c r="AM179" s="3276"/>
      <c r="AN179" s="3279" t="s">
        <v>3114</v>
      </c>
      <c r="AO179" s="3267"/>
      <c r="AP179" s="3279" t="s">
        <v>3305</v>
      </c>
      <c r="AQ179" s="3276" t="s">
        <v>3113</v>
      </c>
      <c r="AR179" s="3276"/>
      <c r="AS179" s="3276"/>
      <c r="AT179" s="3276"/>
      <c r="AU179" s="3276"/>
      <c r="AV179" s="3276"/>
      <c r="AW179" s="3276" t="s">
        <v>2997</v>
      </c>
      <c r="AX179" s="3276"/>
      <c r="AY179" s="3291"/>
      <c r="AZ179" s="3267" t="s">
        <v>4479</v>
      </c>
      <c r="BA179" s="3296"/>
      <c r="BB179" s="3297"/>
      <c r="BC179" s="3296"/>
      <c r="BD179" s="3298"/>
      <c r="BE179" s="3276"/>
      <c r="BF179" s="3281"/>
      <c r="BG179" s="3293">
        <v>38733</v>
      </c>
      <c r="BH179" s="3267" t="s">
        <v>2998</v>
      </c>
      <c r="BI179" s="3314" t="s">
        <v>3305</v>
      </c>
      <c r="BJ179" s="3283">
        <v>38734</v>
      </c>
      <c r="BK179" s="3283"/>
      <c r="BL179" s="3267" t="s">
        <v>3249</v>
      </c>
      <c r="BM179" s="3276" t="s">
        <v>2879</v>
      </c>
      <c r="BN179" s="3276" t="s">
        <v>2999</v>
      </c>
      <c r="BO179" s="3276" t="s">
        <v>3146</v>
      </c>
      <c r="BP179" s="3276"/>
      <c r="BQ179" s="3276">
        <v>6373</v>
      </c>
      <c r="BR179" s="3276">
        <v>6443</v>
      </c>
      <c r="BS179" s="3285"/>
      <c r="BT179" s="3285"/>
      <c r="BU179" s="3285"/>
    </row>
    <row r="180" spans="1:73">
      <c r="A180" s="3267" t="s">
        <v>4480</v>
      </c>
      <c r="B180" s="3267" t="s">
        <v>4481</v>
      </c>
      <c r="C180" s="3269" t="s">
        <v>4482</v>
      </c>
      <c r="D180" s="3267">
        <v>13910279583</v>
      </c>
      <c r="E180" s="3267" t="s">
        <v>2985</v>
      </c>
      <c r="F180" s="3267" t="s">
        <v>4246</v>
      </c>
      <c r="G180" s="3267"/>
      <c r="H180" s="3267" t="s">
        <v>3097</v>
      </c>
      <c r="I180" s="3267"/>
      <c r="J180" s="3354" t="s">
        <v>4483</v>
      </c>
      <c r="K180" s="3268" t="s">
        <v>4481</v>
      </c>
      <c r="L180" s="3267">
        <v>145.85</v>
      </c>
      <c r="M180" s="3355">
        <v>7</v>
      </c>
      <c r="N180" s="3267" t="s">
        <v>3129</v>
      </c>
      <c r="O180" s="3267"/>
      <c r="P180" s="3267" t="s">
        <v>2963</v>
      </c>
      <c r="Q180" s="3267">
        <v>1280000</v>
      </c>
      <c r="R180" s="3267">
        <v>8776</v>
      </c>
      <c r="S180" s="3272">
        <v>109.38</v>
      </c>
      <c r="T180" s="3273">
        <v>1093800</v>
      </c>
      <c r="U180" s="3267">
        <v>7500</v>
      </c>
      <c r="V180" s="3274">
        <v>0.05</v>
      </c>
      <c r="W180" s="3272">
        <v>103.91</v>
      </c>
      <c r="X180" s="3275">
        <v>1039100</v>
      </c>
      <c r="Y180" s="3267">
        <v>2006</v>
      </c>
      <c r="Z180" s="3267">
        <v>1</v>
      </c>
      <c r="AA180" s="3276">
        <v>20</v>
      </c>
      <c r="AB180" s="3267">
        <v>1500</v>
      </c>
      <c r="AC180" s="3267" t="s">
        <v>3227</v>
      </c>
      <c r="AD180" s="3267"/>
      <c r="AE180" s="3276" t="s">
        <v>3295</v>
      </c>
      <c r="AF180" s="3267" t="s">
        <v>2966</v>
      </c>
      <c r="AG180" s="3267" t="s">
        <v>2967</v>
      </c>
      <c r="AH180" s="3267"/>
      <c r="AI180" s="3267" t="s">
        <v>2992</v>
      </c>
      <c r="AJ180" s="3284"/>
      <c r="AK180" s="3278">
        <v>1</v>
      </c>
      <c r="AL180" s="3276">
        <v>67641700</v>
      </c>
      <c r="AM180" s="3276"/>
      <c r="AN180" s="3279" t="s">
        <v>3114</v>
      </c>
      <c r="AO180" s="3267"/>
      <c r="AP180" s="3279" t="s">
        <v>3305</v>
      </c>
      <c r="AQ180" s="3267" t="s">
        <v>3113</v>
      </c>
      <c r="AR180" s="3267"/>
      <c r="AS180" s="3267"/>
      <c r="AT180" s="3267"/>
      <c r="AU180" s="3267"/>
      <c r="AV180" s="3267"/>
      <c r="AW180" s="3267" t="s">
        <v>2997</v>
      </c>
      <c r="AX180" s="3267"/>
      <c r="AY180" s="3269"/>
      <c r="AZ180" s="3267" t="s">
        <v>4484</v>
      </c>
      <c r="BA180" s="3267"/>
      <c r="BB180" s="3267"/>
      <c r="BC180" s="3267"/>
      <c r="BD180" s="3267"/>
      <c r="BE180" s="3267"/>
      <c r="BF180" s="3356"/>
      <c r="BG180" s="3357">
        <v>38718</v>
      </c>
      <c r="BH180" s="3267" t="s">
        <v>2998</v>
      </c>
      <c r="BI180" s="3314" t="s">
        <v>3305</v>
      </c>
      <c r="BJ180" s="3283">
        <v>38734</v>
      </c>
      <c r="BK180" s="3283"/>
      <c r="BL180" s="3267" t="s">
        <v>3249</v>
      </c>
      <c r="BM180" s="3267" t="s">
        <v>2879</v>
      </c>
      <c r="BN180" s="3267" t="s">
        <v>2999</v>
      </c>
      <c r="BO180" s="3267" t="s">
        <v>4485</v>
      </c>
      <c r="BP180" s="3267"/>
      <c r="BQ180" s="3276" t="e">
        <v>#DIV/0!</v>
      </c>
      <c r="BR180" s="3276" t="e">
        <v>#DIV/0!</v>
      </c>
      <c r="BS180" s="3285"/>
      <c r="BT180" s="3285"/>
      <c r="BU180" s="3285"/>
    </row>
    <row r="181" spans="1:73" hidden="1">
      <c r="A181" s="3267" t="s">
        <v>4486</v>
      </c>
      <c r="B181" s="3267" t="s">
        <v>4487</v>
      </c>
      <c r="C181" s="3269" t="s">
        <v>4488</v>
      </c>
      <c r="D181" s="3268">
        <v>13910828153</v>
      </c>
      <c r="E181" s="3267" t="s">
        <v>2985</v>
      </c>
      <c r="F181" s="3267" t="s">
        <v>4489</v>
      </c>
      <c r="G181" s="3267"/>
      <c r="H181" s="3270" t="s">
        <v>3402</v>
      </c>
      <c r="I181" s="3268"/>
      <c r="J181" s="3270" t="s">
        <v>4490</v>
      </c>
      <c r="K181" s="3267" t="s">
        <v>4491</v>
      </c>
      <c r="L181" s="3286">
        <v>86.49</v>
      </c>
      <c r="M181" s="3270">
        <v>11</v>
      </c>
      <c r="N181" s="3267" t="s">
        <v>3122</v>
      </c>
      <c r="O181" s="3267"/>
      <c r="P181" s="3267" t="s">
        <v>2963</v>
      </c>
      <c r="Q181" s="3287">
        <v>555000</v>
      </c>
      <c r="R181" s="3267">
        <v>6417</v>
      </c>
      <c r="S181" s="3318">
        <v>49.23</v>
      </c>
      <c r="T181" s="3273">
        <v>492300</v>
      </c>
      <c r="U181" s="3287">
        <v>5693</v>
      </c>
      <c r="V181" s="3289">
        <v>0.05</v>
      </c>
      <c r="W181" s="3318">
        <v>46.76</v>
      </c>
      <c r="X181" s="3273">
        <v>467600</v>
      </c>
      <c r="Y181" s="3276">
        <v>2006</v>
      </c>
      <c r="Z181" s="3267">
        <v>3</v>
      </c>
      <c r="AA181" s="3267">
        <v>2</v>
      </c>
      <c r="AB181" s="3267">
        <v>1475</v>
      </c>
      <c r="AC181" s="3267" t="s">
        <v>3227</v>
      </c>
      <c r="AD181" s="3267"/>
      <c r="AE181" s="3276" t="s">
        <v>3396</v>
      </c>
      <c r="AF181" s="3267" t="s">
        <v>2966</v>
      </c>
      <c r="AG181" s="3267" t="s">
        <v>2967</v>
      </c>
      <c r="AH181" s="3267"/>
      <c r="AI181" s="3267" t="s">
        <v>2992</v>
      </c>
      <c r="AJ181" s="3290"/>
      <c r="AK181" s="3278" t="s">
        <v>3114</v>
      </c>
      <c r="AL181" s="3276">
        <v>67641672</v>
      </c>
      <c r="AM181" s="3276"/>
      <c r="AN181" s="3279" t="s">
        <v>3131</v>
      </c>
      <c r="AO181" s="3276"/>
      <c r="AP181" s="3276" t="s">
        <v>3396</v>
      </c>
      <c r="AQ181" s="3267" t="s">
        <v>3228</v>
      </c>
      <c r="AR181" s="3267"/>
      <c r="AS181" s="3267"/>
      <c r="AT181" s="3267"/>
      <c r="AU181" s="3267"/>
      <c r="AV181" s="3267" t="s">
        <v>2968</v>
      </c>
      <c r="AW181" s="3267" t="s">
        <v>3112</v>
      </c>
      <c r="AX181" s="3267"/>
      <c r="AY181" s="3279"/>
      <c r="AZ181" s="3267" t="s">
        <v>4491</v>
      </c>
      <c r="BA181" s="3267"/>
      <c r="BB181" s="3267"/>
      <c r="BC181" s="3267"/>
      <c r="BD181" s="3267"/>
      <c r="BE181" s="3267"/>
      <c r="BF181" s="3267"/>
      <c r="BG181" s="3290">
        <v>38725</v>
      </c>
      <c r="BH181" s="3267"/>
      <c r="BI181" s="3276" t="s">
        <v>3396</v>
      </c>
      <c r="BJ181" s="3284">
        <v>38736</v>
      </c>
      <c r="BK181" s="3284"/>
      <c r="BL181" s="3267" t="s">
        <v>2998</v>
      </c>
      <c r="BM181" s="3276" t="s">
        <v>2879</v>
      </c>
      <c r="BN181" s="3267" t="s">
        <v>2999</v>
      </c>
      <c r="BO181" s="3267" t="s">
        <v>3146</v>
      </c>
      <c r="BP181" s="3267"/>
      <c r="BQ181" s="3276"/>
      <c r="BR181" s="3276"/>
      <c r="BS181" s="3285"/>
      <c r="BT181" s="3285"/>
      <c r="BU181" s="3285"/>
    </row>
    <row r="182" spans="1:73" hidden="1">
      <c r="A182" s="3267" t="s">
        <v>4492</v>
      </c>
      <c r="B182" s="3267" t="s">
        <v>4493</v>
      </c>
      <c r="C182" s="3269" t="s">
        <v>4494</v>
      </c>
      <c r="D182" s="3267">
        <v>13651123878</v>
      </c>
      <c r="E182" s="3267" t="s">
        <v>2985</v>
      </c>
      <c r="F182" s="3267" t="s">
        <v>4495</v>
      </c>
      <c r="G182" s="3267"/>
      <c r="H182" s="3267"/>
      <c r="I182" s="3267" t="s">
        <v>3318</v>
      </c>
      <c r="J182" s="3267" t="s">
        <v>3126</v>
      </c>
      <c r="K182" s="3268" t="s">
        <v>4496</v>
      </c>
      <c r="L182" s="3267">
        <v>73.27</v>
      </c>
      <c r="M182" s="3267">
        <v>6</v>
      </c>
      <c r="N182" s="3267" t="s">
        <v>3125</v>
      </c>
      <c r="O182" s="3267"/>
      <c r="P182" s="3267" t="s">
        <v>2963</v>
      </c>
      <c r="Q182" s="3267">
        <v>410000</v>
      </c>
      <c r="R182" s="3267">
        <v>5596</v>
      </c>
      <c r="S182" s="3272">
        <v>40.67</v>
      </c>
      <c r="T182" s="3273">
        <v>406700</v>
      </c>
      <c r="U182" s="3267">
        <v>5552</v>
      </c>
      <c r="V182" s="3274">
        <v>0.05</v>
      </c>
      <c r="W182" s="3272">
        <v>38.630000000000003</v>
      </c>
      <c r="X182" s="3275">
        <v>386300</v>
      </c>
      <c r="Y182" s="3267">
        <v>2006</v>
      </c>
      <c r="Z182" s="3267">
        <v>1</v>
      </c>
      <c r="AA182" s="3276">
        <v>23</v>
      </c>
      <c r="AB182" s="3267">
        <v>1220</v>
      </c>
      <c r="AC182" s="3267" t="s">
        <v>3227</v>
      </c>
      <c r="AD182" s="3267"/>
      <c r="AE182" s="3276" t="s">
        <v>2991</v>
      </c>
      <c r="AF182" s="3267" t="s">
        <v>2966</v>
      </c>
      <c r="AG182" s="3267" t="s">
        <v>2967</v>
      </c>
      <c r="AH182" s="3267"/>
      <c r="AI182" s="3267" t="s">
        <v>3115</v>
      </c>
      <c r="AJ182" s="3284"/>
      <c r="AK182" s="3267" t="s">
        <v>3131</v>
      </c>
      <c r="AL182" s="3267">
        <v>82253558</v>
      </c>
      <c r="AM182" s="3267"/>
      <c r="AN182" s="3267" t="s">
        <v>2994</v>
      </c>
      <c r="AO182" s="3267" t="s">
        <v>2968</v>
      </c>
      <c r="AP182" s="3267" t="s">
        <v>3180</v>
      </c>
      <c r="AQ182" s="3267" t="s">
        <v>3113</v>
      </c>
      <c r="AR182" s="3267"/>
      <c r="AS182" s="3267"/>
      <c r="AT182" s="3267"/>
      <c r="AU182" s="3267"/>
      <c r="AV182" s="3267"/>
      <c r="AW182" s="3267" t="s">
        <v>2997</v>
      </c>
      <c r="AX182" s="3267"/>
      <c r="AY182" s="3269"/>
      <c r="AZ182" s="3267" t="s">
        <v>4496</v>
      </c>
      <c r="BA182" s="3267"/>
      <c r="BB182" s="3267"/>
      <c r="BC182" s="3267"/>
      <c r="BD182" s="3267"/>
      <c r="BE182" s="3267">
        <v>13041150105</v>
      </c>
      <c r="BF182" s="3267"/>
      <c r="BG182" s="3307">
        <v>38723</v>
      </c>
      <c r="BH182" s="3267"/>
      <c r="BI182" s="3267" t="s">
        <v>2991</v>
      </c>
      <c r="BJ182" s="3283">
        <v>38736</v>
      </c>
      <c r="BK182" s="3283"/>
      <c r="BL182" s="3267" t="s">
        <v>2998</v>
      </c>
      <c r="BM182" s="3267" t="s">
        <v>2879</v>
      </c>
      <c r="BN182" s="3267" t="s">
        <v>2999</v>
      </c>
      <c r="BO182" s="3267" t="s">
        <v>3000</v>
      </c>
      <c r="BP182" s="3267"/>
      <c r="BQ182" s="3276" t="e">
        <v>#DIV/0!</v>
      </c>
      <c r="BR182" s="3276" t="e">
        <v>#DIV/0!</v>
      </c>
      <c r="BS182" s="3285"/>
      <c r="BT182" s="3285"/>
      <c r="BU182" s="3285"/>
    </row>
    <row r="183" spans="1:73" hidden="1">
      <c r="A183" s="3267" t="s">
        <v>4497</v>
      </c>
      <c r="B183" s="3267" t="s">
        <v>4498</v>
      </c>
      <c r="C183" s="3269" t="s">
        <v>4499</v>
      </c>
      <c r="D183" s="3269" t="s">
        <v>4500</v>
      </c>
      <c r="E183" s="3267" t="s">
        <v>2985</v>
      </c>
      <c r="F183" s="3267" t="s">
        <v>4501</v>
      </c>
      <c r="G183" s="3267"/>
      <c r="H183" s="3267" t="s">
        <v>3150</v>
      </c>
      <c r="I183" s="3267" t="s">
        <v>3586</v>
      </c>
      <c r="J183" s="3269" t="s">
        <v>4144</v>
      </c>
      <c r="K183" s="3267" t="s">
        <v>4498</v>
      </c>
      <c r="L183" s="3286">
        <v>59.13</v>
      </c>
      <c r="M183" s="3267">
        <v>7</v>
      </c>
      <c r="N183" s="3268" t="s">
        <v>3122</v>
      </c>
      <c r="O183" s="3267"/>
      <c r="P183" s="3267" t="s">
        <v>2963</v>
      </c>
      <c r="Q183" s="3287">
        <v>240000</v>
      </c>
      <c r="R183" s="3267">
        <v>4059</v>
      </c>
      <c r="S183" s="3272">
        <v>38.99</v>
      </c>
      <c r="T183" s="3273">
        <v>389900</v>
      </c>
      <c r="U183" s="3267">
        <v>6595</v>
      </c>
      <c r="V183" s="3289">
        <v>0.05</v>
      </c>
      <c r="W183" s="3272">
        <v>37.04</v>
      </c>
      <c r="X183" s="3275">
        <v>370400</v>
      </c>
      <c r="Y183" s="3276">
        <v>2006</v>
      </c>
      <c r="Z183" s="3276">
        <v>2</v>
      </c>
      <c r="AA183" s="3276">
        <v>24</v>
      </c>
      <c r="AB183" s="3267">
        <v>1165</v>
      </c>
      <c r="AC183" s="3267" t="s">
        <v>3227</v>
      </c>
      <c r="AD183" s="3267"/>
      <c r="AE183" s="3276" t="s">
        <v>3304</v>
      </c>
      <c r="AF183" s="3267" t="s">
        <v>2966</v>
      </c>
      <c r="AG183" s="3279" t="s">
        <v>2967</v>
      </c>
      <c r="AH183" s="3267"/>
      <c r="AI183" s="3267" t="s">
        <v>3295</v>
      </c>
      <c r="AJ183" s="3284"/>
      <c r="AK183" s="3316" t="s">
        <v>3140</v>
      </c>
      <c r="AL183" s="3267">
        <v>67641700</v>
      </c>
      <c r="AM183" s="3267"/>
      <c r="AN183" s="3279" t="s">
        <v>3114</v>
      </c>
      <c r="AO183" s="3267"/>
      <c r="AP183" s="3267" t="s">
        <v>3342</v>
      </c>
      <c r="AQ183" s="3267" t="s">
        <v>3113</v>
      </c>
      <c r="AR183" s="3276"/>
      <c r="AS183" s="3276"/>
      <c r="AT183" s="3276"/>
      <c r="AU183" s="3276"/>
      <c r="AV183" s="3276"/>
      <c r="AW183" s="3276" t="s">
        <v>2968</v>
      </c>
      <c r="AX183" s="3276"/>
      <c r="AY183" s="3291"/>
      <c r="AZ183" s="3276" t="s">
        <v>2968</v>
      </c>
      <c r="BA183" s="3276"/>
      <c r="BB183" s="3291"/>
      <c r="BC183" s="3276"/>
      <c r="BD183" s="3292"/>
      <c r="BE183" s="3276"/>
      <c r="BF183" s="3281"/>
      <c r="BG183" s="3299">
        <v>38692</v>
      </c>
      <c r="BH183" s="3276"/>
      <c r="BI183" s="3267" t="s">
        <v>3342</v>
      </c>
      <c r="BJ183" s="3283">
        <v>38737</v>
      </c>
      <c r="BK183" s="3283"/>
      <c r="BL183" s="3267" t="s">
        <v>2998</v>
      </c>
      <c r="BM183" s="3276" t="s">
        <v>4502</v>
      </c>
      <c r="BN183" s="3276" t="s">
        <v>3111</v>
      </c>
      <c r="BO183" s="3276" t="s">
        <v>3146</v>
      </c>
      <c r="BP183" s="3276"/>
      <c r="BQ183" s="3276"/>
      <c r="BR183" s="3276"/>
      <c r="BS183" s="3285"/>
      <c r="BT183" s="3285"/>
      <c r="BU183" s="3285"/>
    </row>
    <row r="184" spans="1:73" hidden="1">
      <c r="A184" s="3267" t="s">
        <v>4503</v>
      </c>
      <c r="B184" s="3267" t="s">
        <v>4504</v>
      </c>
      <c r="C184" s="3269" t="s">
        <v>4505</v>
      </c>
      <c r="D184" s="3269" t="s">
        <v>4506</v>
      </c>
      <c r="E184" s="3268" t="s">
        <v>2985</v>
      </c>
      <c r="F184" s="3268" t="s">
        <v>3224</v>
      </c>
      <c r="G184" s="3267"/>
      <c r="H184" s="3267" t="s">
        <v>3150</v>
      </c>
      <c r="I184" s="3268"/>
      <c r="J184" s="3267" t="s">
        <v>4507</v>
      </c>
      <c r="K184" s="3267" t="s">
        <v>4504</v>
      </c>
      <c r="L184" s="3286">
        <v>83.56</v>
      </c>
      <c r="M184" s="3267">
        <v>6</v>
      </c>
      <c r="N184" s="3267" t="s">
        <v>3122</v>
      </c>
      <c r="O184" s="3267">
        <v>63.74</v>
      </c>
      <c r="P184" s="3267" t="s">
        <v>2963</v>
      </c>
      <c r="Q184" s="3271">
        <v>360000</v>
      </c>
      <c r="R184" s="3267">
        <v>4308</v>
      </c>
      <c r="S184" s="3272">
        <v>35.93</v>
      </c>
      <c r="T184" s="3273">
        <v>359300</v>
      </c>
      <c r="U184" s="3267">
        <v>4300</v>
      </c>
      <c r="V184" s="3289">
        <v>0.05</v>
      </c>
      <c r="W184" s="3272">
        <v>34.130000000000003</v>
      </c>
      <c r="X184" s="3275">
        <v>341300</v>
      </c>
      <c r="Y184" s="3276">
        <v>2006</v>
      </c>
      <c r="Z184" s="3276">
        <v>1</v>
      </c>
      <c r="AA184" s="3276">
        <v>27</v>
      </c>
      <c r="AB184" s="3267">
        <v>1075</v>
      </c>
      <c r="AC184" s="3267" t="s">
        <v>3227</v>
      </c>
      <c r="AD184" s="3267"/>
      <c r="AE184" s="3279" t="s">
        <v>3180</v>
      </c>
      <c r="AF184" s="3268" t="s">
        <v>2966</v>
      </c>
      <c r="AG184" s="3279" t="s">
        <v>2967</v>
      </c>
      <c r="AH184" s="3267"/>
      <c r="AI184" s="3279" t="s">
        <v>2992</v>
      </c>
      <c r="AJ184" s="3284"/>
      <c r="AK184" s="3278">
        <v>1</v>
      </c>
      <c r="AL184" s="3276">
        <v>67641700</v>
      </c>
      <c r="AM184" s="3276"/>
      <c r="AN184" s="3279" t="s">
        <v>2994</v>
      </c>
      <c r="AO184" s="3267"/>
      <c r="AP184" s="3279" t="s">
        <v>3305</v>
      </c>
      <c r="AQ184" s="3276" t="s">
        <v>3113</v>
      </c>
      <c r="AR184" s="3276"/>
      <c r="AS184" s="3276"/>
      <c r="AT184" s="3276"/>
      <c r="AU184" s="3276"/>
      <c r="AV184" s="3276"/>
      <c r="AW184" s="3276" t="s">
        <v>2997</v>
      </c>
      <c r="AX184" s="3276"/>
      <c r="AY184" s="3291"/>
      <c r="AZ184" s="3267" t="s">
        <v>4508</v>
      </c>
      <c r="BA184" s="3296"/>
      <c r="BB184" s="3297"/>
      <c r="BC184" s="3296"/>
      <c r="BD184" s="3298"/>
      <c r="BE184" s="3276"/>
      <c r="BF184" s="3281"/>
      <c r="BG184" s="3293">
        <v>38726</v>
      </c>
      <c r="BH184" s="3267" t="s">
        <v>2998</v>
      </c>
      <c r="BI184" s="3314" t="s">
        <v>3305</v>
      </c>
      <c r="BJ184" s="3283">
        <v>38740</v>
      </c>
      <c r="BK184" s="3283" t="s">
        <v>2968</v>
      </c>
      <c r="BL184" s="3267" t="s">
        <v>3249</v>
      </c>
      <c r="BM184" s="3276" t="s">
        <v>2879</v>
      </c>
      <c r="BN184" s="3276" t="s">
        <v>2999</v>
      </c>
      <c r="BO184" s="3276" t="s">
        <v>3146</v>
      </c>
      <c r="BP184" s="3276"/>
      <c r="BQ184" s="3276">
        <v>5637</v>
      </c>
      <c r="BR184" s="3276">
        <v>5648</v>
      </c>
      <c r="BS184" s="3285"/>
      <c r="BT184" s="3285"/>
      <c r="BU184" s="3285"/>
    </row>
    <row r="185" spans="1:73" hidden="1">
      <c r="A185" s="3267" t="s">
        <v>4509</v>
      </c>
      <c r="B185" s="3268" t="s">
        <v>4510</v>
      </c>
      <c r="C185" s="3269" t="s">
        <v>4511</v>
      </c>
      <c r="D185" s="3268">
        <v>13520046645</v>
      </c>
      <c r="E185" s="3268" t="s">
        <v>2985</v>
      </c>
      <c r="F185" s="3268" t="s">
        <v>3243</v>
      </c>
      <c r="G185" s="3268"/>
      <c r="H185" s="3268" t="s">
        <v>3182</v>
      </c>
      <c r="I185" s="3268"/>
      <c r="J185" s="3268" t="s">
        <v>4512</v>
      </c>
      <c r="K185" s="3268" t="s">
        <v>4513</v>
      </c>
      <c r="L185" s="3270">
        <v>84.54</v>
      </c>
      <c r="M185" s="3270">
        <v>26</v>
      </c>
      <c r="N185" s="3268" t="s">
        <v>3122</v>
      </c>
      <c r="O185" s="3270">
        <v>69.09</v>
      </c>
      <c r="P185" s="3268" t="s">
        <v>2963</v>
      </c>
      <c r="Q185" s="3271">
        <v>455000</v>
      </c>
      <c r="R185" s="3267">
        <v>5382</v>
      </c>
      <c r="S185" s="3272">
        <v>38.880000000000003</v>
      </c>
      <c r="T185" s="3273">
        <v>388800</v>
      </c>
      <c r="U185" s="3267">
        <v>4600</v>
      </c>
      <c r="V185" s="3289">
        <v>0.05</v>
      </c>
      <c r="W185" s="3272">
        <v>36.93</v>
      </c>
      <c r="X185" s="3275">
        <v>369300</v>
      </c>
      <c r="Y185" s="3276">
        <v>2006</v>
      </c>
      <c r="Z185" s="3276">
        <v>2</v>
      </c>
      <c r="AA185" s="3276">
        <v>15</v>
      </c>
      <c r="AB185" s="3267">
        <v>1165</v>
      </c>
      <c r="AC185" s="3267" t="s">
        <v>3227</v>
      </c>
      <c r="AD185" s="3268"/>
      <c r="AE185" s="3268" t="s">
        <v>3245</v>
      </c>
      <c r="AF185" s="3268" t="s">
        <v>2966</v>
      </c>
      <c r="AG185" s="3268" t="s">
        <v>2967</v>
      </c>
      <c r="AH185" s="3268"/>
      <c r="AI185" s="3279" t="s">
        <v>2992</v>
      </c>
      <c r="AJ185" s="3290"/>
      <c r="AK185" s="3278">
        <v>2</v>
      </c>
      <c r="AL185" s="3276">
        <v>67641700</v>
      </c>
      <c r="AM185" s="3276"/>
      <c r="AN185" s="3279" t="s">
        <v>3140</v>
      </c>
      <c r="AO185" s="3276"/>
      <c r="AP185" s="3279" t="s">
        <v>3305</v>
      </c>
      <c r="AQ185" s="3267" t="s">
        <v>3228</v>
      </c>
      <c r="AR185" s="3267"/>
      <c r="AS185" s="3267"/>
      <c r="AT185" s="3267"/>
      <c r="AU185" s="3267"/>
      <c r="AV185" s="3277"/>
      <c r="AW185" s="3276" t="s">
        <v>2997</v>
      </c>
      <c r="AX185" s="3276"/>
      <c r="AY185" s="3291"/>
      <c r="AZ185" s="3267" t="s">
        <v>4513</v>
      </c>
      <c r="BA185" s="3296"/>
      <c r="BB185" s="3297"/>
      <c r="BC185" s="3296"/>
      <c r="BD185" s="3298"/>
      <c r="BE185" s="3276"/>
      <c r="BF185" s="3281"/>
      <c r="BG185" s="3293">
        <v>38740</v>
      </c>
      <c r="BH185" s="3276" t="s">
        <v>2998</v>
      </c>
      <c r="BI185" s="3314" t="s">
        <v>3305</v>
      </c>
      <c r="BJ185" s="3283">
        <v>38740</v>
      </c>
      <c r="BK185" s="3299"/>
      <c r="BL185" s="3267" t="s">
        <v>3249</v>
      </c>
      <c r="BM185" s="3267" t="s">
        <v>2879</v>
      </c>
      <c r="BN185" s="3267" t="s">
        <v>3111</v>
      </c>
      <c r="BO185" s="3267" t="s">
        <v>3146</v>
      </c>
      <c r="BP185" s="3276"/>
      <c r="BQ185" s="3276">
        <v>5627</v>
      </c>
      <c r="BR185" s="3276">
        <v>6586</v>
      </c>
      <c r="BS185" s="3285"/>
      <c r="BT185" s="3285"/>
      <c r="BU185" s="3285"/>
    </row>
    <row r="186" spans="1:73" hidden="1">
      <c r="A186" s="3267" t="s">
        <v>4514</v>
      </c>
      <c r="B186" s="3268" t="s">
        <v>4515</v>
      </c>
      <c r="C186" s="3269" t="s">
        <v>4516</v>
      </c>
      <c r="D186" s="3268" t="s">
        <v>4517</v>
      </c>
      <c r="E186" s="3268" t="s">
        <v>2985</v>
      </c>
      <c r="F186" s="3268" t="s">
        <v>3309</v>
      </c>
      <c r="G186" s="3268"/>
      <c r="H186" s="3268" t="s">
        <v>3310</v>
      </c>
      <c r="I186" s="3268"/>
      <c r="J186" s="3268" t="s">
        <v>4518</v>
      </c>
      <c r="K186" s="3268" t="s">
        <v>4515</v>
      </c>
      <c r="L186" s="3270">
        <v>81.87</v>
      </c>
      <c r="M186" s="3270">
        <v>16</v>
      </c>
      <c r="N186" s="3267" t="s">
        <v>3122</v>
      </c>
      <c r="O186" s="3270"/>
      <c r="P186" s="3268" t="s">
        <v>2963</v>
      </c>
      <c r="Q186" s="3271">
        <v>540000</v>
      </c>
      <c r="R186" s="3267">
        <v>6596</v>
      </c>
      <c r="S186" s="3272">
        <v>45.02</v>
      </c>
      <c r="T186" s="3273">
        <v>450200</v>
      </c>
      <c r="U186" s="3267">
        <v>5500</v>
      </c>
      <c r="V186" s="3289">
        <v>0.05</v>
      </c>
      <c r="W186" s="3272">
        <v>42.76</v>
      </c>
      <c r="X186" s="3275">
        <v>427600</v>
      </c>
      <c r="Y186" s="3276">
        <v>2006</v>
      </c>
      <c r="Z186" s="3276">
        <v>3</v>
      </c>
      <c r="AA186" s="3294">
        <v>2</v>
      </c>
      <c r="AB186" s="3267">
        <v>1350</v>
      </c>
      <c r="AC186" s="3267" t="s">
        <v>3227</v>
      </c>
      <c r="AD186" s="3268"/>
      <c r="AE186" s="3268" t="s">
        <v>3245</v>
      </c>
      <c r="AF186" s="3268" t="s">
        <v>2966</v>
      </c>
      <c r="AG186" s="3268" t="s">
        <v>2967</v>
      </c>
      <c r="AH186" s="3268"/>
      <c r="AI186" s="3279" t="s">
        <v>2992</v>
      </c>
      <c r="AJ186" s="3290"/>
      <c r="AK186" s="3278">
        <v>3</v>
      </c>
      <c r="AL186" s="3276">
        <v>67641700</v>
      </c>
      <c r="AM186" s="3276"/>
      <c r="AN186" s="3279" t="s">
        <v>3131</v>
      </c>
      <c r="AO186" s="3276"/>
      <c r="AP186" s="3279" t="s">
        <v>3305</v>
      </c>
      <c r="AQ186" s="3267" t="s">
        <v>3228</v>
      </c>
      <c r="AR186" s="3267"/>
      <c r="AS186" s="3267"/>
      <c r="AT186" s="3267"/>
      <c r="AU186" s="3267"/>
      <c r="AV186" s="3277"/>
      <c r="AW186" s="3267" t="s">
        <v>2997</v>
      </c>
      <c r="AX186" s="3276"/>
      <c r="AY186" s="3291"/>
      <c r="AZ186" s="3267" t="s">
        <v>4519</v>
      </c>
      <c r="BA186" s="3296"/>
      <c r="BB186" s="3297"/>
      <c r="BC186" s="3296"/>
      <c r="BD186" s="3298"/>
      <c r="BE186" s="3276"/>
      <c r="BF186" s="3281"/>
      <c r="BG186" s="3293">
        <v>38734</v>
      </c>
      <c r="BH186" s="3276" t="s">
        <v>2998</v>
      </c>
      <c r="BI186" s="3314" t="s">
        <v>3305</v>
      </c>
      <c r="BJ186" s="3283">
        <v>38740</v>
      </c>
      <c r="BK186" s="3299"/>
      <c r="BL186" s="3267" t="s">
        <v>3249</v>
      </c>
      <c r="BM186" s="3267" t="s">
        <v>2879</v>
      </c>
      <c r="BN186" s="3276" t="s">
        <v>2999</v>
      </c>
      <c r="BO186" s="3267" t="s">
        <v>3146</v>
      </c>
      <c r="BP186" s="3276"/>
      <c r="BQ186" s="3276" t="e">
        <v>#DIV/0!</v>
      </c>
      <c r="BR186" s="3276" t="e">
        <v>#DIV/0!</v>
      </c>
      <c r="BS186" s="3285"/>
      <c r="BT186" s="3285"/>
      <c r="BU186" s="3285"/>
    </row>
    <row r="187" spans="1:73" hidden="1">
      <c r="A187" s="3267" t="s">
        <v>4520</v>
      </c>
      <c r="B187" s="3267" t="s">
        <v>4521</v>
      </c>
      <c r="C187" s="3269" t="s">
        <v>4522</v>
      </c>
      <c r="D187" s="3269">
        <v>13691159668</v>
      </c>
      <c r="E187" s="3268" t="s">
        <v>2985</v>
      </c>
      <c r="F187" s="3268" t="s">
        <v>4523</v>
      </c>
      <c r="G187" s="3267"/>
      <c r="H187" s="3267" t="s">
        <v>3130</v>
      </c>
      <c r="I187" s="3268" t="s">
        <v>3586</v>
      </c>
      <c r="J187" s="3267" t="s">
        <v>4524</v>
      </c>
      <c r="K187" s="3267" t="s">
        <v>4521</v>
      </c>
      <c r="L187" s="3286">
        <v>87.77</v>
      </c>
      <c r="M187" s="3267">
        <v>13</v>
      </c>
      <c r="N187" s="3267" t="s">
        <v>3122</v>
      </c>
      <c r="O187" s="3267">
        <v>71.73</v>
      </c>
      <c r="P187" s="3267" t="s">
        <v>2963</v>
      </c>
      <c r="Q187" s="3271">
        <v>450000</v>
      </c>
      <c r="R187" s="3267">
        <v>5127</v>
      </c>
      <c r="S187" s="3272">
        <v>43.88</v>
      </c>
      <c r="T187" s="3273">
        <v>438800</v>
      </c>
      <c r="U187" s="3267">
        <v>5000</v>
      </c>
      <c r="V187" s="3289">
        <v>0.05</v>
      </c>
      <c r="W187" s="3272">
        <v>41.68</v>
      </c>
      <c r="X187" s="3275">
        <v>416800</v>
      </c>
      <c r="Y187" s="3276">
        <v>2006</v>
      </c>
      <c r="Z187" s="3276">
        <v>1</v>
      </c>
      <c r="AA187" s="3276">
        <v>27</v>
      </c>
      <c r="AB187" s="3267">
        <v>1315</v>
      </c>
      <c r="AC187" s="3267" t="s">
        <v>3227</v>
      </c>
      <c r="AD187" s="3267"/>
      <c r="AE187" s="3279" t="s">
        <v>3180</v>
      </c>
      <c r="AF187" s="3268" t="s">
        <v>2966</v>
      </c>
      <c r="AG187" s="3279" t="s">
        <v>2967</v>
      </c>
      <c r="AH187" s="3267"/>
      <c r="AI187" s="3279" t="s">
        <v>2992</v>
      </c>
      <c r="AJ187" s="3284"/>
      <c r="AK187" s="3278">
        <v>1</v>
      </c>
      <c r="AL187" s="3276">
        <v>67641700</v>
      </c>
      <c r="AM187" s="3276"/>
      <c r="AN187" s="3279" t="s">
        <v>2994</v>
      </c>
      <c r="AO187" s="3267"/>
      <c r="AP187" s="3279" t="s">
        <v>3305</v>
      </c>
      <c r="AQ187" s="3276" t="s">
        <v>3113</v>
      </c>
      <c r="AR187" s="3276"/>
      <c r="AS187" s="3276"/>
      <c r="AT187" s="3276"/>
      <c r="AU187" s="3276"/>
      <c r="AV187" s="3276"/>
      <c r="AW187" s="3276" t="s">
        <v>3171</v>
      </c>
      <c r="AX187" s="3276"/>
      <c r="AY187" s="3291"/>
      <c r="AZ187" s="3267" t="s">
        <v>4525</v>
      </c>
      <c r="BA187" s="3296"/>
      <c r="BB187" s="3297"/>
      <c r="BC187" s="3296"/>
      <c r="BD187" s="3298"/>
      <c r="BE187" s="3276"/>
      <c r="BF187" s="3281"/>
      <c r="BG187" s="3293">
        <v>38728</v>
      </c>
      <c r="BH187" s="3267" t="s">
        <v>2998</v>
      </c>
      <c r="BI187" s="3314" t="s">
        <v>3305</v>
      </c>
      <c r="BJ187" s="3283">
        <v>38740</v>
      </c>
      <c r="BK187" s="3283"/>
      <c r="BL187" s="3267" t="s">
        <v>3249</v>
      </c>
      <c r="BM187" s="3276" t="s">
        <v>3128</v>
      </c>
      <c r="BN187" s="3276" t="s">
        <v>2999</v>
      </c>
      <c r="BO187" s="3276" t="s">
        <v>3146</v>
      </c>
      <c r="BP187" s="3276"/>
      <c r="BQ187" s="3276">
        <v>6117</v>
      </c>
      <c r="BR187" s="3276">
        <v>6274</v>
      </c>
      <c r="BS187" s="3285"/>
      <c r="BT187" s="3285"/>
      <c r="BU187" s="3285"/>
    </row>
    <row r="188" spans="1:73" hidden="1">
      <c r="A188" s="3267" t="s">
        <v>4526</v>
      </c>
      <c r="B188" s="3268" t="s">
        <v>4527</v>
      </c>
      <c r="C188" s="3269" t="s">
        <v>4528</v>
      </c>
      <c r="D188" s="3268">
        <v>13811665571</v>
      </c>
      <c r="E188" s="3268" t="s">
        <v>2985</v>
      </c>
      <c r="F188" s="3268" t="s">
        <v>4529</v>
      </c>
      <c r="G188" s="3268"/>
      <c r="H188" s="3268" t="s">
        <v>4530</v>
      </c>
      <c r="I188" s="3268"/>
      <c r="J188" s="3268" t="s">
        <v>4531</v>
      </c>
      <c r="K188" s="3268" t="s">
        <v>4527</v>
      </c>
      <c r="L188" s="3270">
        <v>68.8</v>
      </c>
      <c r="M188" s="3270">
        <v>9</v>
      </c>
      <c r="N188" s="3267" t="s">
        <v>3125</v>
      </c>
      <c r="O188" s="3270"/>
      <c r="P188" s="3268" t="s">
        <v>2963</v>
      </c>
      <c r="Q188" s="3271">
        <v>380000</v>
      </c>
      <c r="R188" s="3267">
        <v>5523</v>
      </c>
      <c r="S188" s="3272">
        <v>34.409999999999997</v>
      </c>
      <c r="T188" s="3273">
        <v>344099.99999999994</v>
      </c>
      <c r="U188" s="3267">
        <v>5002</v>
      </c>
      <c r="V188" s="3289">
        <v>0.05</v>
      </c>
      <c r="W188" s="3272">
        <v>32.68</v>
      </c>
      <c r="X188" s="3275">
        <v>326800</v>
      </c>
      <c r="Y188" s="3276">
        <v>2006</v>
      </c>
      <c r="Z188" s="3276">
        <v>1</v>
      </c>
      <c r="AA188" s="3267">
        <v>25</v>
      </c>
      <c r="AB188" s="3267">
        <v>1030</v>
      </c>
      <c r="AC188" s="3267" t="s">
        <v>3227</v>
      </c>
      <c r="AD188" s="3268"/>
      <c r="AE188" s="3268" t="s">
        <v>3304</v>
      </c>
      <c r="AF188" s="3268" t="s">
        <v>2966</v>
      </c>
      <c r="AG188" s="3268" t="s">
        <v>2967</v>
      </c>
      <c r="AH188" s="3268"/>
      <c r="AI188" s="3268" t="s">
        <v>3295</v>
      </c>
      <c r="AJ188" s="3290"/>
      <c r="AK188" s="3278">
        <v>1</v>
      </c>
      <c r="AL188" s="3276">
        <v>67641700</v>
      </c>
      <c r="AM188" s="3276"/>
      <c r="AN188" s="3279" t="s">
        <v>2994</v>
      </c>
      <c r="AO188" s="3267"/>
      <c r="AP188" s="3267" t="s">
        <v>3305</v>
      </c>
      <c r="AQ188" s="3267" t="s">
        <v>3113</v>
      </c>
      <c r="AR188" s="3267"/>
      <c r="AS188" s="3267"/>
      <c r="AT188" s="3267"/>
      <c r="AU188" s="3267"/>
      <c r="AV188" s="3277"/>
      <c r="AW188" s="3276" t="s">
        <v>3112</v>
      </c>
      <c r="AX188" s="3276"/>
      <c r="AY188" s="3291"/>
      <c r="AZ188" s="3267"/>
      <c r="BA188" s="3296"/>
      <c r="BB188" s="3297"/>
      <c r="BC188" s="3296"/>
      <c r="BD188" s="3298"/>
      <c r="BE188" s="3276"/>
      <c r="BF188" s="3281"/>
      <c r="BG188" s="3293">
        <v>38712</v>
      </c>
      <c r="BH188" s="3267"/>
      <c r="BI188" s="3314" t="s">
        <v>4532</v>
      </c>
      <c r="BJ188" s="3283">
        <v>38741</v>
      </c>
      <c r="BK188" s="3284"/>
      <c r="BL188" s="3276" t="s">
        <v>2998</v>
      </c>
      <c r="BM188" s="3267" t="s">
        <v>2879</v>
      </c>
      <c r="BN188" s="3276" t="s">
        <v>2999</v>
      </c>
      <c r="BO188" s="3267" t="s">
        <v>3446</v>
      </c>
      <c r="BP188" s="3276"/>
      <c r="BQ188" s="3276" t="e">
        <v>#DIV/0!</v>
      </c>
      <c r="BR188" s="3276" t="e">
        <v>#DIV/0!</v>
      </c>
      <c r="BS188" s="3285"/>
      <c r="BT188" s="3285"/>
      <c r="BU188" s="3285"/>
    </row>
    <row r="189" spans="1:73" hidden="1">
      <c r="A189" s="3267" t="s">
        <v>4533</v>
      </c>
      <c r="B189" s="3268" t="s">
        <v>4534</v>
      </c>
      <c r="C189" s="3269" t="s">
        <v>4535</v>
      </c>
      <c r="D189" s="3268" t="s">
        <v>4536</v>
      </c>
      <c r="E189" s="3268" t="s">
        <v>2985</v>
      </c>
      <c r="F189" s="3268" t="s">
        <v>4537</v>
      </c>
      <c r="G189" s="3268"/>
      <c r="H189" s="3268" t="s">
        <v>3150</v>
      </c>
      <c r="I189" s="3268" t="s">
        <v>3458</v>
      </c>
      <c r="J189" s="3268" t="s">
        <v>4538</v>
      </c>
      <c r="K189" s="3268" t="s">
        <v>4534</v>
      </c>
      <c r="L189" s="3270">
        <v>104.02</v>
      </c>
      <c r="M189" s="3270">
        <v>1</v>
      </c>
      <c r="N189" s="3267" t="s">
        <v>3125</v>
      </c>
      <c r="O189" s="3270"/>
      <c r="P189" s="3268" t="s">
        <v>2963</v>
      </c>
      <c r="Q189" s="3271">
        <v>620000</v>
      </c>
      <c r="R189" s="3267">
        <v>5960</v>
      </c>
      <c r="S189" s="3272">
        <v>59.36</v>
      </c>
      <c r="T189" s="3273">
        <v>593600</v>
      </c>
      <c r="U189" s="3267">
        <v>5707</v>
      </c>
      <c r="V189" s="3289">
        <v>0.05</v>
      </c>
      <c r="W189" s="3272">
        <v>56.39</v>
      </c>
      <c r="X189" s="3275">
        <v>563900</v>
      </c>
      <c r="Y189" s="3276">
        <v>2006</v>
      </c>
      <c r="Z189" s="3276">
        <v>1</v>
      </c>
      <c r="AA189" s="3276">
        <v>26</v>
      </c>
      <c r="AB189" s="3267">
        <v>1500</v>
      </c>
      <c r="AC189" s="3267" t="s">
        <v>3227</v>
      </c>
      <c r="AD189" s="3268"/>
      <c r="AE189" s="3268" t="s">
        <v>3344</v>
      </c>
      <c r="AF189" s="3268" t="s">
        <v>2966</v>
      </c>
      <c r="AG189" s="3268" t="s">
        <v>2967</v>
      </c>
      <c r="AH189" s="3268"/>
      <c r="AI189" s="3267" t="s">
        <v>3115</v>
      </c>
      <c r="AJ189" s="3290"/>
      <c r="AK189" s="3278" t="s">
        <v>3131</v>
      </c>
      <c r="AL189" s="3276">
        <v>82253558</v>
      </c>
      <c r="AM189" s="3276"/>
      <c r="AN189" s="3279" t="s">
        <v>2994</v>
      </c>
      <c r="AO189" s="3267"/>
      <c r="AP189" s="3279" t="s">
        <v>3180</v>
      </c>
      <c r="AQ189" s="3276" t="s">
        <v>3113</v>
      </c>
      <c r="AR189" s="3267"/>
      <c r="AS189" s="3267"/>
      <c r="AT189" s="3267"/>
      <c r="AU189" s="3267"/>
      <c r="AV189" s="3277"/>
      <c r="AW189" s="3267" t="s">
        <v>2997</v>
      </c>
      <c r="AX189" s="3276"/>
      <c r="AY189" s="3291"/>
      <c r="AZ189" s="3267" t="s">
        <v>4539</v>
      </c>
      <c r="BA189" s="3296"/>
      <c r="BB189" s="3297"/>
      <c r="BC189" s="3296"/>
      <c r="BD189" s="3298"/>
      <c r="BE189" s="3276"/>
      <c r="BF189" s="3281"/>
      <c r="BG189" s="3293">
        <v>38742</v>
      </c>
      <c r="BH189" s="3267"/>
      <c r="BI189" s="3276" t="s">
        <v>3344</v>
      </c>
      <c r="BJ189" s="3283">
        <v>38741</v>
      </c>
      <c r="BK189" s="3284"/>
      <c r="BL189" s="3267" t="s">
        <v>2998</v>
      </c>
      <c r="BM189" s="3267" t="s">
        <v>3345</v>
      </c>
      <c r="BN189" s="3276" t="s">
        <v>2999</v>
      </c>
      <c r="BO189" s="3267" t="s">
        <v>3000</v>
      </c>
      <c r="BP189" s="3276"/>
      <c r="BQ189" s="3276"/>
      <c r="BR189" s="3276"/>
      <c r="BS189" s="3285"/>
      <c r="BT189" s="3285"/>
      <c r="BU189" s="3285"/>
    </row>
    <row r="190" spans="1:73" hidden="1">
      <c r="A190" s="3332" t="s">
        <v>4540</v>
      </c>
      <c r="B190" s="3295" t="s">
        <v>4541</v>
      </c>
      <c r="C190" s="3320" t="s">
        <v>4542</v>
      </c>
      <c r="D190" s="3332">
        <v>13501125837</v>
      </c>
      <c r="E190" s="3295" t="s">
        <v>2985</v>
      </c>
      <c r="F190" s="3295" t="s">
        <v>4543</v>
      </c>
      <c r="G190" s="3295"/>
      <c r="H190" s="3326"/>
      <c r="I190" s="3332" t="s">
        <v>4544</v>
      </c>
      <c r="J190" s="3322" t="s">
        <v>4545</v>
      </c>
      <c r="K190" s="3295"/>
      <c r="L190" s="3333">
        <v>106.02</v>
      </c>
      <c r="M190" s="3358" t="s">
        <v>4546</v>
      </c>
      <c r="N190" s="3268" t="s">
        <v>3122</v>
      </c>
      <c r="O190" s="3295"/>
      <c r="P190" s="3295" t="s">
        <v>2963</v>
      </c>
      <c r="Q190" s="3339">
        <v>500000</v>
      </c>
      <c r="R190" s="3295">
        <v>4716</v>
      </c>
      <c r="S190" s="3311">
        <v>56.52</v>
      </c>
      <c r="T190" s="3312">
        <v>565200</v>
      </c>
      <c r="U190" s="3339">
        <v>5332</v>
      </c>
      <c r="V190" s="3324">
        <v>0.05</v>
      </c>
      <c r="W190" s="3311">
        <v>53.69</v>
      </c>
      <c r="X190" s="3325">
        <v>536900</v>
      </c>
      <c r="Y190" s="3267">
        <v>2006</v>
      </c>
      <c r="Z190" s="3276">
        <v>1</v>
      </c>
      <c r="AA190" s="3276">
        <v>26</v>
      </c>
      <c r="AB190" s="3295">
        <v>1500</v>
      </c>
      <c r="AC190" s="3295" t="s">
        <v>3227</v>
      </c>
      <c r="AD190" s="3295"/>
      <c r="AE190" s="3294" t="s">
        <v>3304</v>
      </c>
      <c r="AF190" s="3295" t="s">
        <v>2966</v>
      </c>
      <c r="AG190" s="3295" t="s">
        <v>2967</v>
      </c>
      <c r="AH190" s="3295"/>
      <c r="AI190" s="3267" t="s">
        <v>3295</v>
      </c>
      <c r="AJ190" s="3322"/>
      <c r="AK190" s="3278" t="s">
        <v>3140</v>
      </c>
      <c r="AL190" s="3295">
        <v>67641700</v>
      </c>
      <c r="AM190" s="3295"/>
      <c r="AN190" s="3279" t="s">
        <v>3114</v>
      </c>
      <c r="AO190" s="3295"/>
      <c r="AP190" s="3267" t="s">
        <v>3305</v>
      </c>
      <c r="AQ190" s="3295" t="s">
        <v>3113</v>
      </c>
      <c r="AR190" s="3295"/>
      <c r="AS190" s="3295"/>
      <c r="AT190" s="3295"/>
      <c r="AU190" s="3295"/>
      <c r="AV190" s="3295"/>
      <c r="AW190" s="3295" t="s">
        <v>3112</v>
      </c>
      <c r="AX190" s="3295"/>
      <c r="AY190" s="3326"/>
      <c r="AZ190" s="3295"/>
      <c r="BA190" s="3295"/>
      <c r="BB190" s="3295"/>
      <c r="BC190" s="3295"/>
      <c r="BD190" s="3295"/>
      <c r="BE190" s="3295"/>
      <c r="BF190" s="3295"/>
      <c r="BG190" s="3290">
        <v>38742</v>
      </c>
      <c r="BH190" s="3295"/>
      <c r="BI190" s="3276" t="s">
        <v>3487</v>
      </c>
      <c r="BJ190" s="3283">
        <v>38742</v>
      </c>
      <c r="BK190" s="3315"/>
      <c r="BL190" s="3295" t="s">
        <v>2998</v>
      </c>
      <c r="BM190" s="3295" t="s">
        <v>3345</v>
      </c>
      <c r="BN190" s="3276" t="s">
        <v>2999</v>
      </c>
      <c r="BO190" s="3295" t="s">
        <v>3146</v>
      </c>
      <c r="BP190" s="3295"/>
      <c r="BQ190" s="3294"/>
      <c r="BR190" s="3294"/>
      <c r="BS190" s="3285"/>
      <c r="BT190" s="3285"/>
      <c r="BU190" s="3285"/>
    </row>
    <row r="191" spans="1:73" hidden="1">
      <c r="A191" s="3267" t="s">
        <v>4547</v>
      </c>
      <c r="B191" s="3267" t="s">
        <v>4548</v>
      </c>
      <c r="C191" s="3269" t="s">
        <v>4549</v>
      </c>
      <c r="D191" s="3267">
        <v>13621122180</v>
      </c>
      <c r="E191" s="3267" t="s">
        <v>2985</v>
      </c>
      <c r="F191" s="3267" t="s">
        <v>4550</v>
      </c>
      <c r="G191" s="3267"/>
      <c r="H191" s="3267" t="s">
        <v>3130</v>
      </c>
      <c r="I191" s="3267"/>
      <c r="J191" s="3267" t="s">
        <v>4551</v>
      </c>
      <c r="K191" s="3267" t="s">
        <v>4552</v>
      </c>
      <c r="L191" s="3267">
        <v>85.61</v>
      </c>
      <c r="M191" s="3267">
        <v>10</v>
      </c>
      <c r="N191" s="3267" t="s">
        <v>3122</v>
      </c>
      <c r="O191" s="3267"/>
      <c r="P191" s="3267" t="s">
        <v>2963</v>
      </c>
      <c r="Q191" s="3267">
        <v>600000</v>
      </c>
      <c r="R191" s="3310">
        <v>7009</v>
      </c>
      <c r="S191" s="3311">
        <v>56.18</v>
      </c>
      <c r="T191" s="3312">
        <v>561800</v>
      </c>
      <c r="U191" s="3267">
        <v>6563</v>
      </c>
      <c r="V191" s="3289">
        <v>0.05</v>
      </c>
      <c r="W191" s="3272">
        <v>53.37</v>
      </c>
      <c r="X191" s="3312">
        <v>533700</v>
      </c>
      <c r="Y191" s="3267">
        <v>2006</v>
      </c>
      <c r="Z191" s="3267">
        <v>2</v>
      </c>
      <c r="AA191" s="3267">
        <v>21</v>
      </c>
      <c r="AB191" s="3295">
        <v>1500</v>
      </c>
      <c r="AC191" s="3267" t="s">
        <v>3227</v>
      </c>
      <c r="AD191" s="3267"/>
      <c r="AE191" s="3267" t="s">
        <v>3238</v>
      </c>
      <c r="AF191" s="3267" t="s">
        <v>2966</v>
      </c>
      <c r="AG191" s="3267" t="s">
        <v>2967</v>
      </c>
      <c r="AH191" s="3267"/>
      <c r="AI191" s="3267" t="s">
        <v>2992</v>
      </c>
      <c r="AJ191" s="3307"/>
      <c r="AK191" s="3359">
        <v>2</v>
      </c>
      <c r="AL191" s="3268">
        <v>67641700</v>
      </c>
      <c r="AM191" s="3268"/>
      <c r="AN191" s="3267" t="s">
        <v>3114</v>
      </c>
      <c r="AO191" s="3267"/>
      <c r="AP191" s="3267" t="s">
        <v>3305</v>
      </c>
      <c r="AQ191" s="3267" t="s">
        <v>3228</v>
      </c>
      <c r="AR191" s="3267"/>
      <c r="AS191" s="3267"/>
      <c r="AT191" s="3267"/>
      <c r="AU191" s="3267"/>
      <c r="AV191" s="3267" t="s">
        <v>2968</v>
      </c>
      <c r="AW191" s="3267" t="s">
        <v>2997</v>
      </c>
      <c r="AX191" s="3267"/>
      <c r="AY191" s="3267"/>
      <c r="AZ191" s="3267"/>
      <c r="BA191" s="3267"/>
      <c r="BB191" s="3267"/>
      <c r="BC191" s="3267"/>
      <c r="BD191" s="3267"/>
      <c r="BE191" s="3267"/>
      <c r="BF191" s="3267"/>
      <c r="BG191" s="3307">
        <v>38727</v>
      </c>
      <c r="BH191" s="3268"/>
      <c r="BI191" s="3267" t="s">
        <v>3238</v>
      </c>
      <c r="BJ191" s="3307">
        <v>38742</v>
      </c>
      <c r="BK191" s="3267"/>
      <c r="BL191" s="3267" t="s">
        <v>3249</v>
      </c>
      <c r="BM191" s="3267"/>
      <c r="BN191" s="3267"/>
      <c r="BO191" s="3267"/>
      <c r="BP191" s="3267"/>
      <c r="BQ191" s="3294" t="e">
        <v>#DIV/0!</v>
      </c>
      <c r="BR191" s="3294" t="e">
        <v>#DIV/0!</v>
      </c>
      <c r="BS191" s="3285"/>
      <c r="BT191" s="3285"/>
      <c r="BU191" s="3285"/>
    </row>
    <row r="192" spans="1:73" hidden="1">
      <c r="A192" s="3268" t="s">
        <v>4553</v>
      </c>
      <c r="B192" s="3268" t="s">
        <v>4554</v>
      </c>
      <c r="C192" s="3269" t="s">
        <v>4555</v>
      </c>
      <c r="D192" s="3268" t="s">
        <v>4556</v>
      </c>
      <c r="E192" s="3268" t="s">
        <v>2985</v>
      </c>
      <c r="F192" s="3268" t="s">
        <v>4412</v>
      </c>
      <c r="G192" s="3268"/>
      <c r="H192" s="3268" t="s">
        <v>3964</v>
      </c>
      <c r="I192" s="3268"/>
      <c r="J192" s="3268" t="s">
        <v>4557</v>
      </c>
      <c r="K192" s="3268"/>
      <c r="L192" s="3270">
        <v>60.75</v>
      </c>
      <c r="M192" s="3270">
        <v>4</v>
      </c>
      <c r="N192" s="3268" t="s">
        <v>3122</v>
      </c>
      <c r="O192" s="3270"/>
      <c r="P192" s="3268" t="s">
        <v>3495</v>
      </c>
      <c r="Q192" s="3271">
        <v>427600</v>
      </c>
      <c r="R192" s="3267">
        <v>7039</v>
      </c>
      <c r="S192" s="3272">
        <v>36.71</v>
      </c>
      <c r="T192" s="3273">
        <v>367100</v>
      </c>
      <c r="U192" s="3267">
        <v>6044</v>
      </c>
      <c r="V192" s="3274">
        <v>0.05</v>
      </c>
      <c r="W192" s="3272">
        <v>34.869999999999997</v>
      </c>
      <c r="X192" s="3275">
        <v>348700</v>
      </c>
      <c r="Y192" s="3267">
        <v>2006</v>
      </c>
      <c r="Z192" s="3276">
        <v>1</v>
      </c>
      <c r="AA192" s="3276">
        <v>26</v>
      </c>
      <c r="AB192" s="3267">
        <v>1100</v>
      </c>
      <c r="AC192" s="3267" t="s">
        <v>3227</v>
      </c>
      <c r="AD192" s="3268"/>
      <c r="AE192" s="3267" t="s">
        <v>3304</v>
      </c>
      <c r="AF192" s="3268" t="s">
        <v>2966</v>
      </c>
      <c r="AG192" s="3268" t="s">
        <v>2967</v>
      </c>
      <c r="AH192" s="3268"/>
      <c r="AI192" s="3267" t="s">
        <v>3295</v>
      </c>
      <c r="AJ192" s="3290"/>
      <c r="AK192" s="3278">
        <v>1</v>
      </c>
      <c r="AL192" s="3267">
        <v>82253558</v>
      </c>
      <c r="AM192" s="3276"/>
      <c r="AN192" s="3279" t="s">
        <v>2994</v>
      </c>
      <c r="AO192" s="3267"/>
      <c r="AP192" s="3267" t="s">
        <v>3305</v>
      </c>
      <c r="AQ192" s="3276" t="s">
        <v>3113</v>
      </c>
      <c r="AR192" s="3267"/>
      <c r="AS192" s="3267"/>
      <c r="AT192" s="3267"/>
      <c r="AU192" s="3267"/>
      <c r="AV192" s="3277"/>
      <c r="AW192" s="3276" t="s">
        <v>3171</v>
      </c>
      <c r="AX192" s="3268"/>
      <c r="AY192" s="3268"/>
      <c r="AZ192" s="3268"/>
      <c r="BA192" s="3268"/>
      <c r="BB192" s="3280"/>
      <c r="BC192" s="3268"/>
      <c r="BD192" s="3268"/>
      <c r="BE192" s="3268"/>
      <c r="BF192" s="3281"/>
      <c r="BG192" s="3299">
        <v>38703</v>
      </c>
      <c r="BH192" s="3267"/>
      <c r="BI192" s="3276" t="s">
        <v>3487</v>
      </c>
      <c r="BJ192" s="3283">
        <v>38742</v>
      </c>
      <c r="BK192" s="3284"/>
      <c r="BL192" s="3267" t="s">
        <v>2998</v>
      </c>
      <c r="BM192" s="3267" t="s">
        <v>2879</v>
      </c>
      <c r="BN192" s="3267" t="s">
        <v>2999</v>
      </c>
      <c r="BO192" s="3267" t="s">
        <v>3146</v>
      </c>
      <c r="BP192" s="3276"/>
      <c r="BQ192" s="3276" t="e">
        <v>#DIV/0!</v>
      </c>
      <c r="BR192" s="3276" t="e">
        <v>#DIV/0!</v>
      </c>
      <c r="BS192" s="3285"/>
      <c r="BT192" s="3285"/>
      <c r="BU192" s="3285"/>
    </row>
    <row r="193" spans="1:73" hidden="1">
      <c r="A193" s="3267" t="s">
        <v>4558</v>
      </c>
      <c r="B193" s="3267" t="s">
        <v>4559</v>
      </c>
      <c r="C193" s="3269" t="s">
        <v>4560</v>
      </c>
      <c r="D193" s="3269" t="s">
        <v>4561</v>
      </c>
      <c r="E193" s="3267" t="s">
        <v>2985</v>
      </c>
      <c r="F193" s="3308" t="s">
        <v>4562</v>
      </c>
      <c r="G193" s="3267"/>
      <c r="H193" s="3268" t="s">
        <v>3402</v>
      </c>
      <c r="I193" s="3268" t="s">
        <v>3608</v>
      </c>
      <c r="J193" s="3269" t="s">
        <v>3437</v>
      </c>
      <c r="K193" s="3267" t="s">
        <v>4563</v>
      </c>
      <c r="L193" s="3286">
        <v>42.34</v>
      </c>
      <c r="M193" s="3267">
        <v>4</v>
      </c>
      <c r="N193" s="3267" t="s">
        <v>3152</v>
      </c>
      <c r="O193" s="3267" t="s">
        <v>2968</v>
      </c>
      <c r="P193" s="3267" t="s">
        <v>2963</v>
      </c>
      <c r="Q193" s="3271">
        <v>300000</v>
      </c>
      <c r="R193" s="3267">
        <v>7085</v>
      </c>
      <c r="S193" s="3272">
        <v>24.55</v>
      </c>
      <c r="T193" s="3273">
        <v>245500</v>
      </c>
      <c r="U193" s="3267">
        <v>5800</v>
      </c>
      <c r="V193" s="3289">
        <v>0.05</v>
      </c>
      <c r="W193" s="3272">
        <v>23.32</v>
      </c>
      <c r="X193" s="3275">
        <v>233200</v>
      </c>
      <c r="Y193" s="3276">
        <v>2006</v>
      </c>
      <c r="Z193" s="3276">
        <v>1</v>
      </c>
      <c r="AA193" s="3276">
        <v>27</v>
      </c>
      <c r="AB193" s="3267">
        <v>735</v>
      </c>
      <c r="AC193" s="3267" t="s">
        <v>3227</v>
      </c>
      <c r="AD193" s="3267"/>
      <c r="AE193" s="3276" t="s">
        <v>3344</v>
      </c>
      <c r="AF193" s="3267" t="s">
        <v>2966</v>
      </c>
      <c r="AG193" s="3279" t="s">
        <v>2967</v>
      </c>
      <c r="AH193" s="3267"/>
      <c r="AI193" s="3267" t="s">
        <v>2992</v>
      </c>
      <c r="AJ193" s="3284"/>
      <c r="AK193" s="3278">
        <v>1</v>
      </c>
      <c r="AL193" s="3276">
        <v>67641700</v>
      </c>
      <c r="AM193" s="3276"/>
      <c r="AN193" s="3279" t="s">
        <v>2994</v>
      </c>
      <c r="AO193" s="3276"/>
      <c r="AP193" s="3276" t="s">
        <v>3305</v>
      </c>
      <c r="AQ193" s="3276" t="s">
        <v>3113</v>
      </c>
      <c r="AR193" s="3276"/>
      <c r="AS193" s="3276"/>
      <c r="AT193" s="3276"/>
      <c r="AU193" s="3276"/>
      <c r="AV193" s="3276"/>
      <c r="AW193" s="3276" t="s">
        <v>3112</v>
      </c>
      <c r="AX193" s="3276"/>
      <c r="AY193" s="3291"/>
      <c r="AZ193" s="3267" t="s">
        <v>4563</v>
      </c>
      <c r="BA193" s="3276"/>
      <c r="BB193" s="3291"/>
      <c r="BC193" s="3276"/>
      <c r="BD193" s="3292"/>
      <c r="BE193" s="3276" t="s">
        <v>2968</v>
      </c>
      <c r="BF193" s="3281"/>
      <c r="BG193" s="3299">
        <v>38687</v>
      </c>
      <c r="BH193" s="3276" t="s">
        <v>2998</v>
      </c>
      <c r="BI193" s="3314" t="s">
        <v>3305</v>
      </c>
      <c r="BJ193" s="3283">
        <v>38742</v>
      </c>
      <c r="BK193" s="3299"/>
      <c r="BL193" s="3267" t="s">
        <v>3249</v>
      </c>
      <c r="BM193" s="3276" t="s">
        <v>2879</v>
      </c>
      <c r="BN193" s="3276" t="s">
        <v>2999</v>
      </c>
      <c r="BO193" s="3276" t="s">
        <v>3146</v>
      </c>
      <c r="BP193" s="3276"/>
      <c r="BQ193" s="3276" t="e">
        <v>#VALUE!</v>
      </c>
      <c r="BR193" s="3276" t="e">
        <v>#VALUE!</v>
      </c>
      <c r="BS193" s="3285"/>
      <c r="BT193" s="3285"/>
      <c r="BU193" s="3285"/>
    </row>
    <row r="194" spans="1:73" hidden="1">
      <c r="A194" s="3267" t="s">
        <v>4564</v>
      </c>
      <c r="B194" s="3267" t="s">
        <v>4565</v>
      </c>
      <c r="C194" s="3269" t="s">
        <v>4566</v>
      </c>
      <c r="D194" s="3267">
        <v>13810190230</v>
      </c>
      <c r="E194" s="3267" t="s">
        <v>2985</v>
      </c>
      <c r="F194" s="3267" t="s">
        <v>3570</v>
      </c>
      <c r="G194" s="3267"/>
      <c r="H194" s="3267" t="s">
        <v>3402</v>
      </c>
      <c r="I194" s="3267"/>
      <c r="J194" s="3267" t="s">
        <v>4567</v>
      </c>
      <c r="K194" s="3267" t="s">
        <v>4565</v>
      </c>
      <c r="L194" s="3286">
        <v>68.64</v>
      </c>
      <c r="M194" s="3267">
        <v>4</v>
      </c>
      <c r="N194" s="3267" t="s">
        <v>3122</v>
      </c>
      <c r="O194" s="3267"/>
      <c r="P194" s="3267" t="s">
        <v>2963</v>
      </c>
      <c r="Q194" s="3267">
        <v>500000</v>
      </c>
      <c r="R194" s="3267">
        <v>7284</v>
      </c>
      <c r="S194" s="3272">
        <v>46.94</v>
      </c>
      <c r="T194" s="3273">
        <v>469400</v>
      </c>
      <c r="U194" s="3267">
        <v>6839</v>
      </c>
      <c r="V194" s="3274">
        <v>0.05</v>
      </c>
      <c r="W194" s="3272">
        <v>44.59</v>
      </c>
      <c r="X194" s="3275">
        <v>445900.00000000006</v>
      </c>
      <c r="Y194" s="3267">
        <v>2006</v>
      </c>
      <c r="Z194" s="3267">
        <v>2</v>
      </c>
      <c r="AA194" s="3276">
        <v>6</v>
      </c>
      <c r="AB194" s="3267">
        <v>1405</v>
      </c>
      <c r="AC194" s="3267" t="s">
        <v>3227</v>
      </c>
      <c r="AD194" s="3267"/>
      <c r="AE194" s="3267" t="s">
        <v>3176</v>
      </c>
      <c r="AF194" s="3267" t="s">
        <v>2966</v>
      </c>
      <c r="AG194" s="3267" t="s">
        <v>2967</v>
      </c>
      <c r="AH194" s="3267"/>
      <c r="AI194" s="3267" t="s">
        <v>3115</v>
      </c>
      <c r="AJ194" s="3315"/>
      <c r="AK194" s="3267" t="s">
        <v>3140</v>
      </c>
      <c r="AL194" s="3267">
        <v>82253558</v>
      </c>
      <c r="AM194" s="3267"/>
      <c r="AN194" s="3267" t="s">
        <v>3131</v>
      </c>
      <c r="AO194" s="3267" t="s">
        <v>2968</v>
      </c>
      <c r="AP194" s="3267" t="s">
        <v>3180</v>
      </c>
      <c r="AQ194" s="3267" t="s">
        <v>3113</v>
      </c>
      <c r="AR194" s="3267"/>
      <c r="AS194" s="3267"/>
      <c r="AT194" s="3267"/>
      <c r="AU194" s="3267"/>
      <c r="AV194" s="3267"/>
      <c r="AW194" s="3267" t="s">
        <v>3112</v>
      </c>
      <c r="AX194" s="3267"/>
      <c r="AY194" s="3269"/>
      <c r="AZ194" s="3268" t="s">
        <v>4568</v>
      </c>
      <c r="BA194" s="3267"/>
      <c r="BB194" s="3267"/>
      <c r="BC194" s="3267"/>
      <c r="BD194" s="3267"/>
      <c r="BE194" s="3267">
        <v>13901176054</v>
      </c>
      <c r="BF194" s="3267"/>
      <c r="BG194" s="3307"/>
      <c r="BH194" s="3267"/>
      <c r="BI194" s="3267" t="s">
        <v>3686</v>
      </c>
      <c r="BJ194" s="3283">
        <v>38742</v>
      </c>
      <c r="BK194" s="3283"/>
      <c r="BL194" s="3267" t="s">
        <v>2998</v>
      </c>
      <c r="BM194" s="3267" t="s">
        <v>2879</v>
      </c>
      <c r="BN194" s="3267" t="s">
        <v>2999</v>
      </c>
      <c r="BO194" s="3267" t="s">
        <v>3000</v>
      </c>
      <c r="BP194" s="3267"/>
      <c r="BQ194" s="3276" t="e">
        <v>#DIV/0!</v>
      </c>
      <c r="BR194" s="3276" t="e">
        <v>#DIV/0!</v>
      </c>
      <c r="BS194" s="3285"/>
      <c r="BT194" s="3285"/>
      <c r="BU194" s="3285"/>
    </row>
    <row r="195" spans="1:73" hidden="1">
      <c r="A195" s="3268" t="s">
        <v>4569</v>
      </c>
      <c r="B195" s="3268" t="s">
        <v>4570</v>
      </c>
      <c r="C195" s="3269" t="s">
        <v>4571</v>
      </c>
      <c r="D195" s="3268">
        <v>13381301555</v>
      </c>
      <c r="E195" s="3268" t="s">
        <v>2985</v>
      </c>
      <c r="F195" s="3268" t="s">
        <v>4572</v>
      </c>
      <c r="G195" s="3268"/>
      <c r="H195" s="3268" t="s">
        <v>4573</v>
      </c>
      <c r="I195" s="3268"/>
      <c r="J195" s="3268" t="s">
        <v>4574</v>
      </c>
      <c r="K195" s="3268" t="s">
        <v>4570</v>
      </c>
      <c r="L195" s="3270">
        <v>147.54</v>
      </c>
      <c r="M195" s="3270">
        <v>3</v>
      </c>
      <c r="N195" s="3268" t="s">
        <v>3129</v>
      </c>
      <c r="O195" s="3270">
        <v>130.41999999999999</v>
      </c>
      <c r="P195" s="3268" t="s">
        <v>2963</v>
      </c>
      <c r="Q195" s="3271">
        <v>780000</v>
      </c>
      <c r="R195" s="3267">
        <v>5287</v>
      </c>
      <c r="S195" s="3272">
        <v>79.47</v>
      </c>
      <c r="T195" s="3273">
        <v>794700</v>
      </c>
      <c r="U195" s="3267">
        <v>5387</v>
      </c>
      <c r="V195" s="3289">
        <v>0.05</v>
      </c>
      <c r="W195" s="3272">
        <v>75.489999999999995</v>
      </c>
      <c r="X195" s="3275">
        <v>754900</v>
      </c>
      <c r="Y195" s="3276">
        <v>2006</v>
      </c>
      <c r="Z195" s="3276">
        <v>4</v>
      </c>
      <c r="AA195" s="3276">
        <v>20</v>
      </c>
      <c r="AB195" s="3267">
        <v>1500</v>
      </c>
      <c r="AC195" s="3267" t="s">
        <v>3444</v>
      </c>
      <c r="AD195" s="3268"/>
      <c r="AE195" s="3268" t="s">
        <v>3304</v>
      </c>
      <c r="AF195" s="3268" t="s">
        <v>2966</v>
      </c>
      <c r="AG195" s="3268" t="s">
        <v>2967</v>
      </c>
      <c r="AH195" s="3268"/>
      <c r="AI195" s="3267" t="s">
        <v>2992</v>
      </c>
      <c r="AJ195" s="3290"/>
      <c r="AK195" s="3278" t="s">
        <v>2994</v>
      </c>
      <c r="AL195" s="3276">
        <v>67641700</v>
      </c>
      <c r="AM195" s="3276"/>
      <c r="AN195" s="3279" t="s">
        <v>3114</v>
      </c>
      <c r="AO195" s="3267"/>
      <c r="AP195" s="3279" t="s">
        <v>3305</v>
      </c>
      <c r="AQ195" s="3267" t="s">
        <v>3228</v>
      </c>
      <c r="AR195" s="3267"/>
      <c r="AS195" s="3267"/>
      <c r="AT195" s="3267"/>
      <c r="AU195" s="3267"/>
      <c r="AV195" s="3277"/>
      <c r="AW195" s="3276" t="s">
        <v>2997</v>
      </c>
      <c r="AX195" s="3276"/>
      <c r="AY195" s="3291"/>
      <c r="AZ195" s="3267" t="s">
        <v>4575</v>
      </c>
      <c r="BA195" s="3296"/>
      <c r="BB195" s="3297"/>
      <c r="BC195" s="3296"/>
      <c r="BD195" s="3298"/>
      <c r="BE195" s="3276"/>
      <c r="BF195" s="3281"/>
      <c r="BG195" s="3293">
        <v>38717</v>
      </c>
      <c r="BH195" s="3267"/>
      <c r="BI195" s="3276" t="s">
        <v>3396</v>
      </c>
      <c r="BJ195" s="3283">
        <v>38743</v>
      </c>
      <c r="BK195" s="3284"/>
      <c r="BL195" s="3267" t="s">
        <v>2998</v>
      </c>
      <c r="BM195" s="3267" t="s">
        <v>2879</v>
      </c>
      <c r="BN195" s="3267" t="s">
        <v>3111</v>
      </c>
      <c r="BO195" s="3267" t="s">
        <v>3000</v>
      </c>
      <c r="BP195" s="3276"/>
      <c r="BQ195" s="3276">
        <v>6094</v>
      </c>
      <c r="BR195" s="3276">
        <v>5981</v>
      </c>
      <c r="BS195" s="3285"/>
      <c r="BT195" s="3285"/>
      <c r="BU195" s="3285"/>
    </row>
    <row r="196" spans="1:73" hidden="1">
      <c r="A196" s="3267" t="s">
        <v>4576</v>
      </c>
      <c r="B196" s="3267" t="s">
        <v>4577</v>
      </c>
      <c r="C196" s="3269" t="s">
        <v>4578</v>
      </c>
      <c r="D196" s="3267">
        <v>13811397990</v>
      </c>
      <c r="E196" s="3267" t="s">
        <v>2985</v>
      </c>
      <c r="F196" s="3267" t="s">
        <v>4105</v>
      </c>
      <c r="G196" s="3267"/>
      <c r="H196" s="3267" t="s">
        <v>3150</v>
      </c>
      <c r="I196" s="3267" t="s">
        <v>3608</v>
      </c>
      <c r="J196" s="3354" t="s">
        <v>4579</v>
      </c>
      <c r="K196" s="3268" t="s">
        <v>4577</v>
      </c>
      <c r="L196" s="3286">
        <v>59.37</v>
      </c>
      <c r="M196" s="3355">
        <v>4</v>
      </c>
      <c r="N196" s="3267" t="s">
        <v>3122</v>
      </c>
      <c r="O196" s="3267"/>
      <c r="P196" s="3267" t="s">
        <v>2963</v>
      </c>
      <c r="Q196" s="3267">
        <v>430000</v>
      </c>
      <c r="R196" s="3267">
        <v>7243</v>
      </c>
      <c r="S196" s="3272">
        <v>35.32</v>
      </c>
      <c r="T196" s="3273">
        <v>353200</v>
      </c>
      <c r="U196" s="3267">
        <v>5950</v>
      </c>
      <c r="V196" s="3274">
        <v>0.05</v>
      </c>
      <c r="W196" s="3272">
        <v>33.549999999999997</v>
      </c>
      <c r="X196" s="3275">
        <v>335500</v>
      </c>
      <c r="Y196" s="3267">
        <v>2006</v>
      </c>
      <c r="Z196" s="3267">
        <v>2</v>
      </c>
      <c r="AA196" s="3276">
        <v>9</v>
      </c>
      <c r="AB196" s="3267">
        <v>1055</v>
      </c>
      <c r="AC196" s="3267" t="s">
        <v>3227</v>
      </c>
      <c r="AD196" s="3267"/>
      <c r="AE196" s="3294" t="s">
        <v>3295</v>
      </c>
      <c r="AF196" s="3267" t="s">
        <v>2966</v>
      </c>
      <c r="AG196" s="3267" t="s">
        <v>2967</v>
      </c>
      <c r="AH196" s="3267"/>
      <c r="AI196" s="3279" t="s">
        <v>2992</v>
      </c>
      <c r="AJ196" s="3315"/>
      <c r="AK196" s="3278">
        <v>2</v>
      </c>
      <c r="AL196" s="3276">
        <v>67641700</v>
      </c>
      <c r="AM196" s="3276"/>
      <c r="AN196" s="3279" t="s">
        <v>3131</v>
      </c>
      <c r="AO196" s="3267"/>
      <c r="AP196" s="3279" t="s">
        <v>3305</v>
      </c>
      <c r="AQ196" s="3276" t="s">
        <v>3113</v>
      </c>
      <c r="AR196" s="3267"/>
      <c r="AS196" s="3267"/>
      <c r="AT196" s="3267"/>
      <c r="AU196" s="3267"/>
      <c r="AV196" s="3267"/>
      <c r="AW196" s="3267" t="s">
        <v>2997</v>
      </c>
      <c r="AX196" s="3267"/>
      <c r="AY196" s="3269"/>
      <c r="AZ196" s="3267" t="s">
        <v>4580</v>
      </c>
      <c r="BA196" s="3267"/>
      <c r="BB196" s="3267"/>
      <c r="BC196" s="3267"/>
      <c r="BD196" s="3267"/>
      <c r="BE196" s="3267">
        <v>13311294433</v>
      </c>
      <c r="BF196" s="3356"/>
      <c r="BG196" s="3299">
        <v>38754</v>
      </c>
      <c r="BH196" s="3267" t="s">
        <v>2998</v>
      </c>
      <c r="BI196" s="3314" t="s">
        <v>3305</v>
      </c>
      <c r="BJ196" s="3283">
        <v>38755</v>
      </c>
      <c r="BK196" s="3283"/>
      <c r="BL196" s="3267" t="s">
        <v>3249</v>
      </c>
      <c r="BM196" s="3267" t="s">
        <v>2879</v>
      </c>
      <c r="BN196" s="3267" t="s">
        <v>2999</v>
      </c>
      <c r="BO196" s="3267" t="s">
        <v>3000</v>
      </c>
      <c r="BP196" s="3267"/>
      <c r="BQ196" s="3276" t="e">
        <v>#DIV/0!</v>
      </c>
      <c r="BR196" s="3276" t="e">
        <v>#DIV/0!</v>
      </c>
      <c r="BS196" s="3285"/>
      <c r="BT196" s="3285"/>
      <c r="BU196" s="3285"/>
    </row>
    <row r="197" spans="1:73" hidden="1">
      <c r="A197" s="3267" t="s">
        <v>4581</v>
      </c>
      <c r="B197" s="3267" t="s">
        <v>4582</v>
      </c>
      <c r="C197" s="3269" t="s">
        <v>4583</v>
      </c>
      <c r="D197" s="3267">
        <v>13601284180</v>
      </c>
      <c r="E197" s="3267" t="s">
        <v>2985</v>
      </c>
      <c r="F197" s="3267" t="s">
        <v>4353</v>
      </c>
      <c r="G197" s="3267"/>
      <c r="H197" s="3267" t="s">
        <v>3182</v>
      </c>
      <c r="I197" s="3267" t="s">
        <v>3191</v>
      </c>
      <c r="J197" s="3267" t="s">
        <v>4144</v>
      </c>
      <c r="K197" s="3267" t="s">
        <v>4582</v>
      </c>
      <c r="L197" s="3286">
        <v>45.42</v>
      </c>
      <c r="M197" s="3267">
        <v>7</v>
      </c>
      <c r="N197" s="3267" t="s">
        <v>3152</v>
      </c>
      <c r="O197" s="3267"/>
      <c r="P197" s="3267" t="s">
        <v>2963</v>
      </c>
      <c r="Q197" s="3267">
        <v>225000</v>
      </c>
      <c r="R197" s="3310">
        <v>4954</v>
      </c>
      <c r="S197" s="3311">
        <v>25.93</v>
      </c>
      <c r="T197" s="3312">
        <v>259300</v>
      </c>
      <c r="U197" s="3267">
        <v>5711</v>
      </c>
      <c r="V197" s="3289">
        <v>0.05</v>
      </c>
      <c r="W197" s="3272">
        <v>24.63</v>
      </c>
      <c r="X197" s="3312">
        <v>246300</v>
      </c>
      <c r="Y197" s="3267">
        <v>2006</v>
      </c>
      <c r="Z197" s="3267">
        <v>2</v>
      </c>
      <c r="AA197" s="3267">
        <v>9</v>
      </c>
      <c r="AB197" s="3295">
        <v>775</v>
      </c>
      <c r="AC197" s="3267" t="s">
        <v>3227</v>
      </c>
      <c r="AD197" s="3267"/>
      <c r="AE197" s="3267" t="s">
        <v>3304</v>
      </c>
      <c r="AF197" s="3267" t="s">
        <v>2966</v>
      </c>
      <c r="AG197" s="3267" t="s">
        <v>2967</v>
      </c>
      <c r="AH197" s="3267"/>
      <c r="AI197" s="3267" t="s">
        <v>3295</v>
      </c>
      <c r="AJ197" s="3267"/>
      <c r="AK197" s="3267" t="s">
        <v>3131</v>
      </c>
      <c r="AL197" s="3267">
        <v>67641700</v>
      </c>
      <c r="AM197" s="3267"/>
      <c r="AN197" s="3267" t="s">
        <v>3131</v>
      </c>
      <c r="AO197" s="3267"/>
      <c r="AP197" s="3267" t="s">
        <v>3342</v>
      </c>
      <c r="AQ197" s="3267" t="s">
        <v>3113</v>
      </c>
      <c r="AR197" s="3267"/>
      <c r="AS197" s="3267"/>
      <c r="AT197" s="3267"/>
      <c r="AU197" s="3267"/>
      <c r="AV197" s="3267"/>
      <c r="AW197" s="3267" t="s">
        <v>2997</v>
      </c>
      <c r="AX197" s="3267"/>
      <c r="AY197" s="3267"/>
      <c r="AZ197" s="3267" t="s">
        <v>4584</v>
      </c>
      <c r="BA197" s="3267"/>
      <c r="BB197" s="3267"/>
      <c r="BC197" s="3267"/>
      <c r="BD197" s="3267"/>
      <c r="BE197" s="3267"/>
      <c r="BF197" s="3267"/>
      <c r="BG197" s="3307">
        <v>38757</v>
      </c>
      <c r="BH197" s="3267"/>
      <c r="BI197" s="3267" t="s">
        <v>3342</v>
      </c>
      <c r="BJ197" s="3283">
        <v>38755</v>
      </c>
      <c r="BK197" s="3267"/>
      <c r="BL197" s="3267" t="s">
        <v>2998</v>
      </c>
      <c r="BM197" s="3267" t="s">
        <v>2879</v>
      </c>
      <c r="BN197" s="3267" t="s">
        <v>2999</v>
      </c>
      <c r="BO197" s="3267" t="s">
        <v>3146</v>
      </c>
      <c r="BP197" s="3267"/>
      <c r="BQ197" s="3294"/>
      <c r="BR197" s="3294"/>
      <c r="BS197" s="3285"/>
      <c r="BT197" s="3285"/>
      <c r="BU197" s="3285"/>
    </row>
    <row r="198" spans="1:73" hidden="1">
      <c r="A198" s="3267" t="s">
        <v>4585</v>
      </c>
      <c r="B198" s="3267" t="s">
        <v>4586</v>
      </c>
      <c r="C198" s="3269" t="s">
        <v>4587</v>
      </c>
      <c r="D198" s="3269" t="s">
        <v>4588</v>
      </c>
      <c r="E198" s="3268" t="s">
        <v>2985</v>
      </c>
      <c r="F198" s="3268" t="s">
        <v>4589</v>
      </c>
      <c r="G198" s="3267"/>
      <c r="H198" s="3267" t="s">
        <v>4590</v>
      </c>
      <c r="I198" s="3268"/>
      <c r="J198" s="3267" t="s">
        <v>4591</v>
      </c>
      <c r="K198" s="3267" t="s">
        <v>4592</v>
      </c>
      <c r="L198" s="3267">
        <v>83.86</v>
      </c>
      <c r="M198" s="3267">
        <v>20</v>
      </c>
      <c r="N198" s="3267" t="s">
        <v>3122</v>
      </c>
      <c r="O198" s="3267">
        <v>70.14</v>
      </c>
      <c r="P198" s="3267" t="s">
        <v>2963</v>
      </c>
      <c r="Q198" s="3271">
        <v>483500</v>
      </c>
      <c r="R198" s="3267">
        <v>5766</v>
      </c>
      <c r="S198" s="3272">
        <v>45.28</v>
      </c>
      <c r="T198" s="3273">
        <v>452800</v>
      </c>
      <c r="U198" s="3267">
        <v>5400</v>
      </c>
      <c r="V198" s="3289">
        <v>0.05</v>
      </c>
      <c r="W198" s="3272">
        <v>43.01</v>
      </c>
      <c r="X198" s="3275">
        <v>430100</v>
      </c>
      <c r="Y198" s="3276">
        <v>2006</v>
      </c>
      <c r="Z198" s="3276">
        <v>2</v>
      </c>
      <c r="AA198" s="3294">
        <v>21</v>
      </c>
      <c r="AB198" s="3267">
        <v>1355</v>
      </c>
      <c r="AC198" s="3267" t="s">
        <v>3227</v>
      </c>
      <c r="AD198" s="3267"/>
      <c r="AE198" s="3279" t="s">
        <v>3245</v>
      </c>
      <c r="AF198" s="3268" t="s">
        <v>2966</v>
      </c>
      <c r="AG198" s="3279" t="s">
        <v>2967</v>
      </c>
      <c r="AH198" s="3267"/>
      <c r="AI198" s="3279" t="s">
        <v>2992</v>
      </c>
      <c r="AJ198" s="3284"/>
      <c r="AK198" s="3278">
        <v>2</v>
      </c>
      <c r="AL198" s="3276">
        <v>67641700</v>
      </c>
      <c r="AM198" s="3276"/>
      <c r="AN198" s="3279" t="s">
        <v>3114</v>
      </c>
      <c r="AO198" s="3267"/>
      <c r="AP198" s="3279" t="s">
        <v>3305</v>
      </c>
      <c r="AQ198" s="3267" t="s">
        <v>3228</v>
      </c>
      <c r="AR198" s="3276"/>
      <c r="AS198" s="3276"/>
      <c r="AT198" s="3276"/>
      <c r="AU198" s="3276"/>
      <c r="AV198" s="3276"/>
      <c r="AW198" s="3276" t="s">
        <v>2997</v>
      </c>
      <c r="AX198" s="3276"/>
      <c r="AY198" s="3291"/>
      <c r="AZ198" s="3267" t="s">
        <v>4592</v>
      </c>
      <c r="BA198" s="3296"/>
      <c r="BB198" s="3297"/>
      <c r="BC198" s="3296"/>
      <c r="BD198" s="3298"/>
      <c r="BE198" s="3276"/>
      <c r="BF198" s="3281"/>
      <c r="BG198" s="3293">
        <v>38711</v>
      </c>
      <c r="BH198" s="3267" t="s">
        <v>2998</v>
      </c>
      <c r="BI198" s="3314" t="s">
        <v>3305</v>
      </c>
      <c r="BJ198" s="3283">
        <v>38754</v>
      </c>
      <c r="BK198" s="3283"/>
      <c r="BL198" s="3267" t="s">
        <v>3249</v>
      </c>
      <c r="BM198" s="3276" t="s">
        <v>2879</v>
      </c>
      <c r="BN198" s="3276" t="s">
        <v>3111</v>
      </c>
      <c r="BO198" s="3276" t="s">
        <v>3146</v>
      </c>
      <c r="BP198" s="3276"/>
      <c r="BQ198" s="3276">
        <v>6456</v>
      </c>
      <c r="BR198" s="3276">
        <v>6893</v>
      </c>
      <c r="BS198" s="3285"/>
      <c r="BT198" s="3285"/>
      <c r="BU198" s="3285"/>
    </row>
    <row r="199" spans="1:73" hidden="1">
      <c r="A199" s="3267" t="s">
        <v>4593</v>
      </c>
      <c r="B199" s="3267" t="s">
        <v>4594</v>
      </c>
      <c r="C199" s="3269" t="s">
        <v>4595</v>
      </c>
      <c r="D199" s="3269" t="s">
        <v>4596</v>
      </c>
      <c r="E199" s="3267" t="s">
        <v>2985</v>
      </c>
      <c r="F199" s="3308" t="s">
        <v>3813</v>
      </c>
      <c r="G199" s="3267" t="s">
        <v>3262</v>
      </c>
      <c r="H199" s="3267" t="s">
        <v>4597</v>
      </c>
      <c r="I199" s="3267"/>
      <c r="J199" s="3267" t="s">
        <v>4598</v>
      </c>
      <c r="K199" s="3267" t="s">
        <v>4594</v>
      </c>
      <c r="L199" s="3286">
        <v>109.64</v>
      </c>
      <c r="M199" s="3267">
        <v>11</v>
      </c>
      <c r="N199" s="3267" t="s">
        <v>3125</v>
      </c>
      <c r="O199" s="3267">
        <v>84.27</v>
      </c>
      <c r="P199" s="3267" t="s">
        <v>2963</v>
      </c>
      <c r="Q199" s="3287">
        <v>570000</v>
      </c>
      <c r="R199" s="3267">
        <v>5199</v>
      </c>
      <c r="S199" s="3272">
        <v>55.69</v>
      </c>
      <c r="T199" s="3273">
        <v>556900</v>
      </c>
      <c r="U199" s="3267">
        <v>5080</v>
      </c>
      <c r="V199" s="3289">
        <v>0.05</v>
      </c>
      <c r="W199" s="3272">
        <v>52.9</v>
      </c>
      <c r="X199" s="3275">
        <v>529000</v>
      </c>
      <c r="Y199" s="3267">
        <v>2006</v>
      </c>
      <c r="Z199" s="3267">
        <v>2</v>
      </c>
      <c r="AA199" s="3276">
        <v>13</v>
      </c>
      <c r="AB199" s="3267">
        <v>1500</v>
      </c>
      <c r="AC199" s="3267" t="s">
        <v>3227</v>
      </c>
      <c r="AD199" s="3267"/>
      <c r="AE199" s="3276" t="s">
        <v>3245</v>
      </c>
      <c r="AF199" s="3267" t="s">
        <v>2966</v>
      </c>
      <c r="AG199" s="3279" t="s">
        <v>2967</v>
      </c>
      <c r="AH199" s="3267" t="s">
        <v>3262</v>
      </c>
      <c r="AI199" s="3279" t="s">
        <v>2992</v>
      </c>
      <c r="AJ199" s="3290" t="s">
        <v>3262</v>
      </c>
      <c r="AK199" s="3278">
        <v>2</v>
      </c>
      <c r="AL199" s="3276">
        <v>67641700</v>
      </c>
      <c r="AM199" s="3276"/>
      <c r="AN199" s="3279" t="s">
        <v>3140</v>
      </c>
      <c r="AO199" s="3267"/>
      <c r="AP199" s="3279" t="s">
        <v>3305</v>
      </c>
      <c r="AQ199" s="3267" t="s">
        <v>3113</v>
      </c>
      <c r="AR199" s="3276"/>
      <c r="AS199" s="3276"/>
      <c r="AT199" s="3276"/>
      <c r="AU199" s="3276" t="s">
        <v>3262</v>
      </c>
      <c r="AV199" s="3276" t="s">
        <v>3262</v>
      </c>
      <c r="AW199" s="3276" t="s">
        <v>2997</v>
      </c>
      <c r="AX199" s="3276" t="s">
        <v>3262</v>
      </c>
      <c r="AY199" s="3291" t="s">
        <v>3262</v>
      </c>
      <c r="AZ199" s="3276" t="s">
        <v>4599</v>
      </c>
      <c r="BA199" s="3276" t="s">
        <v>3262</v>
      </c>
      <c r="BB199" s="3291" t="s">
        <v>3262</v>
      </c>
      <c r="BC199" s="3276" t="s">
        <v>3262</v>
      </c>
      <c r="BD199" s="3292" t="s">
        <v>3262</v>
      </c>
      <c r="BE199" s="3276" t="s">
        <v>3262</v>
      </c>
      <c r="BF199" s="3281" t="s">
        <v>3262</v>
      </c>
      <c r="BG199" s="3293">
        <v>38722</v>
      </c>
      <c r="BH199" s="3276" t="s">
        <v>2998</v>
      </c>
      <c r="BI199" s="3314" t="s">
        <v>3305</v>
      </c>
      <c r="BJ199" s="3283">
        <v>38757</v>
      </c>
      <c r="BK199" s="3283" t="s">
        <v>3262</v>
      </c>
      <c r="BL199" s="3267" t="s">
        <v>3249</v>
      </c>
      <c r="BM199" s="3276" t="s">
        <v>2879</v>
      </c>
      <c r="BN199" s="3276" t="s">
        <v>3111</v>
      </c>
      <c r="BO199" s="3276" t="s">
        <v>3146</v>
      </c>
      <c r="BP199" s="3276"/>
      <c r="BQ199" s="3276">
        <v>6609</v>
      </c>
      <c r="BR199" s="3276">
        <v>6764</v>
      </c>
      <c r="BS199" s="3285"/>
      <c r="BT199" s="3285"/>
      <c r="BU199" s="3285"/>
    </row>
    <row r="200" spans="1:73" hidden="1">
      <c r="A200" s="3267" t="s">
        <v>4600</v>
      </c>
      <c r="B200" s="3267" t="s">
        <v>4601</v>
      </c>
      <c r="C200" s="3269" t="s">
        <v>4602</v>
      </c>
      <c r="D200" s="3269">
        <v>13811998620</v>
      </c>
      <c r="E200" s="3268" t="s">
        <v>2985</v>
      </c>
      <c r="F200" s="3268" t="s">
        <v>4466</v>
      </c>
      <c r="G200" s="3267"/>
      <c r="H200" s="3268" t="s">
        <v>3194</v>
      </c>
      <c r="I200" s="3268"/>
      <c r="J200" s="3267" t="s">
        <v>4603</v>
      </c>
      <c r="K200" s="3267" t="s">
        <v>4604</v>
      </c>
      <c r="L200" s="3270">
        <v>49.11</v>
      </c>
      <c r="M200" s="3267">
        <v>8</v>
      </c>
      <c r="N200" s="3267" t="s">
        <v>3152</v>
      </c>
      <c r="O200" s="3267"/>
      <c r="P200" s="3267" t="s">
        <v>2963</v>
      </c>
      <c r="Q200" s="3271">
        <v>310000</v>
      </c>
      <c r="R200" s="3267">
        <v>6312</v>
      </c>
      <c r="S200" s="3272">
        <v>29.45</v>
      </c>
      <c r="T200" s="3273">
        <v>294500</v>
      </c>
      <c r="U200" s="3267">
        <v>5998</v>
      </c>
      <c r="V200" s="3289">
        <v>0.05</v>
      </c>
      <c r="W200" s="3272">
        <v>27.97</v>
      </c>
      <c r="X200" s="3275">
        <v>279700</v>
      </c>
      <c r="Y200" s="3276">
        <v>2006</v>
      </c>
      <c r="Z200" s="3276">
        <v>3</v>
      </c>
      <c r="AA200" s="3294">
        <v>3</v>
      </c>
      <c r="AB200" s="3267">
        <v>880</v>
      </c>
      <c r="AC200" s="3267" t="s">
        <v>3227</v>
      </c>
      <c r="AD200" s="3267"/>
      <c r="AE200" s="3279" t="s">
        <v>2991</v>
      </c>
      <c r="AF200" s="3268" t="s">
        <v>2966</v>
      </c>
      <c r="AG200" s="3279" t="s">
        <v>2967</v>
      </c>
      <c r="AH200" s="3267"/>
      <c r="AI200" s="3279" t="s">
        <v>2992</v>
      </c>
      <c r="AJ200" s="3284"/>
      <c r="AK200" s="3278">
        <v>3</v>
      </c>
      <c r="AL200" s="3276">
        <v>67641700</v>
      </c>
      <c r="AM200" s="3276"/>
      <c r="AN200" s="3279" t="s">
        <v>3131</v>
      </c>
      <c r="AO200" s="3267" t="s">
        <v>2968</v>
      </c>
      <c r="AP200" s="3279" t="s">
        <v>3305</v>
      </c>
      <c r="AQ200" s="3276" t="s">
        <v>3113</v>
      </c>
      <c r="AR200" s="3276"/>
      <c r="AS200" s="3276"/>
      <c r="AT200" s="3276"/>
      <c r="AU200" s="3276"/>
      <c r="AV200" s="3276"/>
      <c r="AW200" s="3276" t="s">
        <v>2997</v>
      </c>
      <c r="AX200" s="3276"/>
      <c r="AY200" s="3291"/>
      <c r="AZ200" s="3267" t="s">
        <v>4604</v>
      </c>
      <c r="BA200" s="3296"/>
      <c r="BB200" s="3297"/>
      <c r="BC200" s="3296"/>
      <c r="BD200" s="3298"/>
      <c r="BE200" s="3276">
        <v>13146004323</v>
      </c>
      <c r="BF200" s="3281"/>
      <c r="BG200" s="3293">
        <v>38727</v>
      </c>
      <c r="BH200" s="3267" t="s">
        <v>2998</v>
      </c>
      <c r="BI200" s="3314" t="s">
        <v>3305</v>
      </c>
      <c r="BJ200" s="3283">
        <v>38757</v>
      </c>
      <c r="BK200" s="3283"/>
      <c r="BL200" s="3267" t="s">
        <v>3249</v>
      </c>
      <c r="BM200" s="3276" t="s">
        <v>2879</v>
      </c>
      <c r="BN200" s="3276" t="s">
        <v>2999</v>
      </c>
      <c r="BO200" s="3276" t="s">
        <v>3000</v>
      </c>
      <c r="BP200" s="3276"/>
      <c r="BQ200" s="3276" t="e">
        <v>#DIV/0!</v>
      </c>
      <c r="BR200" s="3276" t="e">
        <v>#DIV/0!</v>
      </c>
      <c r="BS200" s="3285"/>
      <c r="BT200" s="3285"/>
      <c r="BU200" s="3285"/>
    </row>
    <row r="201" spans="1:73" hidden="1">
      <c r="A201" s="3267" t="s">
        <v>4605</v>
      </c>
      <c r="B201" s="3267" t="s">
        <v>4606</v>
      </c>
      <c r="C201" s="3269" t="s">
        <v>4607</v>
      </c>
      <c r="D201" s="3269" t="s">
        <v>4608</v>
      </c>
      <c r="E201" s="3267" t="s">
        <v>2985</v>
      </c>
      <c r="F201" s="3308" t="s">
        <v>4609</v>
      </c>
      <c r="G201" s="3267"/>
      <c r="H201" s="3268" t="s">
        <v>3263</v>
      </c>
      <c r="I201" s="3269"/>
      <c r="J201" s="3269" t="s">
        <v>3192</v>
      </c>
      <c r="K201" s="3268" t="s">
        <v>4606</v>
      </c>
      <c r="L201" s="3286">
        <v>60.33</v>
      </c>
      <c r="M201" s="3267">
        <v>3</v>
      </c>
      <c r="N201" s="3267" t="s">
        <v>3122</v>
      </c>
      <c r="O201" s="3267"/>
      <c r="P201" s="3267" t="s">
        <v>2963</v>
      </c>
      <c r="Q201" s="3271">
        <v>360000</v>
      </c>
      <c r="R201" s="3267">
        <v>5967</v>
      </c>
      <c r="S201" s="3272">
        <v>34.56</v>
      </c>
      <c r="T201" s="3273">
        <v>345600</v>
      </c>
      <c r="U201" s="3267">
        <v>5729</v>
      </c>
      <c r="V201" s="3289">
        <v>0.05</v>
      </c>
      <c r="W201" s="3272">
        <v>32.83</v>
      </c>
      <c r="X201" s="3275">
        <v>328300</v>
      </c>
      <c r="Y201" s="3276">
        <v>2006</v>
      </c>
      <c r="Z201" s="3276">
        <v>2</v>
      </c>
      <c r="AA201" s="3267">
        <v>15</v>
      </c>
      <c r="AB201" s="3267">
        <v>1035</v>
      </c>
      <c r="AC201" s="3267" t="s">
        <v>3227</v>
      </c>
      <c r="AD201" s="3267"/>
      <c r="AE201" s="3276" t="s">
        <v>3304</v>
      </c>
      <c r="AF201" s="3267" t="s">
        <v>2966</v>
      </c>
      <c r="AG201" s="3279" t="s">
        <v>2967</v>
      </c>
      <c r="AH201" s="3267"/>
      <c r="AI201" s="3267" t="s">
        <v>3295</v>
      </c>
      <c r="AJ201" s="3284"/>
      <c r="AK201" s="3278">
        <v>2</v>
      </c>
      <c r="AL201" s="3276">
        <v>67641700</v>
      </c>
      <c r="AM201" s="3276"/>
      <c r="AN201" s="3279" t="s">
        <v>3114</v>
      </c>
      <c r="AO201" s="3276"/>
      <c r="AP201" s="3267" t="s">
        <v>3342</v>
      </c>
      <c r="AQ201" s="3276" t="s">
        <v>3113</v>
      </c>
      <c r="AR201" s="3276"/>
      <c r="AS201" s="3276"/>
      <c r="AT201" s="3276"/>
      <c r="AU201" s="3276"/>
      <c r="AV201" s="3276"/>
      <c r="AW201" s="3267" t="s">
        <v>2997</v>
      </c>
      <c r="AX201" s="3267"/>
      <c r="AY201" s="3309"/>
      <c r="AZ201" s="3267" t="s">
        <v>4610</v>
      </c>
      <c r="BA201" s="3276"/>
      <c r="BB201" s="3291"/>
      <c r="BC201" s="3276"/>
      <c r="BD201" s="3292"/>
      <c r="BE201" s="3276"/>
      <c r="BF201" s="3281"/>
      <c r="BG201" s="3299">
        <v>38680</v>
      </c>
      <c r="BH201" s="3276"/>
      <c r="BI201" s="3267" t="s">
        <v>3537</v>
      </c>
      <c r="BJ201" s="3284">
        <v>38761</v>
      </c>
      <c r="BK201" s="3299"/>
      <c r="BL201" s="3276" t="s">
        <v>3249</v>
      </c>
      <c r="BM201" s="3276" t="s">
        <v>4426</v>
      </c>
      <c r="BN201" s="3276" t="s">
        <v>3111</v>
      </c>
      <c r="BO201" s="3276" t="s">
        <v>3146</v>
      </c>
      <c r="BP201" s="3276"/>
      <c r="BQ201" s="3276"/>
      <c r="BR201" s="3276"/>
      <c r="BS201" s="3285"/>
      <c r="BT201" s="3285"/>
      <c r="BU201" s="3285"/>
    </row>
    <row r="202" spans="1:73" hidden="1">
      <c r="A202" s="3267" t="s">
        <v>4611</v>
      </c>
      <c r="B202" s="3267" t="s">
        <v>4464</v>
      </c>
      <c r="C202" s="3269" t="s">
        <v>4612</v>
      </c>
      <c r="D202" s="3269" t="s">
        <v>4613</v>
      </c>
      <c r="E202" s="3268" t="s">
        <v>2985</v>
      </c>
      <c r="F202" s="3268" t="s">
        <v>3279</v>
      </c>
      <c r="G202" s="3267"/>
      <c r="H202" s="3267" t="s">
        <v>4614</v>
      </c>
      <c r="I202" s="3268" t="s">
        <v>4615</v>
      </c>
      <c r="J202" s="3267" t="s">
        <v>3151</v>
      </c>
      <c r="K202" s="3267" t="s">
        <v>4464</v>
      </c>
      <c r="L202" s="3286">
        <v>89.08</v>
      </c>
      <c r="M202" s="3267">
        <v>5</v>
      </c>
      <c r="N202" s="3267" t="s">
        <v>3125</v>
      </c>
      <c r="O202" s="3267"/>
      <c r="P202" s="3267" t="s">
        <v>2963</v>
      </c>
      <c r="Q202" s="3271">
        <v>540000</v>
      </c>
      <c r="R202" s="3267">
        <v>6062</v>
      </c>
      <c r="S202" s="3272">
        <v>46.32</v>
      </c>
      <c r="T202" s="3273">
        <v>463200</v>
      </c>
      <c r="U202" s="3267">
        <v>5200</v>
      </c>
      <c r="V202" s="3289">
        <v>0.05</v>
      </c>
      <c r="W202" s="3272">
        <v>44</v>
      </c>
      <c r="X202" s="3275">
        <v>440000</v>
      </c>
      <c r="Y202" s="3276">
        <v>2006</v>
      </c>
      <c r="Z202" s="3276">
        <v>2</v>
      </c>
      <c r="AA202" s="3276">
        <v>15</v>
      </c>
      <c r="AB202" s="3267">
        <v>1385</v>
      </c>
      <c r="AC202" s="3267" t="s">
        <v>3227</v>
      </c>
      <c r="AD202" s="3267"/>
      <c r="AE202" s="3279" t="s">
        <v>3245</v>
      </c>
      <c r="AF202" s="3268" t="s">
        <v>2966</v>
      </c>
      <c r="AG202" s="3279" t="s">
        <v>2967</v>
      </c>
      <c r="AH202" s="3267"/>
      <c r="AI202" s="3279" t="s">
        <v>2992</v>
      </c>
      <c r="AJ202" s="3284"/>
      <c r="AK202" s="3278">
        <v>2</v>
      </c>
      <c r="AL202" s="3276">
        <v>67641700</v>
      </c>
      <c r="AM202" s="3276"/>
      <c r="AN202" s="3279" t="s">
        <v>3140</v>
      </c>
      <c r="AO202" s="3267"/>
      <c r="AP202" s="3279" t="s">
        <v>3305</v>
      </c>
      <c r="AQ202" s="3276" t="s">
        <v>3113</v>
      </c>
      <c r="AR202" s="3276"/>
      <c r="AS202" s="3276"/>
      <c r="AT202" s="3276"/>
      <c r="AU202" s="3276"/>
      <c r="AV202" s="3276"/>
      <c r="AW202" s="3276" t="s">
        <v>3112</v>
      </c>
      <c r="AX202" s="3276"/>
      <c r="AY202" s="3291"/>
      <c r="AZ202" s="3267" t="s">
        <v>4616</v>
      </c>
      <c r="BA202" s="3296"/>
      <c r="BB202" s="3297"/>
      <c r="BC202" s="3296"/>
      <c r="BD202" s="3298"/>
      <c r="BE202" s="3276"/>
      <c r="BF202" s="3281"/>
      <c r="BG202" s="3293">
        <v>38737</v>
      </c>
      <c r="BH202" s="3267" t="s">
        <v>2998</v>
      </c>
      <c r="BI202" s="3314" t="s">
        <v>3305</v>
      </c>
      <c r="BJ202" s="3283">
        <v>38761</v>
      </c>
      <c r="BK202" s="3283"/>
      <c r="BL202" s="3267" t="s">
        <v>3249</v>
      </c>
      <c r="BM202" s="3276" t="s">
        <v>2879</v>
      </c>
      <c r="BN202" s="3276" t="s">
        <v>3111</v>
      </c>
      <c r="BO202" s="3276" t="s">
        <v>3446</v>
      </c>
      <c r="BP202" s="3276"/>
      <c r="BQ202" s="3276" t="e">
        <v>#DIV/0!</v>
      </c>
      <c r="BR202" s="3276" t="e">
        <v>#DIV/0!</v>
      </c>
      <c r="BS202" s="3285"/>
      <c r="BT202" s="3285"/>
      <c r="BU202" s="3285"/>
    </row>
    <row r="203" spans="1:73" hidden="1">
      <c r="A203" s="3267" t="s">
        <v>4617</v>
      </c>
      <c r="B203" s="3267" t="s">
        <v>4618</v>
      </c>
      <c r="C203" s="3269" t="s">
        <v>4619</v>
      </c>
      <c r="D203" s="3269" t="s">
        <v>4620</v>
      </c>
      <c r="E203" s="3267" t="s">
        <v>2985</v>
      </c>
      <c r="F203" s="3268" t="s">
        <v>4621</v>
      </c>
      <c r="G203" s="3267"/>
      <c r="H203" s="3267" t="s">
        <v>3130</v>
      </c>
      <c r="I203" s="3267" t="s">
        <v>4622</v>
      </c>
      <c r="J203" s="3269" t="s">
        <v>4623</v>
      </c>
      <c r="K203" s="3268" t="s">
        <v>4624</v>
      </c>
      <c r="L203" s="3267">
        <v>51.14</v>
      </c>
      <c r="M203" s="3267">
        <v>3</v>
      </c>
      <c r="N203" s="3267" t="s">
        <v>3152</v>
      </c>
      <c r="O203" s="3267"/>
      <c r="P203" s="3267" t="s">
        <v>2963</v>
      </c>
      <c r="Q203" s="3271">
        <v>320000</v>
      </c>
      <c r="R203" s="3267">
        <v>6257</v>
      </c>
      <c r="S203" s="3272">
        <v>32.04</v>
      </c>
      <c r="T203" s="3273">
        <v>320400</v>
      </c>
      <c r="U203" s="3267">
        <v>6267</v>
      </c>
      <c r="V203" s="3289">
        <v>0.05</v>
      </c>
      <c r="W203" s="3272">
        <v>30.43</v>
      </c>
      <c r="X203" s="3275">
        <v>304300</v>
      </c>
      <c r="Y203" s="3276">
        <v>2006</v>
      </c>
      <c r="Z203" s="3276">
        <v>3</v>
      </c>
      <c r="AA203" s="3276">
        <v>2</v>
      </c>
      <c r="AB203" s="3267">
        <v>960</v>
      </c>
      <c r="AC203" s="3267" t="s">
        <v>3227</v>
      </c>
      <c r="AD203" s="3267"/>
      <c r="AE203" s="3279" t="s">
        <v>3304</v>
      </c>
      <c r="AF203" s="3267" t="s">
        <v>2966</v>
      </c>
      <c r="AG203" s="3267" t="s">
        <v>2967</v>
      </c>
      <c r="AH203" s="3267"/>
      <c r="AI203" s="3279" t="s">
        <v>3295</v>
      </c>
      <c r="AJ203" s="3284"/>
      <c r="AK203" s="3278">
        <v>3</v>
      </c>
      <c r="AL203" s="3276">
        <v>67641700</v>
      </c>
      <c r="AM203" s="3276"/>
      <c r="AN203" s="3276" t="s">
        <v>3131</v>
      </c>
      <c r="AO203" s="3276"/>
      <c r="AP203" s="3279" t="s">
        <v>3305</v>
      </c>
      <c r="AQ203" s="3267" t="s">
        <v>3228</v>
      </c>
      <c r="AR203" s="3276"/>
      <c r="AS203" s="3276"/>
      <c r="AT203" s="3276"/>
      <c r="AU203" s="3276"/>
      <c r="AV203" s="3276"/>
      <c r="AW203" s="3276" t="s">
        <v>3112</v>
      </c>
      <c r="AX203" s="3276"/>
      <c r="AY203" s="3291"/>
      <c r="AZ203" s="3276" t="s">
        <v>4624</v>
      </c>
      <c r="BA203" s="3276"/>
      <c r="BB203" s="3291"/>
      <c r="BC203" s="3276"/>
      <c r="BD203" s="3292"/>
      <c r="BE203" s="3276"/>
      <c r="BF203" s="3281"/>
      <c r="BG203" s="3293">
        <v>38761</v>
      </c>
      <c r="BH203" s="3276"/>
      <c r="BI203" s="3276" t="s">
        <v>3537</v>
      </c>
      <c r="BJ203" s="3284">
        <v>38762</v>
      </c>
      <c r="BK203" s="3283"/>
      <c r="BL203" s="3276" t="s">
        <v>2998</v>
      </c>
      <c r="BM203" s="3276" t="s">
        <v>2879</v>
      </c>
      <c r="BN203" s="3276" t="s">
        <v>2999</v>
      </c>
      <c r="BO203" s="3276" t="s">
        <v>3146</v>
      </c>
      <c r="BP203" s="3276"/>
      <c r="BQ203" s="3276" t="e">
        <v>#DIV/0!</v>
      </c>
      <c r="BR203" s="3276" t="e">
        <v>#DIV/0!</v>
      </c>
      <c r="BS203" s="3285"/>
      <c r="BT203" s="3285"/>
      <c r="BU203" s="3285"/>
    </row>
    <row r="204" spans="1:73" hidden="1">
      <c r="A204" s="3267" t="s">
        <v>4625</v>
      </c>
      <c r="B204" s="3267" t="s">
        <v>4626</v>
      </c>
      <c r="C204" s="3269" t="s">
        <v>4627</v>
      </c>
      <c r="D204" s="3267" t="s">
        <v>4628</v>
      </c>
      <c r="E204" s="3267" t="s">
        <v>2985</v>
      </c>
      <c r="F204" s="3267" t="s">
        <v>4629</v>
      </c>
      <c r="G204" s="3267"/>
      <c r="H204" s="3267" t="s">
        <v>3118</v>
      </c>
      <c r="I204" s="3267" t="s">
        <v>3254</v>
      </c>
      <c r="J204" s="3267" t="s">
        <v>3189</v>
      </c>
      <c r="K204" s="3268" t="s">
        <v>4630</v>
      </c>
      <c r="L204" s="3267">
        <v>76.37</v>
      </c>
      <c r="M204" s="3267">
        <v>1</v>
      </c>
      <c r="N204" s="3267" t="s">
        <v>3152</v>
      </c>
      <c r="O204" s="3267"/>
      <c r="P204" s="3267" t="s">
        <v>2963</v>
      </c>
      <c r="Q204" s="3267">
        <v>420000</v>
      </c>
      <c r="R204" s="3267">
        <v>5500</v>
      </c>
      <c r="S204" s="3272">
        <v>39.979999999999997</v>
      </c>
      <c r="T204" s="3273">
        <v>399800</v>
      </c>
      <c r="U204" s="3267">
        <v>5236</v>
      </c>
      <c r="V204" s="3274">
        <v>0.05</v>
      </c>
      <c r="W204" s="3272">
        <v>37.979999999999997</v>
      </c>
      <c r="X204" s="3275">
        <v>379800</v>
      </c>
      <c r="Y204" s="3267">
        <v>2006</v>
      </c>
      <c r="Z204" s="3267">
        <v>2</v>
      </c>
      <c r="AA204" s="3276">
        <v>16</v>
      </c>
      <c r="AB204" s="3267">
        <v>1195</v>
      </c>
      <c r="AC204" s="3267" t="s">
        <v>3444</v>
      </c>
      <c r="AD204" s="3267"/>
      <c r="AE204" s="3279" t="s">
        <v>3304</v>
      </c>
      <c r="AF204" s="3267" t="s">
        <v>2966</v>
      </c>
      <c r="AG204" s="3267" t="s">
        <v>2967</v>
      </c>
      <c r="AH204" s="3267"/>
      <c r="AI204" s="3267" t="s">
        <v>3115</v>
      </c>
      <c r="AJ204" s="3315"/>
      <c r="AK204" s="3267" t="s">
        <v>3114</v>
      </c>
      <c r="AL204" s="3267">
        <v>82253558</v>
      </c>
      <c r="AM204" s="3267"/>
      <c r="AN204" s="3267" t="s">
        <v>3131</v>
      </c>
      <c r="AO204" s="3267" t="s">
        <v>2968</v>
      </c>
      <c r="AP204" s="3267" t="s">
        <v>3180</v>
      </c>
      <c r="AQ204" s="3267" t="s">
        <v>3228</v>
      </c>
      <c r="AR204" s="3267">
        <v>2006</v>
      </c>
      <c r="AS204" s="3267">
        <v>3</v>
      </c>
      <c r="AT204" s="3267">
        <v>1</v>
      </c>
      <c r="AU204" s="3267"/>
      <c r="AV204" s="3267"/>
      <c r="AW204" s="3267" t="s">
        <v>2997</v>
      </c>
      <c r="AX204" s="3267"/>
      <c r="AY204" s="3269"/>
      <c r="AZ204" s="3267" t="s">
        <v>4630</v>
      </c>
      <c r="BA204" s="3267"/>
      <c r="BB204" s="3267"/>
      <c r="BC204" s="3267"/>
      <c r="BD204" s="3267"/>
      <c r="BE204" s="3267"/>
      <c r="BF204" s="3267"/>
      <c r="BG204" s="3307">
        <v>38689</v>
      </c>
      <c r="BH204" s="3267"/>
      <c r="BI204" s="3267" t="s">
        <v>2991</v>
      </c>
      <c r="BJ204" s="3283">
        <v>38762</v>
      </c>
      <c r="BK204" s="3283"/>
      <c r="BL204" s="3267" t="s">
        <v>2998</v>
      </c>
      <c r="BM204" s="3267" t="s">
        <v>2879</v>
      </c>
      <c r="BN204" s="3267" t="s">
        <v>2999</v>
      </c>
      <c r="BO204" s="3267" t="s">
        <v>3000</v>
      </c>
      <c r="BP204" s="3267"/>
      <c r="BQ204" s="3276" t="e">
        <v>#DIV/0!</v>
      </c>
      <c r="BR204" s="3276" t="e">
        <v>#DIV/0!</v>
      </c>
      <c r="BS204" s="3285"/>
      <c r="BT204" s="3285"/>
      <c r="BU204" s="3285"/>
    </row>
    <row r="205" spans="1:73" hidden="1">
      <c r="A205" s="3267" t="s">
        <v>4631</v>
      </c>
      <c r="B205" s="3267" t="s">
        <v>4632</v>
      </c>
      <c r="C205" s="3269" t="s">
        <v>4633</v>
      </c>
      <c r="D205" s="3268">
        <v>13911836374</v>
      </c>
      <c r="E205" s="3267" t="s">
        <v>2985</v>
      </c>
      <c r="F205" s="3267" t="s">
        <v>4634</v>
      </c>
      <c r="G205" s="3267"/>
      <c r="H205" s="3267" t="s">
        <v>3178</v>
      </c>
      <c r="I205" s="3267" t="s">
        <v>3586</v>
      </c>
      <c r="J205" s="3269" t="s">
        <v>4635</v>
      </c>
      <c r="K205" s="3267" t="s">
        <v>2968</v>
      </c>
      <c r="L205" s="3300">
        <v>83.02</v>
      </c>
      <c r="M205" s="3267">
        <v>6</v>
      </c>
      <c r="N205" s="3267" t="s">
        <v>3122</v>
      </c>
      <c r="O205" s="3267"/>
      <c r="P205" s="3267" t="s">
        <v>2963</v>
      </c>
      <c r="Q205" s="3317">
        <v>530000</v>
      </c>
      <c r="R205" s="3267">
        <v>6384</v>
      </c>
      <c r="S205" s="3318">
        <v>48.92</v>
      </c>
      <c r="T205" s="3273">
        <v>489200</v>
      </c>
      <c r="U205" s="3317">
        <v>5893</v>
      </c>
      <c r="V205" s="3289">
        <v>0.05</v>
      </c>
      <c r="W205" s="3272">
        <v>46.47</v>
      </c>
      <c r="X205" s="3273">
        <v>464700</v>
      </c>
      <c r="Y205" s="3276">
        <v>2006</v>
      </c>
      <c r="Z205" s="3276">
        <v>3</v>
      </c>
      <c r="AA205" s="3276">
        <v>16</v>
      </c>
      <c r="AB205" s="3267">
        <v>1465</v>
      </c>
      <c r="AC205" s="3267" t="s">
        <v>3227</v>
      </c>
      <c r="AD205" s="3267"/>
      <c r="AE205" s="3267" t="s">
        <v>3304</v>
      </c>
      <c r="AF205" s="3267" t="s">
        <v>2966</v>
      </c>
      <c r="AG205" s="3267" t="s">
        <v>2967</v>
      </c>
      <c r="AH205" s="3267"/>
      <c r="AI205" s="3267" t="s">
        <v>3295</v>
      </c>
      <c r="AJ205" s="3290"/>
      <c r="AK205" s="3278">
        <v>2</v>
      </c>
      <c r="AL205" s="3267">
        <v>67641700</v>
      </c>
      <c r="AM205" s="3267" t="s">
        <v>2968</v>
      </c>
      <c r="AN205" s="3279" t="s">
        <v>3114</v>
      </c>
      <c r="AO205" s="3267"/>
      <c r="AP205" s="3267" t="s">
        <v>3305</v>
      </c>
      <c r="AQ205" s="3267" t="s">
        <v>3228</v>
      </c>
      <c r="AR205" s="3276"/>
      <c r="AS205" s="3276"/>
      <c r="AT205" s="3267"/>
      <c r="AU205" s="3267"/>
      <c r="AV205" s="3267"/>
      <c r="AW205" s="3267" t="s">
        <v>3112</v>
      </c>
      <c r="AX205" s="3267"/>
      <c r="AY205" s="3267"/>
      <c r="AZ205" s="3267" t="s">
        <v>2968</v>
      </c>
      <c r="BA205" s="3267"/>
      <c r="BB205" s="3267"/>
      <c r="BC205" s="3267"/>
      <c r="BD205" s="3267"/>
      <c r="BE205" s="3267" t="s">
        <v>2968</v>
      </c>
      <c r="BF205" s="3267"/>
      <c r="BG205" s="3299">
        <v>38733</v>
      </c>
      <c r="BH205" s="3269"/>
      <c r="BI205" s="3267" t="s">
        <v>2979</v>
      </c>
      <c r="BJ205" s="3307">
        <v>38763</v>
      </c>
      <c r="BK205" s="3283"/>
      <c r="BL205" s="3267" t="s">
        <v>2998</v>
      </c>
      <c r="BM205" s="3267" t="s">
        <v>3345</v>
      </c>
      <c r="BN205" s="3267" t="s">
        <v>2999</v>
      </c>
      <c r="BO205" s="3267" t="s">
        <v>3000</v>
      </c>
      <c r="BP205" s="3267"/>
      <c r="BQ205" s="3276"/>
      <c r="BR205" s="3276"/>
      <c r="BS205" s="3285"/>
      <c r="BT205" s="3285"/>
      <c r="BU205" s="3285"/>
    </row>
    <row r="206" spans="1:73" hidden="1">
      <c r="A206" s="3267" t="s">
        <v>4636</v>
      </c>
      <c r="B206" s="3267" t="s">
        <v>4637</v>
      </c>
      <c r="C206" s="3269" t="s">
        <v>4638</v>
      </c>
      <c r="D206" s="3269">
        <v>13520271587</v>
      </c>
      <c r="E206" s="3268" t="s">
        <v>2985</v>
      </c>
      <c r="F206" s="3268" t="s">
        <v>4639</v>
      </c>
      <c r="G206" s="3267"/>
      <c r="H206" s="3267" t="s">
        <v>3194</v>
      </c>
      <c r="I206" s="3268" t="s">
        <v>3586</v>
      </c>
      <c r="J206" s="3267" t="s">
        <v>3174</v>
      </c>
      <c r="K206" s="3267" t="s">
        <v>4640</v>
      </c>
      <c r="L206" s="3270">
        <v>95.81</v>
      </c>
      <c r="M206" s="3267">
        <v>4</v>
      </c>
      <c r="N206" s="3267" t="s">
        <v>3125</v>
      </c>
      <c r="O206" s="3267">
        <v>86.67</v>
      </c>
      <c r="P206" s="3267" t="s">
        <v>2963</v>
      </c>
      <c r="Q206" s="3271">
        <v>341000</v>
      </c>
      <c r="R206" s="3267">
        <v>3559</v>
      </c>
      <c r="S206" s="3272">
        <v>30.43</v>
      </c>
      <c r="T206" s="3273">
        <v>304300</v>
      </c>
      <c r="U206" s="3267">
        <v>3177</v>
      </c>
      <c r="V206" s="3289">
        <v>0.05</v>
      </c>
      <c r="W206" s="3272">
        <v>28.9</v>
      </c>
      <c r="X206" s="3275">
        <v>289000</v>
      </c>
      <c r="Y206" s="3276">
        <v>2006</v>
      </c>
      <c r="Z206" s="3276">
        <v>3</v>
      </c>
      <c r="AA206" s="3276">
        <v>14</v>
      </c>
      <c r="AB206" s="3267">
        <v>910</v>
      </c>
      <c r="AC206" s="3267" t="s">
        <v>3227</v>
      </c>
      <c r="AD206" s="3267"/>
      <c r="AE206" s="3279" t="s">
        <v>2991</v>
      </c>
      <c r="AF206" s="3268" t="s">
        <v>2966</v>
      </c>
      <c r="AG206" s="3279" t="s">
        <v>2967</v>
      </c>
      <c r="AH206" s="3267"/>
      <c r="AI206" s="3279" t="s">
        <v>2992</v>
      </c>
      <c r="AJ206" s="3284"/>
      <c r="AK206" s="3278">
        <v>3</v>
      </c>
      <c r="AL206" s="3276">
        <v>67641700</v>
      </c>
      <c r="AM206" s="3276"/>
      <c r="AN206" s="3279" t="s">
        <v>3114</v>
      </c>
      <c r="AO206" s="3267"/>
      <c r="AP206" s="3279" t="s">
        <v>3305</v>
      </c>
      <c r="AQ206" s="3276" t="s">
        <v>3113</v>
      </c>
      <c r="AR206" s="3276"/>
      <c r="AS206" s="3276"/>
      <c r="AT206" s="3276"/>
      <c r="AU206" s="3276"/>
      <c r="AV206" s="3276"/>
      <c r="AW206" s="3276" t="s">
        <v>2997</v>
      </c>
      <c r="AX206" s="3276"/>
      <c r="AY206" s="3291"/>
      <c r="AZ206" s="3267" t="s">
        <v>4640</v>
      </c>
      <c r="BA206" s="3296"/>
      <c r="BB206" s="3297"/>
      <c r="BC206" s="3296"/>
      <c r="BD206" s="3298"/>
      <c r="BE206" s="3276">
        <v>13051895720</v>
      </c>
      <c r="BF206" s="3281"/>
      <c r="BG206" s="3293">
        <v>38741</v>
      </c>
      <c r="BH206" s="3267" t="s">
        <v>2998</v>
      </c>
      <c r="BI206" s="3314" t="s">
        <v>3305</v>
      </c>
      <c r="BJ206" s="3283">
        <v>38763</v>
      </c>
      <c r="BK206" s="3283"/>
      <c r="BL206" s="3267" t="s">
        <v>3249</v>
      </c>
      <c r="BM206" s="3276" t="s">
        <v>2879</v>
      </c>
      <c r="BN206" s="3276" t="s">
        <v>2999</v>
      </c>
      <c r="BO206" s="3276" t="s">
        <v>3000</v>
      </c>
      <c r="BP206" s="3276"/>
      <c r="BQ206" s="3276">
        <v>3511</v>
      </c>
      <c r="BR206" s="3276">
        <v>3934</v>
      </c>
      <c r="BS206" s="3285"/>
      <c r="BT206" s="3285"/>
      <c r="BU206" s="3285"/>
    </row>
    <row r="207" spans="1:73" hidden="1">
      <c r="A207" s="3267" t="s">
        <v>4641</v>
      </c>
      <c r="B207" s="3268" t="s">
        <v>4642</v>
      </c>
      <c r="C207" s="3269" t="s">
        <v>4643</v>
      </c>
      <c r="D207" s="3268">
        <v>13811331511</v>
      </c>
      <c r="E207" s="3268" t="s">
        <v>2985</v>
      </c>
      <c r="F207" s="3268" t="s">
        <v>4644</v>
      </c>
      <c r="G207" s="3268"/>
      <c r="H207" s="3268" t="s">
        <v>4645</v>
      </c>
      <c r="I207" s="3268" t="s">
        <v>3318</v>
      </c>
      <c r="J207" s="3268" t="s">
        <v>4646</v>
      </c>
      <c r="K207" s="3268" t="s">
        <v>4642</v>
      </c>
      <c r="L207" s="3286">
        <v>61.17</v>
      </c>
      <c r="M207" s="3270">
        <v>5</v>
      </c>
      <c r="N207" s="3268" t="s">
        <v>3122</v>
      </c>
      <c r="O207" s="3270"/>
      <c r="P207" s="3268" t="s">
        <v>2963</v>
      </c>
      <c r="Q207" s="3271">
        <v>380000</v>
      </c>
      <c r="R207" s="3271">
        <v>6212</v>
      </c>
      <c r="S207" s="3272">
        <v>36.409999999999997</v>
      </c>
      <c r="T207" s="3273">
        <v>364099.99999999994</v>
      </c>
      <c r="U207" s="3267">
        <v>5953</v>
      </c>
      <c r="V207" s="3289">
        <v>0.05</v>
      </c>
      <c r="W207" s="3272">
        <v>34.58</v>
      </c>
      <c r="X207" s="3273">
        <v>345800</v>
      </c>
      <c r="Y207" s="3276">
        <v>2006</v>
      </c>
      <c r="Z207" s="3276">
        <v>2</v>
      </c>
      <c r="AA207" s="3276">
        <v>17</v>
      </c>
      <c r="AB207" s="3267">
        <v>1090</v>
      </c>
      <c r="AC207" s="3267" t="s">
        <v>3227</v>
      </c>
      <c r="AD207" s="3268"/>
      <c r="AE207" s="3268" t="s">
        <v>3304</v>
      </c>
      <c r="AF207" s="3268" t="s">
        <v>2966</v>
      </c>
      <c r="AG207" s="3268" t="s">
        <v>2967</v>
      </c>
      <c r="AH207" s="3268"/>
      <c r="AI207" s="3268" t="s">
        <v>3295</v>
      </c>
      <c r="AJ207" s="3290"/>
      <c r="AK207" s="3278">
        <v>2</v>
      </c>
      <c r="AL207" s="3276">
        <v>67641700</v>
      </c>
      <c r="AM207" s="3276"/>
      <c r="AN207" s="3279" t="s">
        <v>3140</v>
      </c>
      <c r="AO207" s="3276"/>
      <c r="AP207" s="3267" t="s">
        <v>3342</v>
      </c>
      <c r="AQ207" s="3276" t="s">
        <v>3113</v>
      </c>
      <c r="AR207" s="3267"/>
      <c r="AS207" s="3267"/>
      <c r="AT207" s="3267"/>
      <c r="AU207" s="3267"/>
      <c r="AV207" s="3277"/>
      <c r="AW207" s="3267" t="s">
        <v>3112</v>
      </c>
      <c r="AX207" s="3268"/>
      <c r="AY207" s="3268"/>
      <c r="AZ207" s="3268"/>
      <c r="BA207" s="3268"/>
      <c r="BB207" s="3280"/>
      <c r="BC207" s="3268"/>
      <c r="BD207" s="3268"/>
      <c r="BE207" s="3268"/>
      <c r="BF207" s="3281"/>
      <c r="BG207" s="3307">
        <v>38741</v>
      </c>
      <c r="BH207" s="3268"/>
      <c r="BI207" s="3314" t="s">
        <v>3342</v>
      </c>
      <c r="BJ207" s="3283">
        <v>38763</v>
      </c>
      <c r="BK207" s="3284"/>
      <c r="BL207" s="3267" t="s">
        <v>2998</v>
      </c>
      <c r="BM207" s="3267" t="s">
        <v>2879</v>
      </c>
      <c r="BN207" s="3276" t="s">
        <v>2999</v>
      </c>
      <c r="BO207" s="3267" t="s">
        <v>3446</v>
      </c>
      <c r="BP207" s="3276"/>
      <c r="BQ207" s="3276"/>
      <c r="BR207" s="3276"/>
      <c r="BS207" s="3285"/>
      <c r="BT207" s="3285"/>
      <c r="BU207" s="3285"/>
    </row>
    <row r="208" spans="1:73" hidden="1">
      <c r="A208" s="3267" t="s">
        <v>4647</v>
      </c>
      <c r="B208" s="3267" t="s">
        <v>4648</v>
      </c>
      <c r="C208" s="3269" t="s">
        <v>4649</v>
      </c>
      <c r="D208" s="3267">
        <v>13671206424</v>
      </c>
      <c r="E208" s="3267" t="s">
        <v>2985</v>
      </c>
      <c r="F208" s="3267" t="s">
        <v>3309</v>
      </c>
      <c r="G208" s="3267"/>
      <c r="H208" s="3267" t="s">
        <v>4597</v>
      </c>
      <c r="I208" s="3267"/>
      <c r="J208" s="3354" t="s">
        <v>4467</v>
      </c>
      <c r="K208" s="3268" t="s">
        <v>4648</v>
      </c>
      <c r="L208" s="3286">
        <v>67.010000000000005</v>
      </c>
      <c r="M208" s="3355">
        <v>9</v>
      </c>
      <c r="N208" s="3267" t="s">
        <v>3122</v>
      </c>
      <c r="O208" s="3267"/>
      <c r="P208" s="3267" t="s">
        <v>2963</v>
      </c>
      <c r="Q208" s="3267">
        <v>470000</v>
      </c>
      <c r="R208" s="3267">
        <v>7014</v>
      </c>
      <c r="S208" s="3272">
        <v>37.119999999999997</v>
      </c>
      <c r="T208" s="3273">
        <v>371200</v>
      </c>
      <c r="U208" s="3267">
        <v>5540</v>
      </c>
      <c r="V208" s="3274">
        <v>0.05</v>
      </c>
      <c r="W208" s="3272">
        <v>35.26</v>
      </c>
      <c r="X208" s="3275">
        <v>352600</v>
      </c>
      <c r="Y208" s="3267">
        <v>2006</v>
      </c>
      <c r="Z208" s="3276">
        <v>2</v>
      </c>
      <c r="AA208" s="3294">
        <v>22</v>
      </c>
      <c r="AB208" s="3267">
        <v>1110</v>
      </c>
      <c r="AC208" s="3267" t="s">
        <v>3227</v>
      </c>
      <c r="AD208" s="3267"/>
      <c r="AE208" s="3294" t="s">
        <v>3344</v>
      </c>
      <c r="AF208" s="3267" t="s">
        <v>2966</v>
      </c>
      <c r="AG208" s="3267" t="s">
        <v>2967</v>
      </c>
      <c r="AH208" s="3267"/>
      <c r="AI208" s="3279" t="s">
        <v>2992</v>
      </c>
      <c r="AJ208" s="3315"/>
      <c r="AK208" s="3278">
        <v>2</v>
      </c>
      <c r="AL208" s="3276">
        <v>67641700</v>
      </c>
      <c r="AM208" s="3276"/>
      <c r="AN208" s="3279" t="s">
        <v>3114</v>
      </c>
      <c r="AO208" s="3267"/>
      <c r="AP208" s="3279" t="s">
        <v>3305</v>
      </c>
      <c r="AQ208" s="3267" t="s">
        <v>3113</v>
      </c>
      <c r="AR208" s="3267"/>
      <c r="AS208" s="3267"/>
      <c r="AT208" s="3267"/>
      <c r="AU208" s="3267"/>
      <c r="AV208" s="3267"/>
      <c r="AW208" s="3267" t="s">
        <v>2997</v>
      </c>
      <c r="AX208" s="3267"/>
      <c r="AY208" s="3269"/>
      <c r="AZ208" s="3267" t="s">
        <v>4650</v>
      </c>
      <c r="BA208" s="3267"/>
      <c r="BB208" s="3267"/>
      <c r="BC208" s="3267"/>
      <c r="BD208" s="3267"/>
      <c r="BE208" s="3267">
        <v>81972129</v>
      </c>
      <c r="BF208" s="3356"/>
      <c r="BG208" s="3307">
        <v>38758</v>
      </c>
      <c r="BH208" s="3267" t="s">
        <v>2998</v>
      </c>
      <c r="BI208" s="3314" t="s">
        <v>3305</v>
      </c>
      <c r="BJ208" s="3283">
        <v>38764</v>
      </c>
      <c r="BK208" s="3283"/>
      <c r="BL208" s="3267" t="s">
        <v>3249</v>
      </c>
      <c r="BM208" s="3267" t="s">
        <v>2879</v>
      </c>
      <c r="BN208" s="3267" t="s">
        <v>2999</v>
      </c>
      <c r="BO208" s="3267" t="s">
        <v>3000</v>
      </c>
      <c r="BP208" s="3267"/>
      <c r="BQ208" s="3276" t="e">
        <v>#DIV/0!</v>
      </c>
      <c r="BR208" s="3276" t="e">
        <v>#DIV/0!</v>
      </c>
      <c r="BS208" s="3285"/>
      <c r="BT208" s="3285"/>
      <c r="BU208" s="3285"/>
    </row>
    <row r="209" spans="1:73" hidden="1">
      <c r="A209" s="3267" t="s">
        <v>4651</v>
      </c>
      <c r="B209" s="3267" t="s">
        <v>4652</v>
      </c>
      <c r="C209" s="3269" t="s">
        <v>4653</v>
      </c>
      <c r="D209" s="3269">
        <v>13683061781</v>
      </c>
      <c r="E209" s="3268" t="s">
        <v>2985</v>
      </c>
      <c r="F209" s="3268" t="s">
        <v>4654</v>
      </c>
      <c r="G209" s="3267"/>
      <c r="H209" s="3268" t="s">
        <v>3178</v>
      </c>
      <c r="I209" s="3268" t="s">
        <v>3586</v>
      </c>
      <c r="J209" s="3267" t="s">
        <v>4655</v>
      </c>
      <c r="K209" s="3267" t="s">
        <v>4652</v>
      </c>
      <c r="L209" s="3286">
        <v>60.49</v>
      </c>
      <c r="M209" s="3267">
        <v>2</v>
      </c>
      <c r="N209" s="3267" t="s">
        <v>3122</v>
      </c>
      <c r="O209" s="3267"/>
      <c r="P209" s="3267" t="s">
        <v>2963</v>
      </c>
      <c r="Q209" s="3271">
        <v>470000</v>
      </c>
      <c r="R209" s="3267">
        <v>7770</v>
      </c>
      <c r="S209" s="3272">
        <v>38.1</v>
      </c>
      <c r="T209" s="3273">
        <v>381000</v>
      </c>
      <c r="U209" s="3267">
        <v>6300</v>
      </c>
      <c r="V209" s="3289">
        <v>0.05</v>
      </c>
      <c r="W209" s="3272">
        <v>36.19</v>
      </c>
      <c r="X209" s="3275">
        <v>361900</v>
      </c>
      <c r="Y209" s="3276">
        <v>2006</v>
      </c>
      <c r="Z209" s="3276">
        <v>2</v>
      </c>
      <c r="AA209" s="3294">
        <v>22</v>
      </c>
      <c r="AB209" s="3267">
        <v>1140</v>
      </c>
      <c r="AC209" s="3267" t="s">
        <v>3227</v>
      </c>
      <c r="AD209" s="3267"/>
      <c r="AE209" s="3279" t="s">
        <v>3295</v>
      </c>
      <c r="AF209" s="3268" t="s">
        <v>2966</v>
      </c>
      <c r="AG209" s="3279" t="s">
        <v>2967</v>
      </c>
      <c r="AH209" s="3267"/>
      <c r="AI209" s="3279" t="s">
        <v>2992</v>
      </c>
      <c r="AJ209" s="3284"/>
      <c r="AK209" s="3278" t="s">
        <v>3140</v>
      </c>
      <c r="AL209" s="3276">
        <v>67641700</v>
      </c>
      <c r="AM209" s="3276"/>
      <c r="AN209" s="3279" t="s">
        <v>3114</v>
      </c>
      <c r="AO209" s="3267"/>
      <c r="AP209" s="3279" t="s">
        <v>3305</v>
      </c>
      <c r="AQ209" s="3276" t="s">
        <v>3113</v>
      </c>
      <c r="AR209" s="3276"/>
      <c r="AS209" s="3276"/>
      <c r="AT209" s="3276"/>
      <c r="AU209" s="3276"/>
      <c r="AV209" s="3276"/>
      <c r="AW209" s="3276" t="s">
        <v>2997</v>
      </c>
      <c r="AX209" s="3276"/>
      <c r="AY209" s="3291"/>
      <c r="AZ209" s="3267" t="s">
        <v>4656</v>
      </c>
      <c r="BA209" s="3296"/>
      <c r="BB209" s="3297"/>
      <c r="BC209" s="3296"/>
      <c r="BD209" s="3298"/>
      <c r="BE209" s="3276"/>
      <c r="BF209" s="3281"/>
      <c r="BG209" s="3293">
        <v>38730</v>
      </c>
      <c r="BH209" s="3267" t="s">
        <v>2998</v>
      </c>
      <c r="BI209" s="3314" t="s">
        <v>3305</v>
      </c>
      <c r="BJ209" s="3283">
        <v>38764</v>
      </c>
      <c r="BK209" s="3283"/>
      <c r="BL209" s="3267" t="s">
        <v>3249</v>
      </c>
      <c r="BM209" s="3276" t="s">
        <v>2879</v>
      </c>
      <c r="BN209" s="3276" t="s">
        <v>2999</v>
      </c>
      <c r="BO209" s="3276" t="s">
        <v>4657</v>
      </c>
      <c r="BP209" s="3276"/>
      <c r="BQ209" s="3276" t="e">
        <v>#DIV/0!</v>
      </c>
      <c r="BR209" s="3276" t="e">
        <v>#DIV/0!</v>
      </c>
      <c r="BS209" s="3285"/>
      <c r="BT209" s="3285"/>
      <c r="BU209" s="3285"/>
    </row>
    <row r="210" spans="1:73" hidden="1">
      <c r="A210" s="3267" t="s">
        <v>4658</v>
      </c>
      <c r="B210" s="3267" t="s">
        <v>4659</v>
      </c>
      <c r="C210" s="3269" t="s">
        <v>4660</v>
      </c>
      <c r="D210" s="3267" t="s">
        <v>4661</v>
      </c>
      <c r="E210" s="3267" t="s">
        <v>2985</v>
      </c>
      <c r="F210" s="3267" t="s">
        <v>4662</v>
      </c>
      <c r="G210" s="3267"/>
      <c r="H210" s="3267" t="s">
        <v>3182</v>
      </c>
      <c r="I210" s="3267"/>
      <c r="J210" s="3267" t="s">
        <v>3493</v>
      </c>
      <c r="K210" s="3268" t="s">
        <v>4659</v>
      </c>
      <c r="L210" s="3286">
        <v>60.61</v>
      </c>
      <c r="M210" s="3267">
        <v>12</v>
      </c>
      <c r="N210" s="3267" t="s">
        <v>3122</v>
      </c>
      <c r="O210" s="3267"/>
      <c r="P210" s="3267" t="s">
        <v>2963</v>
      </c>
      <c r="Q210" s="3267">
        <v>430000</v>
      </c>
      <c r="R210" s="3267">
        <v>7095</v>
      </c>
      <c r="S210" s="3272">
        <v>38.25</v>
      </c>
      <c r="T210" s="3273">
        <v>382500</v>
      </c>
      <c r="U210" s="3267">
        <v>6311</v>
      </c>
      <c r="V210" s="3274">
        <v>0.05</v>
      </c>
      <c r="W210" s="3272">
        <v>36.33</v>
      </c>
      <c r="X210" s="3275">
        <v>363300</v>
      </c>
      <c r="Y210" s="3267">
        <v>2006</v>
      </c>
      <c r="Z210" s="3267">
        <v>2</v>
      </c>
      <c r="AA210" s="3276">
        <v>17</v>
      </c>
      <c r="AB210" s="3267">
        <v>1145</v>
      </c>
      <c r="AC210" s="3267" t="s">
        <v>3227</v>
      </c>
      <c r="AD210" s="3267"/>
      <c r="AE210" s="3294" t="s">
        <v>2991</v>
      </c>
      <c r="AF210" s="3267" t="s">
        <v>2966</v>
      </c>
      <c r="AG210" s="3267" t="s">
        <v>2967</v>
      </c>
      <c r="AH210" s="3267"/>
      <c r="AI210" s="3267" t="s">
        <v>3115</v>
      </c>
      <c r="AJ210" s="3315"/>
      <c r="AK210" s="3267" t="s">
        <v>3140</v>
      </c>
      <c r="AL210" s="3267">
        <v>82253558</v>
      </c>
      <c r="AM210" s="3267"/>
      <c r="AN210" s="3267" t="s">
        <v>4663</v>
      </c>
      <c r="AO210" s="3267" t="s">
        <v>2968</v>
      </c>
      <c r="AP210" s="3267" t="s">
        <v>3180</v>
      </c>
      <c r="AQ210" s="3267" t="s">
        <v>3113</v>
      </c>
      <c r="AR210" s="3267"/>
      <c r="AS210" s="3267"/>
      <c r="AT210" s="3267"/>
      <c r="AU210" s="3267"/>
      <c r="AV210" s="3267"/>
      <c r="AW210" s="3267" t="s">
        <v>2997</v>
      </c>
      <c r="AX210" s="3267"/>
      <c r="AY210" s="3269"/>
      <c r="AZ210" s="3267" t="s">
        <v>4664</v>
      </c>
      <c r="BA210" s="3267"/>
      <c r="BB210" s="3267"/>
      <c r="BC210" s="3267"/>
      <c r="BD210" s="3267"/>
      <c r="BE210" s="3267"/>
      <c r="BF210" s="3267"/>
      <c r="BG210" s="3307">
        <v>38730</v>
      </c>
      <c r="BH210" s="3267"/>
      <c r="BI210" s="3267" t="s">
        <v>2991</v>
      </c>
      <c r="BJ210" s="3283">
        <v>38764</v>
      </c>
      <c r="BK210" s="3283"/>
      <c r="BL210" s="3267" t="s">
        <v>2998</v>
      </c>
      <c r="BM210" s="3267" t="s">
        <v>3935</v>
      </c>
      <c r="BN210" s="3267" t="s">
        <v>2999</v>
      </c>
      <c r="BO210" s="3267" t="s">
        <v>3000</v>
      </c>
      <c r="BP210" s="3267"/>
      <c r="BQ210" s="3276" t="e">
        <v>#DIV/0!</v>
      </c>
      <c r="BR210" s="3276" t="e">
        <v>#DIV/0!</v>
      </c>
      <c r="BS210" s="3285"/>
      <c r="BT210" s="3285"/>
      <c r="BU210" s="3285"/>
    </row>
    <row r="211" spans="1:73" hidden="1">
      <c r="A211" s="3267" t="s">
        <v>4665</v>
      </c>
      <c r="B211" s="3267" t="s">
        <v>4666</v>
      </c>
      <c r="C211" s="3269" t="s">
        <v>4667</v>
      </c>
      <c r="D211" s="3269" t="s">
        <v>4668</v>
      </c>
      <c r="E211" s="3268" t="s">
        <v>2985</v>
      </c>
      <c r="F211" s="3268" t="s">
        <v>4306</v>
      </c>
      <c r="G211" s="3267"/>
      <c r="H211" s="3268" t="s">
        <v>3097</v>
      </c>
      <c r="I211" s="3268"/>
      <c r="J211" s="3267" t="s">
        <v>4669</v>
      </c>
      <c r="K211" s="3267" t="s">
        <v>4670</v>
      </c>
      <c r="L211" s="3267">
        <v>152.09</v>
      </c>
      <c r="M211" s="3267">
        <v>4</v>
      </c>
      <c r="N211" s="3267" t="s">
        <v>3129</v>
      </c>
      <c r="O211" s="3267">
        <v>120.49</v>
      </c>
      <c r="P211" s="3267" t="s">
        <v>2963</v>
      </c>
      <c r="Q211" s="3271">
        <v>850000</v>
      </c>
      <c r="R211" s="3267">
        <v>5589</v>
      </c>
      <c r="S211" s="3272">
        <v>91.04</v>
      </c>
      <c r="T211" s="3273">
        <v>910400.00000000012</v>
      </c>
      <c r="U211" s="3267">
        <v>5986</v>
      </c>
      <c r="V211" s="3289">
        <v>0.05</v>
      </c>
      <c r="W211" s="3272">
        <v>86.48</v>
      </c>
      <c r="X211" s="3275">
        <v>864800</v>
      </c>
      <c r="Y211" s="3276">
        <v>2006</v>
      </c>
      <c r="Z211" s="3276">
        <v>4</v>
      </c>
      <c r="AA211" s="3276">
        <v>11</v>
      </c>
      <c r="AB211" s="3267">
        <v>1500</v>
      </c>
      <c r="AC211" s="3267" t="s">
        <v>3521</v>
      </c>
      <c r="AD211" s="3267"/>
      <c r="AE211" s="3279" t="s">
        <v>3344</v>
      </c>
      <c r="AF211" s="3268" t="s">
        <v>2966</v>
      </c>
      <c r="AG211" s="3279" t="s">
        <v>2967</v>
      </c>
      <c r="AH211" s="3267"/>
      <c r="AI211" s="3279" t="s">
        <v>2992</v>
      </c>
      <c r="AJ211" s="3284"/>
      <c r="AK211" s="3278">
        <v>4</v>
      </c>
      <c r="AL211" s="3276">
        <v>67641700</v>
      </c>
      <c r="AM211" s="3276"/>
      <c r="AN211" s="3279" t="s">
        <v>3140</v>
      </c>
      <c r="AO211" s="3267"/>
      <c r="AP211" s="3279" t="s">
        <v>3305</v>
      </c>
      <c r="AQ211" s="3276" t="s">
        <v>3113</v>
      </c>
      <c r="AR211" s="3276"/>
      <c r="AS211" s="3276"/>
      <c r="AT211" s="3276"/>
      <c r="AU211" s="3276"/>
      <c r="AV211" s="3276"/>
      <c r="AW211" s="3276" t="s">
        <v>2997</v>
      </c>
      <c r="AX211" s="3276"/>
      <c r="AY211" s="3291"/>
      <c r="AZ211" s="3267" t="s">
        <v>4670</v>
      </c>
      <c r="BA211" s="3296"/>
      <c r="BB211" s="3297"/>
      <c r="BC211" s="3296"/>
      <c r="BD211" s="3298"/>
      <c r="BE211" s="3276"/>
      <c r="BF211" s="3281"/>
      <c r="BG211" s="3293">
        <v>38681</v>
      </c>
      <c r="BH211" s="3267" t="s">
        <v>2998</v>
      </c>
      <c r="BI211" s="3314" t="s">
        <v>3305</v>
      </c>
      <c r="BJ211" s="3283">
        <v>38764</v>
      </c>
      <c r="BK211" s="3283"/>
      <c r="BL211" s="3267" t="s">
        <v>3249</v>
      </c>
      <c r="BM211" s="3276" t="s">
        <v>2879</v>
      </c>
      <c r="BN211" s="3276" t="s">
        <v>2999</v>
      </c>
      <c r="BO211" s="3276" t="s">
        <v>3000</v>
      </c>
      <c r="BP211" s="3276"/>
      <c r="BQ211" s="3276">
        <v>7556</v>
      </c>
      <c r="BR211" s="3276">
        <v>7055</v>
      </c>
      <c r="BS211" s="3285"/>
      <c r="BT211" s="3285"/>
      <c r="BU211" s="3285"/>
    </row>
    <row r="212" spans="1:73" hidden="1">
      <c r="A212" s="3267" t="s">
        <v>4671</v>
      </c>
      <c r="B212" s="3267" t="s">
        <v>4672</v>
      </c>
      <c r="C212" s="3269" t="s">
        <v>4673</v>
      </c>
      <c r="D212" s="3267" t="s">
        <v>4674</v>
      </c>
      <c r="E212" s="3267" t="s">
        <v>2985</v>
      </c>
      <c r="F212" s="3267" t="s">
        <v>4675</v>
      </c>
      <c r="G212" s="3267"/>
      <c r="H212" s="3267" t="s">
        <v>3097</v>
      </c>
      <c r="I212" s="3267"/>
      <c r="J212" s="3267" t="s">
        <v>4507</v>
      </c>
      <c r="K212" s="3267" t="s">
        <v>4672</v>
      </c>
      <c r="L212" s="3267">
        <v>104.75</v>
      </c>
      <c r="M212" s="3267">
        <v>5</v>
      </c>
      <c r="N212" s="3267" t="s">
        <v>3122</v>
      </c>
      <c r="O212" s="3267"/>
      <c r="P212" s="3267" t="s">
        <v>2963</v>
      </c>
      <c r="Q212" s="3267">
        <v>640000</v>
      </c>
      <c r="R212" s="3267">
        <v>6110</v>
      </c>
      <c r="S212" s="3272">
        <v>59.75</v>
      </c>
      <c r="T212" s="3273">
        <v>597500</v>
      </c>
      <c r="U212" s="3267">
        <v>5705</v>
      </c>
      <c r="V212" s="3274">
        <v>0.05</v>
      </c>
      <c r="W212" s="3272">
        <v>56.76</v>
      </c>
      <c r="X212" s="3275">
        <v>567600</v>
      </c>
      <c r="Y212" s="3267">
        <v>2006</v>
      </c>
      <c r="Z212" s="3267">
        <v>4</v>
      </c>
      <c r="AA212" s="3276">
        <v>26</v>
      </c>
      <c r="AB212" s="3267">
        <v>1500</v>
      </c>
      <c r="AC212" s="3267" t="s">
        <v>3444</v>
      </c>
      <c r="AD212" s="3267"/>
      <c r="AE212" s="3276" t="s">
        <v>2991</v>
      </c>
      <c r="AF212" s="3267" t="s">
        <v>2966</v>
      </c>
      <c r="AG212" s="3267" t="s">
        <v>2967</v>
      </c>
      <c r="AH212" s="3267"/>
      <c r="AI212" s="3267" t="s">
        <v>3115</v>
      </c>
      <c r="AJ212" s="3284"/>
      <c r="AK212" s="3267" t="s">
        <v>2994</v>
      </c>
      <c r="AL212" s="3267">
        <v>82253558</v>
      </c>
      <c r="AM212" s="3267"/>
      <c r="AN212" s="3267" t="s">
        <v>2994</v>
      </c>
      <c r="AO212" s="3267" t="s">
        <v>2968</v>
      </c>
      <c r="AP212" s="3267" t="s">
        <v>3180</v>
      </c>
      <c r="AQ212" s="3267" t="s">
        <v>3228</v>
      </c>
      <c r="AR212" s="3267">
        <v>2006</v>
      </c>
      <c r="AS212" s="3267">
        <v>4</v>
      </c>
      <c r="AT212" s="3267">
        <v>26</v>
      </c>
      <c r="AU212" s="3267"/>
      <c r="AV212" s="3267"/>
      <c r="AW212" s="3267" t="s">
        <v>2997</v>
      </c>
      <c r="AX212" s="3267"/>
      <c r="AY212" s="3269"/>
      <c r="AZ212" s="3267" t="s">
        <v>4676</v>
      </c>
      <c r="BA212" s="3267"/>
      <c r="BB212" s="3267"/>
      <c r="BC212" s="3267"/>
      <c r="BD212" s="3267"/>
      <c r="BE212" s="3267" t="s">
        <v>4677</v>
      </c>
      <c r="BF212" s="3267"/>
      <c r="BG212" s="3307">
        <v>38756</v>
      </c>
      <c r="BH212" s="3267"/>
      <c r="BI212" s="3267" t="s">
        <v>2991</v>
      </c>
      <c r="BJ212" s="3299">
        <v>38764</v>
      </c>
      <c r="BK212" s="3283"/>
      <c r="BL212" s="3267" t="s">
        <v>2998</v>
      </c>
      <c r="BM212" s="3267" t="s">
        <v>2879</v>
      </c>
      <c r="BN212" s="3267" t="s">
        <v>2999</v>
      </c>
      <c r="BO212" s="3267" t="s">
        <v>3000</v>
      </c>
      <c r="BP212" s="3267"/>
      <c r="BQ212" s="3276" t="e">
        <v>#DIV/0!</v>
      </c>
      <c r="BR212" s="3276" t="e">
        <v>#DIV/0!</v>
      </c>
      <c r="BS212" s="3285"/>
      <c r="BT212" s="3285"/>
      <c r="BU212" s="3285"/>
    </row>
    <row r="213" spans="1:73">
      <c r="A213" s="3267" t="s">
        <v>4678</v>
      </c>
      <c r="B213" s="3267" t="s">
        <v>4679</v>
      </c>
      <c r="C213" s="3269" t="s">
        <v>4680</v>
      </c>
      <c r="D213" s="3269">
        <v>13521997666</v>
      </c>
      <c r="E213" s="3267" t="s">
        <v>2985</v>
      </c>
      <c r="F213" s="3308" t="s">
        <v>3350</v>
      </c>
      <c r="G213" s="3267"/>
      <c r="H213" s="3268" t="s">
        <v>4681</v>
      </c>
      <c r="I213" s="3268"/>
      <c r="J213" s="3269" t="s">
        <v>3311</v>
      </c>
      <c r="K213" s="3267" t="s">
        <v>4679</v>
      </c>
      <c r="L213" s="3286">
        <v>105.19</v>
      </c>
      <c r="M213" s="3267">
        <v>16</v>
      </c>
      <c r="N213" s="3267" t="s">
        <v>3116</v>
      </c>
      <c r="O213" s="3267"/>
      <c r="P213" s="3267" t="s">
        <v>2963</v>
      </c>
      <c r="Q213" s="3271">
        <v>670000</v>
      </c>
      <c r="R213" s="3267">
        <v>6369</v>
      </c>
      <c r="S213" s="3272">
        <v>59.15</v>
      </c>
      <c r="T213" s="3273">
        <v>591500</v>
      </c>
      <c r="U213" s="3267">
        <v>5624</v>
      </c>
      <c r="V213" s="3289">
        <v>0.05</v>
      </c>
      <c r="W213" s="3272">
        <v>56.19</v>
      </c>
      <c r="X213" s="3275">
        <v>561900</v>
      </c>
      <c r="Y213" s="3276">
        <v>2006</v>
      </c>
      <c r="Z213" s="3276">
        <v>2</v>
      </c>
      <c r="AA213" s="3294">
        <v>21</v>
      </c>
      <c r="AB213" s="3267">
        <v>1500</v>
      </c>
      <c r="AC213" s="3267" t="s">
        <v>3227</v>
      </c>
      <c r="AD213" s="3267"/>
      <c r="AE213" s="3276" t="s">
        <v>3344</v>
      </c>
      <c r="AF213" s="3267" t="s">
        <v>2966</v>
      </c>
      <c r="AG213" s="3279" t="s">
        <v>2967</v>
      </c>
      <c r="AH213" s="3267"/>
      <c r="AI213" s="3279" t="s">
        <v>2992</v>
      </c>
      <c r="AJ213" s="3284"/>
      <c r="AK213" s="3278">
        <v>2</v>
      </c>
      <c r="AL213" s="3276">
        <v>67641700</v>
      </c>
      <c r="AM213" s="3276"/>
      <c r="AN213" s="3279" t="s">
        <v>3114</v>
      </c>
      <c r="AO213" s="3276"/>
      <c r="AP213" s="3279" t="s">
        <v>3305</v>
      </c>
      <c r="AQ213" s="3276" t="s">
        <v>3113</v>
      </c>
      <c r="AR213" s="3276"/>
      <c r="AS213" s="3276"/>
      <c r="AT213" s="3276"/>
      <c r="AU213" s="3276"/>
      <c r="AV213" s="3276"/>
      <c r="AW213" s="3276" t="s">
        <v>2997</v>
      </c>
      <c r="AX213" s="3276"/>
      <c r="AY213" s="3291"/>
      <c r="AZ213" s="3276" t="s">
        <v>4682</v>
      </c>
      <c r="BA213" s="3276"/>
      <c r="BB213" s="3291"/>
      <c r="BC213" s="3276"/>
      <c r="BD213" s="3292"/>
      <c r="BE213" s="3276">
        <v>13146801415</v>
      </c>
      <c r="BF213" s="3281"/>
      <c r="BG213" s="3299">
        <v>38737</v>
      </c>
      <c r="BH213" s="3276" t="s">
        <v>2998</v>
      </c>
      <c r="BI213" s="3314" t="s">
        <v>3305</v>
      </c>
      <c r="BJ213" s="3283">
        <v>38765</v>
      </c>
      <c r="BK213" s="3299"/>
      <c r="BL213" s="3267" t="s">
        <v>3249</v>
      </c>
      <c r="BM213" s="3276" t="s">
        <v>2879</v>
      </c>
      <c r="BN213" s="3276" t="s">
        <v>2999</v>
      </c>
      <c r="BO213" s="3276" t="s">
        <v>3000</v>
      </c>
      <c r="BP213" s="3276"/>
      <c r="BQ213" s="3276" t="e">
        <v>#DIV/0!</v>
      </c>
      <c r="BR213" s="3276" t="e">
        <v>#DIV/0!</v>
      </c>
      <c r="BS213" s="3285"/>
      <c r="BT213" s="3285"/>
      <c r="BU213" s="3285"/>
    </row>
    <row r="214" spans="1:73" hidden="1">
      <c r="A214" s="3267" t="s">
        <v>4683</v>
      </c>
      <c r="B214" s="3267" t="s">
        <v>4684</v>
      </c>
      <c r="C214" s="3269" t="s">
        <v>4685</v>
      </c>
      <c r="D214" s="3268">
        <v>13521663834</v>
      </c>
      <c r="E214" s="3267" t="s">
        <v>2985</v>
      </c>
      <c r="F214" s="3267" t="s">
        <v>4686</v>
      </c>
      <c r="G214" s="3267"/>
      <c r="H214" s="3267"/>
      <c r="I214" s="3267" t="s">
        <v>3190</v>
      </c>
      <c r="J214" s="3269" t="s">
        <v>4687</v>
      </c>
      <c r="K214" s="3267" t="s">
        <v>4684</v>
      </c>
      <c r="L214" s="3286">
        <v>61.8</v>
      </c>
      <c r="M214" s="3267">
        <v>6</v>
      </c>
      <c r="N214" s="3267" t="s">
        <v>3122</v>
      </c>
      <c r="O214" s="3267"/>
      <c r="P214" s="3267" t="s">
        <v>2963</v>
      </c>
      <c r="Q214" s="3317">
        <v>390000</v>
      </c>
      <c r="R214" s="3267">
        <v>6311</v>
      </c>
      <c r="S214" s="3318">
        <v>33.97</v>
      </c>
      <c r="T214" s="3273">
        <v>339700</v>
      </c>
      <c r="U214" s="3317">
        <v>5498</v>
      </c>
      <c r="V214" s="3289">
        <v>0.05</v>
      </c>
      <c r="W214" s="3318">
        <v>32.270000000000003</v>
      </c>
      <c r="X214" s="3273">
        <v>322700</v>
      </c>
      <c r="Y214" s="3276">
        <v>2006</v>
      </c>
      <c r="Z214" s="3276">
        <v>2</v>
      </c>
      <c r="AA214" s="3276">
        <v>21</v>
      </c>
      <c r="AB214" s="3267">
        <v>1015</v>
      </c>
      <c r="AC214" s="3267" t="s">
        <v>3227</v>
      </c>
      <c r="AD214" s="3267"/>
      <c r="AE214" s="3276" t="s">
        <v>3304</v>
      </c>
      <c r="AF214" s="3267" t="s">
        <v>2966</v>
      </c>
      <c r="AG214" s="3267" t="s">
        <v>2967</v>
      </c>
      <c r="AH214" s="3267"/>
      <c r="AI214" s="3267" t="s">
        <v>3295</v>
      </c>
      <c r="AJ214" s="3290"/>
      <c r="AK214" s="3278" t="s">
        <v>3140</v>
      </c>
      <c r="AL214" s="3276">
        <v>67641700</v>
      </c>
      <c r="AM214" s="3267" t="s">
        <v>2968</v>
      </c>
      <c r="AN214" s="3267" t="s">
        <v>2994</v>
      </c>
      <c r="AO214" s="3267"/>
      <c r="AP214" s="3267" t="s">
        <v>3305</v>
      </c>
      <c r="AQ214" s="3267" t="s">
        <v>3113</v>
      </c>
      <c r="AR214" s="3276"/>
      <c r="AS214" s="3276"/>
      <c r="AT214" s="3267"/>
      <c r="AU214" s="3267"/>
      <c r="AV214" s="3267"/>
      <c r="AW214" s="3267" t="s">
        <v>3112</v>
      </c>
      <c r="AX214" s="3267"/>
      <c r="AY214" s="3267"/>
      <c r="AZ214" s="3267"/>
      <c r="BA214" s="3267"/>
      <c r="BB214" s="3267"/>
      <c r="BC214" s="3267"/>
      <c r="BD214" s="3267"/>
      <c r="BE214" s="3267"/>
      <c r="BF214" s="3267"/>
      <c r="BG214" s="3290">
        <v>38743</v>
      </c>
      <c r="BH214" s="3269"/>
      <c r="BI214" s="3276" t="s">
        <v>3487</v>
      </c>
      <c r="BJ214" s="3283">
        <v>38765</v>
      </c>
      <c r="BK214" s="3283"/>
      <c r="BL214" s="3267" t="s">
        <v>2998</v>
      </c>
      <c r="BM214" s="3267" t="s">
        <v>3345</v>
      </c>
      <c r="BN214" s="3267" t="s">
        <v>2999</v>
      </c>
      <c r="BO214" s="3267" t="s">
        <v>3000</v>
      </c>
      <c r="BP214" s="3267"/>
      <c r="BQ214" s="3276"/>
      <c r="BR214" s="3276"/>
      <c r="BS214" s="3285"/>
      <c r="BT214" s="3285"/>
      <c r="BU214" s="3285"/>
    </row>
    <row r="215" spans="1:73" hidden="1">
      <c r="A215" s="3267" t="s">
        <v>4688</v>
      </c>
      <c r="B215" s="3268" t="s">
        <v>4689</v>
      </c>
      <c r="C215" s="3269" t="s">
        <v>4690</v>
      </c>
      <c r="D215" s="3269" t="s">
        <v>4691</v>
      </c>
      <c r="E215" s="3267" t="s">
        <v>2985</v>
      </c>
      <c r="F215" s="3244" t="s">
        <v>4692</v>
      </c>
      <c r="G215" s="3267"/>
      <c r="H215" s="3267" t="s">
        <v>3139</v>
      </c>
      <c r="I215" s="3267"/>
      <c r="J215" s="3269" t="s">
        <v>4693</v>
      </c>
      <c r="K215" s="3267" t="s">
        <v>2968</v>
      </c>
      <c r="L215" s="3286">
        <v>59.32</v>
      </c>
      <c r="M215" s="3267">
        <v>9</v>
      </c>
      <c r="N215" s="3267" t="s">
        <v>3122</v>
      </c>
      <c r="O215" s="3267"/>
      <c r="P215" s="3267" t="s">
        <v>2963</v>
      </c>
      <c r="Q215" s="3271">
        <v>450000</v>
      </c>
      <c r="R215" s="3295">
        <v>7586</v>
      </c>
      <c r="S215" s="3272">
        <v>37.61</v>
      </c>
      <c r="T215" s="3273">
        <v>376100</v>
      </c>
      <c r="U215" s="3267">
        <v>6341</v>
      </c>
      <c r="V215" s="3289">
        <v>0.05</v>
      </c>
      <c r="W215" s="3272">
        <v>35.72</v>
      </c>
      <c r="X215" s="3275">
        <v>357200</v>
      </c>
      <c r="Y215" s="3267">
        <v>2006</v>
      </c>
      <c r="Z215" s="3267">
        <v>2</v>
      </c>
      <c r="AA215" s="3276">
        <v>21</v>
      </c>
      <c r="AB215" s="3295">
        <v>1125</v>
      </c>
      <c r="AC215" s="3267" t="s">
        <v>3227</v>
      </c>
      <c r="AD215" s="3267"/>
      <c r="AE215" s="3267" t="s">
        <v>3304</v>
      </c>
      <c r="AF215" s="3267" t="s">
        <v>2966</v>
      </c>
      <c r="AG215" s="3267" t="s">
        <v>2967</v>
      </c>
      <c r="AH215" s="3267"/>
      <c r="AI215" s="3267" t="s">
        <v>3295</v>
      </c>
      <c r="AJ215" s="3284"/>
      <c r="AK215" s="3278">
        <v>2</v>
      </c>
      <c r="AL215" s="3267">
        <v>67641700</v>
      </c>
      <c r="AM215" s="3276"/>
      <c r="AN215" s="3276" t="s">
        <v>3114</v>
      </c>
      <c r="AO215" s="3276"/>
      <c r="AP215" s="3267" t="s">
        <v>3305</v>
      </c>
      <c r="AQ215" s="3267" t="s">
        <v>3113</v>
      </c>
      <c r="AR215" s="3276"/>
      <c r="AS215" s="3276"/>
      <c r="AT215" s="3276"/>
      <c r="AU215" s="3276"/>
      <c r="AV215" s="3276"/>
      <c r="AW215" s="3295" t="s">
        <v>3112</v>
      </c>
      <c r="AX215" s="3276"/>
      <c r="AY215" s="3291"/>
      <c r="AZ215" s="3276" t="s">
        <v>2968</v>
      </c>
      <c r="BA215" s="3276"/>
      <c r="BB215" s="3291"/>
      <c r="BC215" s="3276"/>
      <c r="BD215" s="3292"/>
      <c r="BE215" s="3276"/>
      <c r="BF215" s="3281"/>
      <c r="BG215" s="3330">
        <v>38742</v>
      </c>
      <c r="BH215" s="3276"/>
      <c r="BI215" s="3267" t="s">
        <v>2979</v>
      </c>
      <c r="BJ215" s="3338">
        <v>38764</v>
      </c>
      <c r="BK215" s="3283"/>
      <c r="BL215" s="3267" t="s">
        <v>2998</v>
      </c>
      <c r="BM215" s="3267" t="s">
        <v>3935</v>
      </c>
      <c r="BN215" s="3267" t="s">
        <v>3111</v>
      </c>
      <c r="BO215" s="3267" t="s">
        <v>3000</v>
      </c>
      <c r="BP215" s="3276"/>
      <c r="BQ215" s="3276" t="e">
        <v>#DIV/0!</v>
      </c>
      <c r="BR215" s="3276" t="e">
        <v>#DIV/0!</v>
      </c>
      <c r="BS215" s="3285"/>
      <c r="BT215" s="3285"/>
      <c r="BU215" s="3285"/>
    </row>
    <row r="216" spans="1:73" hidden="1">
      <c r="A216" s="3267" t="s">
        <v>4694</v>
      </c>
      <c r="B216" s="3267" t="s">
        <v>4695</v>
      </c>
      <c r="C216" s="3269" t="s">
        <v>4696</v>
      </c>
      <c r="D216" s="3269" t="s">
        <v>4697</v>
      </c>
      <c r="E216" s="3267" t="s">
        <v>2985</v>
      </c>
      <c r="F216" s="3308" t="s">
        <v>3442</v>
      </c>
      <c r="G216" s="3267"/>
      <c r="H216" s="3268" t="s">
        <v>3139</v>
      </c>
      <c r="I216" s="3268" t="s">
        <v>3188</v>
      </c>
      <c r="J216" s="3269" t="s">
        <v>4698</v>
      </c>
      <c r="K216" s="3267" t="s">
        <v>4695</v>
      </c>
      <c r="L216" s="3267">
        <v>62.13</v>
      </c>
      <c r="M216" s="3267">
        <v>13</v>
      </c>
      <c r="N216" s="3267" t="s">
        <v>4699</v>
      </c>
      <c r="O216" s="3267"/>
      <c r="P216" s="3267" t="s">
        <v>2963</v>
      </c>
      <c r="Q216" s="3271">
        <v>405000</v>
      </c>
      <c r="R216" s="3267">
        <v>6519</v>
      </c>
      <c r="S216" s="3272">
        <v>38.29</v>
      </c>
      <c r="T216" s="3273">
        <v>382900</v>
      </c>
      <c r="U216" s="3267">
        <v>6164</v>
      </c>
      <c r="V216" s="3289">
        <v>0.05</v>
      </c>
      <c r="W216" s="3272">
        <v>36.369999999999997</v>
      </c>
      <c r="X216" s="3275">
        <v>363700</v>
      </c>
      <c r="Y216" s="3276">
        <v>2006</v>
      </c>
      <c r="Z216" s="3276">
        <v>3</v>
      </c>
      <c r="AA216" s="3276">
        <v>16</v>
      </c>
      <c r="AB216" s="3267">
        <v>1145</v>
      </c>
      <c r="AC216" s="3267" t="s">
        <v>3227</v>
      </c>
      <c r="AD216" s="3267"/>
      <c r="AE216" s="3276" t="s">
        <v>3537</v>
      </c>
      <c r="AF216" s="3267" t="s">
        <v>2966</v>
      </c>
      <c r="AG216" s="3279" t="s">
        <v>2967</v>
      </c>
      <c r="AH216" s="3267"/>
      <c r="AI216" s="3267" t="s">
        <v>2992</v>
      </c>
      <c r="AJ216" s="3284"/>
      <c r="AK216" s="3278">
        <v>3</v>
      </c>
      <c r="AL216" s="3276">
        <v>67641700</v>
      </c>
      <c r="AM216" s="3276"/>
      <c r="AN216" s="3279" t="s">
        <v>3114</v>
      </c>
      <c r="AO216" s="3276"/>
      <c r="AP216" s="3276" t="s">
        <v>3305</v>
      </c>
      <c r="AQ216" s="3267" t="s">
        <v>3228</v>
      </c>
      <c r="AR216" s="3276"/>
      <c r="AS216" s="3276"/>
      <c r="AT216" s="3276"/>
      <c r="AU216" s="3276"/>
      <c r="AV216" s="3276"/>
      <c r="AW216" s="3276" t="s">
        <v>3112</v>
      </c>
      <c r="AX216" s="3276"/>
      <c r="AY216" s="3291"/>
      <c r="AZ216" s="3267" t="s">
        <v>4700</v>
      </c>
      <c r="BA216" s="3276"/>
      <c r="BB216" s="3291"/>
      <c r="BC216" s="3276"/>
      <c r="BD216" s="3292"/>
      <c r="BE216" s="3276"/>
      <c r="BF216" s="3281"/>
      <c r="BG216" s="3299">
        <v>38762</v>
      </c>
      <c r="BH216" s="3276" t="s">
        <v>2998</v>
      </c>
      <c r="BI216" s="3314" t="s">
        <v>3305</v>
      </c>
      <c r="BJ216" s="3283">
        <v>38768</v>
      </c>
      <c r="BK216" s="3299"/>
      <c r="BL216" s="3267" t="s">
        <v>3249</v>
      </c>
      <c r="BM216" s="3276" t="s">
        <v>2879</v>
      </c>
      <c r="BN216" s="3276" t="s">
        <v>2999</v>
      </c>
      <c r="BO216" s="3276" t="s">
        <v>3446</v>
      </c>
      <c r="BP216" s="3276"/>
      <c r="BQ216" s="3276" t="e">
        <v>#DIV/0!</v>
      </c>
      <c r="BR216" s="3276" t="e">
        <v>#DIV/0!</v>
      </c>
      <c r="BS216" s="3285"/>
      <c r="BT216" s="3285"/>
      <c r="BU216" s="3285"/>
    </row>
    <row r="217" spans="1:73" hidden="1">
      <c r="A217" s="3267" t="s">
        <v>4701</v>
      </c>
      <c r="B217" s="3267" t="s">
        <v>4702</v>
      </c>
      <c r="C217" s="3267" t="s">
        <v>4703</v>
      </c>
      <c r="D217" s="3267">
        <v>13301261149</v>
      </c>
      <c r="E217" s="3267" t="s">
        <v>2985</v>
      </c>
      <c r="F217" s="3267" t="s">
        <v>3484</v>
      </c>
      <c r="G217" s="3267"/>
      <c r="H217" s="3267" t="s">
        <v>3118</v>
      </c>
      <c r="I217" s="3267"/>
      <c r="J217" s="3267" t="s">
        <v>4704</v>
      </c>
      <c r="K217" s="3267" t="s">
        <v>4702</v>
      </c>
      <c r="L217" s="3286">
        <v>71.69</v>
      </c>
      <c r="M217" s="3267">
        <v>5</v>
      </c>
      <c r="N217" s="3267" t="s">
        <v>3122</v>
      </c>
      <c r="O217" s="3267"/>
      <c r="P217" s="3267" t="s">
        <v>2963</v>
      </c>
      <c r="Q217" s="3267">
        <v>373000</v>
      </c>
      <c r="R217" s="3310">
        <v>5203</v>
      </c>
      <c r="S217" s="3311">
        <v>42.08</v>
      </c>
      <c r="T217" s="3312">
        <v>420800</v>
      </c>
      <c r="U217" s="3267">
        <v>5870</v>
      </c>
      <c r="V217" s="3289">
        <v>0.05</v>
      </c>
      <c r="W217" s="3272">
        <v>39.97</v>
      </c>
      <c r="X217" s="3312">
        <v>399700</v>
      </c>
      <c r="Y217" s="3267">
        <v>2006</v>
      </c>
      <c r="Z217" s="3267">
        <v>2</v>
      </c>
      <c r="AA217" s="3267">
        <v>22</v>
      </c>
      <c r="AB217" s="3295">
        <v>1260</v>
      </c>
      <c r="AC217" s="3267" t="s">
        <v>3521</v>
      </c>
      <c r="AD217" s="3267"/>
      <c r="AE217" s="3267" t="s">
        <v>3304</v>
      </c>
      <c r="AF217" s="3267" t="s">
        <v>2966</v>
      </c>
      <c r="AG217" s="3267" t="s">
        <v>2967</v>
      </c>
      <c r="AH217" s="3267"/>
      <c r="AI217" s="3267" t="s">
        <v>3295</v>
      </c>
      <c r="AJ217" s="3267"/>
      <c r="AK217" s="3267" t="s">
        <v>3140</v>
      </c>
      <c r="AL217" s="3267">
        <v>67641700</v>
      </c>
      <c r="AM217" s="3267"/>
      <c r="AN217" s="3267" t="s">
        <v>3114</v>
      </c>
      <c r="AO217" s="3267"/>
      <c r="AP217" s="3267" t="s">
        <v>3305</v>
      </c>
      <c r="AQ217" s="3267" t="s">
        <v>3113</v>
      </c>
      <c r="AR217" s="3267"/>
      <c r="AS217" s="3267"/>
      <c r="AT217" s="3267"/>
      <c r="AU217" s="3267"/>
      <c r="AV217" s="3267"/>
      <c r="AW217" s="3267" t="s">
        <v>3119</v>
      </c>
      <c r="AX217" s="3267"/>
      <c r="AY217" s="3267"/>
      <c r="AZ217" s="3267" t="s">
        <v>2968</v>
      </c>
      <c r="BA217" s="3267"/>
      <c r="BB217" s="3267"/>
      <c r="BC217" s="3267"/>
      <c r="BD217" s="3267"/>
      <c r="BE217" s="3267"/>
      <c r="BF217" s="3267"/>
      <c r="BG217" s="3307">
        <v>38756</v>
      </c>
      <c r="BH217" s="3267"/>
      <c r="BI217" s="3267" t="s">
        <v>4532</v>
      </c>
      <c r="BJ217" s="3307">
        <v>38758</v>
      </c>
      <c r="BK217" s="3267"/>
      <c r="BL217" s="3267" t="s">
        <v>2998</v>
      </c>
      <c r="BM217" s="3267" t="s">
        <v>2879</v>
      </c>
      <c r="BN217" s="3267" t="s">
        <v>2999</v>
      </c>
      <c r="BO217" s="3267" t="s">
        <v>3146</v>
      </c>
      <c r="BP217" s="3267"/>
      <c r="BQ217" s="3294" t="e">
        <v>#DIV/0!</v>
      </c>
      <c r="BR217" s="3294" t="e">
        <v>#DIV/0!</v>
      </c>
      <c r="BS217" s="3285"/>
      <c r="BT217" s="3285"/>
      <c r="BU217" s="3285"/>
    </row>
    <row r="218" spans="1:73" hidden="1">
      <c r="A218" s="3267" t="s">
        <v>4705</v>
      </c>
      <c r="B218" s="3267" t="s">
        <v>4706</v>
      </c>
      <c r="C218" s="3269" t="s">
        <v>4707</v>
      </c>
      <c r="D218" s="3269" t="s">
        <v>4708</v>
      </c>
      <c r="E218" s="3268" t="s">
        <v>2985</v>
      </c>
      <c r="F218" s="3268" t="s">
        <v>4709</v>
      </c>
      <c r="G218" s="3267"/>
      <c r="H218" s="3268" t="s">
        <v>3150</v>
      </c>
      <c r="I218" s="3268"/>
      <c r="J218" s="3267" t="s">
        <v>4710</v>
      </c>
      <c r="K218" s="3267" t="s">
        <v>4706</v>
      </c>
      <c r="L218" s="3286">
        <v>61.34</v>
      </c>
      <c r="M218" s="3267">
        <v>11</v>
      </c>
      <c r="N218" s="3267" t="s">
        <v>3152</v>
      </c>
      <c r="O218" s="3267">
        <v>49.33</v>
      </c>
      <c r="P218" s="3267" t="s">
        <v>2963</v>
      </c>
      <c r="Q218" s="3271">
        <v>312000</v>
      </c>
      <c r="R218" s="3267">
        <v>5086</v>
      </c>
      <c r="S218" s="3272">
        <v>26.98</v>
      </c>
      <c r="T218" s="3273">
        <v>269800</v>
      </c>
      <c r="U218" s="3267">
        <v>4400</v>
      </c>
      <c r="V218" s="3289">
        <v>0.05</v>
      </c>
      <c r="W218" s="3272">
        <v>25.63</v>
      </c>
      <c r="X218" s="3275">
        <v>256300</v>
      </c>
      <c r="Y218" s="3276">
        <v>2006</v>
      </c>
      <c r="Z218" s="3276">
        <v>2</v>
      </c>
      <c r="AA218" s="3294">
        <v>22</v>
      </c>
      <c r="AB218" s="3267">
        <v>805</v>
      </c>
      <c r="AC218" s="3267" t="s">
        <v>3227</v>
      </c>
      <c r="AD218" s="3267"/>
      <c r="AE218" s="3279" t="s">
        <v>3180</v>
      </c>
      <c r="AF218" s="3268" t="s">
        <v>2966</v>
      </c>
      <c r="AG218" s="3279" t="s">
        <v>2967</v>
      </c>
      <c r="AH218" s="3267" t="s">
        <v>4711</v>
      </c>
      <c r="AI218" s="3279" t="s">
        <v>2992</v>
      </c>
      <c r="AJ218" s="3284" t="s">
        <v>2968</v>
      </c>
      <c r="AK218" s="3278" t="s">
        <v>3140</v>
      </c>
      <c r="AL218" s="3276">
        <v>67641700</v>
      </c>
      <c r="AM218" s="3276"/>
      <c r="AN218" s="3279" t="s">
        <v>3114</v>
      </c>
      <c r="AO218" s="3267"/>
      <c r="AP218" s="3279" t="s">
        <v>3305</v>
      </c>
      <c r="AQ218" s="3276" t="s">
        <v>3113</v>
      </c>
      <c r="AR218" s="3276"/>
      <c r="AS218" s="3276"/>
      <c r="AT218" s="3276"/>
      <c r="AU218" s="3276"/>
      <c r="AV218" s="3276" t="s">
        <v>2968</v>
      </c>
      <c r="AW218" s="3276" t="s">
        <v>2997</v>
      </c>
      <c r="AX218" s="3276"/>
      <c r="AY218" s="3291"/>
      <c r="AZ218" s="3267" t="s">
        <v>4712</v>
      </c>
      <c r="BA218" s="3296"/>
      <c r="BB218" s="3297"/>
      <c r="BC218" s="3296"/>
      <c r="BD218" s="3298"/>
      <c r="BE218" s="3276"/>
      <c r="BF218" s="3281"/>
      <c r="BG218" s="3293">
        <v>38761</v>
      </c>
      <c r="BH218" s="3267" t="s">
        <v>2998</v>
      </c>
      <c r="BI218" s="3314" t="s">
        <v>3305</v>
      </c>
      <c r="BJ218" s="3283">
        <v>38768</v>
      </c>
      <c r="BK218" s="3283"/>
      <c r="BL218" s="3267" t="s">
        <v>3249</v>
      </c>
      <c r="BM218" s="3276" t="s">
        <v>2879</v>
      </c>
      <c r="BN218" s="3276" t="s">
        <v>3111</v>
      </c>
      <c r="BO218" s="3276" t="s">
        <v>3146</v>
      </c>
      <c r="BP218" s="3276"/>
      <c r="BQ218" s="3276">
        <v>5469</v>
      </c>
      <c r="BR218" s="3276">
        <v>6325</v>
      </c>
      <c r="BS218" s="3285"/>
      <c r="BT218" s="3285"/>
      <c r="BU218" s="3285"/>
    </row>
    <row r="219" spans="1:73" hidden="1">
      <c r="A219" s="3267" t="s">
        <v>4713</v>
      </c>
      <c r="B219" s="3268" t="s">
        <v>4714</v>
      </c>
      <c r="C219" s="3269" t="s">
        <v>4715</v>
      </c>
      <c r="D219" s="3268" t="s">
        <v>4716</v>
      </c>
      <c r="E219" s="3268" t="s">
        <v>2985</v>
      </c>
      <c r="F219" s="3268" t="s">
        <v>4717</v>
      </c>
      <c r="G219" s="3268"/>
      <c r="H219" s="3268" t="s">
        <v>3194</v>
      </c>
      <c r="I219" s="3268" t="s">
        <v>3431</v>
      </c>
      <c r="J219" s="3268" t="s">
        <v>2987</v>
      </c>
      <c r="K219" s="3268" t="s">
        <v>4714</v>
      </c>
      <c r="L219" s="3270">
        <v>54.53</v>
      </c>
      <c r="M219" s="3270">
        <v>3</v>
      </c>
      <c r="N219" s="3267" t="s">
        <v>3122</v>
      </c>
      <c r="O219" s="3270"/>
      <c r="P219" s="3267" t="s">
        <v>2963</v>
      </c>
      <c r="Q219" s="3271">
        <v>455000</v>
      </c>
      <c r="R219" s="3267">
        <v>8344</v>
      </c>
      <c r="S219" s="3272">
        <v>34.35</v>
      </c>
      <c r="T219" s="3273">
        <v>343500</v>
      </c>
      <c r="U219" s="3267">
        <v>6300</v>
      </c>
      <c r="V219" s="3289">
        <v>0.05</v>
      </c>
      <c r="W219" s="3272">
        <v>32.630000000000003</v>
      </c>
      <c r="X219" s="3275">
        <v>326300</v>
      </c>
      <c r="Y219" s="3294">
        <v>2006</v>
      </c>
      <c r="Z219" s="3276">
        <v>3</v>
      </c>
      <c r="AA219" s="3294">
        <v>1</v>
      </c>
      <c r="AB219" s="3267">
        <v>1030</v>
      </c>
      <c r="AC219" s="3267" t="s">
        <v>3227</v>
      </c>
      <c r="AD219" s="3268"/>
      <c r="AE219" s="3267" t="s">
        <v>3295</v>
      </c>
      <c r="AF219" s="3267" t="s">
        <v>2966</v>
      </c>
      <c r="AG219" s="3268" t="s">
        <v>2967</v>
      </c>
      <c r="AH219" s="3268"/>
      <c r="AI219" s="3279" t="s">
        <v>2992</v>
      </c>
      <c r="AJ219" s="3290"/>
      <c r="AK219" s="3278">
        <v>3</v>
      </c>
      <c r="AL219" s="3276">
        <v>67641700</v>
      </c>
      <c r="AM219" s="3276"/>
      <c r="AN219" s="3279" t="s">
        <v>3131</v>
      </c>
      <c r="AO219" s="3267"/>
      <c r="AP219" s="3279" t="s">
        <v>3305</v>
      </c>
      <c r="AQ219" s="3276" t="s">
        <v>3113</v>
      </c>
      <c r="AR219" s="3267"/>
      <c r="AS219" s="3267"/>
      <c r="AT219" s="3267"/>
      <c r="AU219" s="3267"/>
      <c r="AV219" s="3277"/>
      <c r="AW219" s="3276" t="s">
        <v>2997</v>
      </c>
      <c r="AX219" s="3276"/>
      <c r="AY219" s="3276" t="s">
        <v>2968</v>
      </c>
      <c r="AZ219" s="3267" t="s">
        <v>4718</v>
      </c>
      <c r="BA219" s="3296" t="s">
        <v>2968</v>
      </c>
      <c r="BB219" s="3297" t="s">
        <v>2968</v>
      </c>
      <c r="BC219" s="3296" t="s">
        <v>2968</v>
      </c>
      <c r="BD219" s="3298" t="s">
        <v>2968</v>
      </c>
      <c r="BE219" s="3276">
        <v>64271043</v>
      </c>
      <c r="BF219" s="3281" t="s">
        <v>2968</v>
      </c>
      <c r="BG219" s="3293">
        <v>38701</v>
      </c>
      <c r="BH219" s="3276" t="s">
        <v>2998</v>
      </c>
      <c r="BI219" s="3314" t="s">
        <v>3305</v>
      </c>
      <c r="BJ219" s="3283">
        <v>38769</v>
      </c>
      <c r="BK219" s="3284"/>
      <c r="BL219" s="3267" t="s">
        <v>3249</v>
      </c>
      <c r="BM219" s="3267" t="s">
        <v>2879</v>
      </c>
      <c r="BN219" s="3267" t="s">
        <v>2999</v>
      </c>
      <c r="BO219" s="3267" t="s">
        <v>3146</v>
      </c>
      <c r="BP219" s="3276"/>
      <c r="BQ219" s="3276" t="e">
        <v>#DIV/0!</v>
      </c>
      <c r="BR219" s="3276" t="e">
        <v>#DIV/0!</v>
      </c>
      <c r="BS219" s="3285"/>
      <c r="BT219" s="3285"/>
      <c r="BU219" s="3285"/>
    </row>
    <row r="220" spans="1:73" hidden="1">
      <c r="A220" s="3267" t="s">
        <v>4719</v>
      </c>
      <c r="B220" s="3267" t="s">
        <v>4720</v>
      </c>
      <c r="C220" s="3269" t="s">
        <v>4721</v>
      </c>
      <c r="D220" s="3269" t="s">
        <v>4722</v>
      </c>
      <c r="E220" s="3268" t="s">
        <v>2985</v>
      </c>
      <c r="F220" s="3268" t="s">
        <v>4723</v>
      </c>
      <c r="G220" s="3267"/>
      <c r="H220" s="3267" t="s">
        <v>4724</v>
      </c>
      <c r="I220" s="3268" t="s">
        <v>3458</v>
      </c>
      <c r="J220" s="3267" t="s">
        <v>3123</v>
      </c>
      <c r="K220" s="3267" t="s">
        <v>4720</v>
      </c>
      <c r="L220" s="3286">
        <v>74.849999999999994</v>
      </c>
      <c r="M220" s="3267">
        <v>4</v>
      </c>
      <c r="N220" s="3267" t="s">
        <v>3122</v>
      </c>
      <c r="O220" s="3267">
        <v>66.06</v>
      </c>
      <c r="P220" s="3267" t="s">
        <v>2963</v>
      </c>
      <c r="Q220" s="3271">
        <v>510000</v>
      </c>
      <c r="R220" s="3267">
        <v>6814</v>
      </c>
      <c r="S220" s="3272">
        <v>42.66</v>
      </c>
      <c r="T220" s="3273">
        <v>426599.99999999994</v>
      </c>
      <c r="U220" s="3267">
        <v>5700</v>
      </c>
      <c r="V220" s="3289">
        <v>0.05</v>
      </c>
      <c r="W220" s="3272">
        <v>40.520000000000003</v>
      </c>
      <c r="X220" s="3275">
        <v>405200.00000000006</v>
      </c>
      <c r="Y220" s="3276">
        <v>2006</v>
      </c>
      <c r="Z220" s="3276">
        <v>2</v>
      </c>
      <c r="AA220" s="3276">
        <v>23</v>
      </c>
      <c r="AB220" s="3267">
        <v>1275</v>
      </c>
      <c r="AC220" s="3267" t="s">
        <v>3227</v>
      </c>
      <c r="AD220" s="3267"/>
      <c r="AE220" s="3279" t="s">
        <v>3245</v>
      </c>
      <c r="AF220" s="3268" t="s">
        <v>2966</v>
      </c>
      <c r="AG220" s="3279" t="s">
        <v>2967</v>
      </c>
      <c r="AH220" s="3267"/>
      <c r="AI220" s="3279" t="s">
        <v>2992</v>
      </c>
      <c r="AJ220" s="3284"/>
      <c r="AK220" s="3278">
        <v>2</v>
      </c>
      <c r="AL220" s="3276">
        <v>67641700</v>
      </c>
      <c r="AM220" s="3276"/>
      <c r="AN220" s="3279" t="s">
        <v>3114</v>
      </c>
      <c r="AO220" s="3267" t="s">
        <v>2968</v>
      </c>
      <c r="AP220" s="3279" t="s">
        <v>3305</v>
      </c>
      <c r="AQ220" s="3276" t="s">
        <v>3113</v>
      </c>
      <c r="AR220" s="3276"/>
      <c r="AS220" s="3276"/>
      <c r="AT220" s="3276"/>
      <c r="AU220" s="3276"/>
      <c r="AV220" s="3276"/>
      <c r="AW220" s="3276" t="s">
        <v>2997</v>
      </c>
      <c r="AX220" s="3276"/>
      <c r="AY220" s="3291"/>
      <c r="AZ220" s="3267" t="s">
        <v>4725</v>
      </c>
      <c r="BA220" s="3296"/>
      <c r="BB220" s="3297"/>
      <c r="BC220" s="3296"/>
      <c r="BD220" s="3298"/>
      <c r="BE220" s="3276"/>
      <c r="BF220" s="3281"/>
      <c r="BG220" s="3293">
        <v>38739</v>
      </c>
      <c r="BH220" s="3267" t="s">
        <v>2998</v>
      </c>
      <c r="BI220" s="3314" t="s">
        <v>3305</v>
      </c>
      <c r="BJ220" s="3283">
        <v>38769</v>
      </c>
      <c r="BK220" s="3283"/>
      <c r="BL220" s="3267" t="s">
        <v>3249</v>
      </c>
      <c r="BM220" s="3276" t="s">
        <v>2879</v>
      </c>
      <c r="BN220" s="3276" t="s">
        <v>3111</v>
      </c>
      <c r="BO220" s="3276" t="s">
        <v>3146</v>
      </c>
      <c r="BP220" s="3276"/>
      <c r="BQ220" s="3276">
        <v>6458</v>
      </c>
      <c r="BR220" s="3276">
        <v>7720</v>
      </c>
      <c r="BS220" s="3285"/>
      <c r="BT220" s="3285"/>
      <c r="BU220" s="3285"/>
    </row>
    <row r="221" spans="1:73" hidden="1">
      <c r="A221" s="3267" t="s">
        <v>4726</v>
      </c>
      <c r="B221" s="3267" t="s">
        <v>4727</v>
      </c>
      <c r="C221" s="3269" t="s">
        <v>4728</v>
      </c>
      <c r="D221" s="3269">
        <v>13651157952</v>
      </c>
      <c r="E221" s="3268" t="s">
        <v>2985</v>
      </c>
      <c r="F221" s="3268" t="s">
        <v>4729</v>
      </c>
      <c r="G221" s="3267"/>
      <c r="H221" s="3267" t="s">
        <v>4341</v>
      </c>
      <c r="I221" s="3268"/>
      <c r="J221" s="3267" t="s">
        <v>4730</v>
      </c>
      <c r="K221" s="3267" t="s">
        <v>4727</v>
      </c>
      <c r="L221" s="3286">
        <v>121.86</v>
      </c>
      <c r="M221" s="3267">
        <v>10</v>
      </c>
      <c r="N221" s="3267" t="s">
        <v>3098</v>
      </c>
      <c r="O221" s="3267"/>
      <c r="P221" s="3267" t="s">
        <v>2963</v>
      </c>
      <c r="Q221" s="3271">
        <v>820000</v>
      </c>
      <c r="R221" s="3267">
        <v>6729</v>
      </c>
      <c r="S221" s="3272">
        <v>74</v>
      </c>
      <c r="T221" s="3273">
        <v>740000</v>
      </c>
      <c r="U221" s="3267">
        <v>6073</v>
      </c>
      <c r="V221" s="3289">
        <v>0.05</v>
      </c>
      <c r="W221" s="3272">
        <v>70.3</v>
      </c>
      <c r="X221" s="3275">
        <v>703000</v>
      </c>
      <c r="Y221" s="3276">
        <v>2006</v>
      </c>
      <c r="Z221" s="3276">
        <v>2</v>
      </c>
      <c r="AA221" s="3276">
        <v>24</v>
      </c>
      <c r="AB221" s="3267">
        <v>1500</v>
      </c>
      <c r="AC221" s="3267" t="s">
        <v>3227</v>
      </c>
      <c r="AD221" s="3267"/>
      <c r="AE221" s="3279" t="s">
        <v>3344</v>
      </c>
      <c r="AF221" s="3268" t="s">
        <v>2966</v>
      </c>
      <c r="AG221" s="3279" t="s">
        <v>2967</v>
      </c>
      <c r="AH221" s="3267"/>
      <c r="AI221" s="3279" t="s">
        <v>2992</v>
      </c>
      <c r="AJ221" s="3284"/>
      <c r="AK221" s="3278">
        <v>2</v>
      </c>
      <c r="AL221" s="3276">
        <v>67641700</v>
      </c>
      <c r="AM221" s="3276"/>
      <c r="AN221" s="3279" t="s">
        <v>3114</v>
      </c>
      <c r="AO221" s="3267"/>
      <c r="AP221" s="3279" t="s">
        <v>3305</v>
      </c>
      <c r="AQ221" s="3276" t="s">
        <v>3113</v>
      </c>
      <c r="AR221" s="3276"/>
      <c r="AS221" s="3276"/>
      <c r="AT221" s="3276"/>
      <c r="AU221" s="3276"/>
      <c r="AV221" s="3276"/>
      <c r="AW221" s="3276" t="s">
        <v>2997</v>
      </c>
      <c r="AX221" s="3276"/>
      <c r="AY221" s="3291"/>
      <c r="AZ221" s="3267" t="s">
        <v>4731</v>
      </c>
      <c r="BA221" s="3296"/>
      <c r="BB221" s="3297"/>
      <c r="BC221" s="3296"/>
      <c r="BD221" s="3298"/>
      <c r="BE221" s="3276"/>
      <c r="BF221" s="3281"/>
      <c r="BG221" s="3293">
        <v>38743</v>
      </c>
      <c r="BH221" s="3267" t="s">
        <v>2998</v>
      </c>
      <c r="BI221" s="3314" t="s">
        <v>3305</v>
      </c>
      <c r="BJ221" s="3283">
        <v>38770</v>
      </c>
      <c r="BK221" s="3283"/>
      <c r="BL221" s="3267" t="s">
        <v>3249</v>
      </c>
      <c r="BM221" s="3276" t="s">
        <v>2879</v>
      </c>
      <c r="BN221" s="3276" t="s">
        <v>2999</v>
      </c>
      <c r="BO221" s="3276" t="s">
        <v>3000</v>
      </c>
      <c r="BP221" s="3276"/>
      <c r="BQ221" s="3276" t="e">
        <v>#DIV/0!</v>
      </c>
      <c r="BR221" s="3276" t="e">
        <v>#DIV/0!</v>
      </c>
      <c r="BS221" s="3285"/>
      <c r="BT221" s="3285"/>
      <c r="BU221" s="3285"/>
    </row>
    <row r="222" spans="1:73" hidden="1">
      <c r="A222" s="3267" t="s">
        <v>4732</v>
      </c>
      <c r="B222" s="3267" t="s">
        <v>4733</v>
      </c>
      <c r="C222" s="3269" t="s">
        <v>4734</v>
      </c>
      <c r="D222" s="3269" t="s">
        <v>4735</v>
      </c>
      <c r="E222" s="3268" t="s">
        <v>2985</v>
      </c>
      <c r="F222" s="3268" t="s">
        <v>4736</v>
      </c>
      <c r="G222" s="3267"/>
      <c r="H222" s="3268" t="s">
        <v>4737</v>
      </c>
      <c r="I222" s="3268"/>
      <c r="J222" s="3267" t="s">
        <v>4738</v>
      </c>
      <c r="K222" s="3267" t="s">
        <v>4733</v>
      </c>
      <c r="L222" s="3286">
        <v>61.38</v>
      </c>
      <c r="M222" s="3267">
        <v>4</v>
      </c>
      <c r="N222" s="3267" t="s">
        <v>3122</v>
      </c>
      <c r="O222" s="3267"/>
      <c r="P222" s="3267" t="s">
        <v>2963</v>
      </c>
      <c r="Q222" s="3271">
        <v>230000</v>
      </c>
      <c r="R222" s="3267">
        <v>3747</v>
      </c>
      <c r="S222" s="3272">
        <v>19.64</v>
      </c>
      <c r="T222" s="3273">
        <v>196400</v>
      </c>
      <c r="U222" s="3267">
        <v>3200</v>
      </c>
      <c r="V222" s="3289">
        <v>0.05</v>
      </c>
      <c r="W222" s="3272">
        <v>18.649999999999999</v>
      </c>
      <c r="X222" s="3275">
        <v>186500</v>
      </c>
      <c r="Y222" s="3276">
        <v>2006</v>
      </c>
      <c r="Z222" s="3276">
        <v>2</v>
      </c>
      <c r="AA222" s="3276">
        <v>27</v>
      </c>
      <c r="AB222" s="3267">
        <v>585</v>
      </c>
      <c r="AC222" s="3267" t="s">
        <v>3227</v>
      </c>
      <c r="AD222" s="3267"/>
      <c r="AE222" s="3279" t="s">
        <v>3180</v>
      </c>
      <c r="AF222" s="3268" t="s">
        <v>2966</v>
      </c>
      <c r="AG222" s="3279" t="s">
        <v>2967</v>
      </c>
      <c r="AH222" s="3267"/>
      <c r="AI222" s="3279" t="s">
        <v>2992</v>
      </c>
      <c r="AJ222" s="3284"/>
      <c r="AK222" s="3278">
        <v>2</v>
      </c>
      <c r="AL222" s="3276">
        <v>67641700</v>
      </c>
      <c r="AM222" s="3276"/>
      <c r="AN222" s="3279" t="s">
        <v>2994</v>
      </c>
      <c r="AO222" s="3267"/>
      <c r="AP222" s="3279" t="s">
        <v>3305</v>
      </c>
      <c r="AQ222" s="3276" t="s">
        <v>3113</v>
      </c>
      <c r="AR222" s="3276"/>
      <c r="AS222" s="3276"/>
      <c r="AT222" s="3276"/>
      <c r="AU222" s="3276"/>
      <c r="AV222" s="3276"/>
      <c r="AW222" s="3276" t="s">
        <v>3112</v>
      </c>
      <c r="AX222" s="3276"/>
      <c r="AY222" s="3291"/>
      <c r="AZ222" s="3267" t="s">
        <v>4739</v>
      </c>
      <c r="BA222" s="3296"/>
      <c r="BB222" s="3297"/>
      <c r="BC222" s="3296"/>
      <c r="BD222" s="3298"/>
      <c r="BE222" s="3276"/>
      <c r="BF222" s="3281"/>
      <c r="BG222" s="3293">
        <v>38754</v>
      </c>
      <c r="BH222" s="3267" t="s">
        <v>2998</v>
      </c>
      <c r="BI222" s="3314" t="s">
        <v>3305</v>
      </c>
      <c r="BJ222" s="3283">
        <v>38770</v>
      </c>
      <c r="BK222" s="3283"/>
      <c r="BL222" s="3267" t="s">
        <v>3249</v>
      </c>
      <c r="BM222" s="3276" t="s">
        <v>2879</v>
      </c>
      <c r="BN222" s="3276" t="s">
        <v>3111</v>
      </c>
      <c r="BO222" s="3276" t="s">
        <v>3000</v>
      </c>
      <c r="BP222" s="3276"/>
      <c r="BQ222" s="3276" t="e">
        <v>#DIV/0!</v>
      </c>
      <c r="BR222" s="3276" t="e">
        <v>#DIV/0!</v>
      </c>
      <c r="BS222" s="3285"/>
      <c r="BT222" s="3285"/>
      <c r="BU222" s="3285"/>
    </row>
    <row r="223" spans="1:73" hidden="1">
      <c r="A223" s="3267" t="s">
        <v>4740</v>
      </c>
      <c r="B223" s="3267" t="s">
        <v>4741</v>
      </c>
      <c r="C223" s="3269" t="s">
        <v>4742</v>
      </c>
      <c r="D223" s="3269" t="s">
        <v>4743</v>
      </c>
      <c r="E223" s="3268" t="s">
        <v>2985</v>
      </c>
      <c r="F223" s="3268" t="s">
        <v>4589</v>
      </c>
      <c r="G223" s="3267"/>
      <c r="H223" s="3268" t="s">
        <v>4744</v>
      </c>
      <c r="I223" s="3268" t="s">
        <v>3608</v>
      </c>
      <c r="J223" s="3267" t="s">
        <v>3380</v>
      </c>
      <c r="K223" s="3267" t="s">
        <v>4745</v>
      </c>
      <c r="L223" s="3270">
        <v>66.33</v>
      </c>
      <c r="M223" s="3267">
        <v>3</v>
      </c>
      <c r="N223" s="3267" t="s">
        <v>3122</v>
      </c>
      <c r="O223" s="3267"/>
      <c r="P223" s="3267" t="s">
        <v>2963</v>
      </c>
      <c r="Q223" s="3271">
        <v>470000</v>
      </c>
      <c r="R223" s="3267">
        <v>7086</v>
      </c>
      <c r="S223" s="3272">
        <v>40.46</v>
      </c>
      <c r="T223" s="3273">
        <v>404600</v>
      </c>
      <c r="U223" s="3267">
        <v>6100</v>
      </c>
      <c r="V223" s="3289">
        <v>0.05</v>
      </c>
      <c r="W223" s="3272">
        <v>38.43</v>
      </c>
      <c r="X223" s="3275">
        <v>384300</v>
      </c>
      <c r="Y223" s="3276">
        <v>2006</v>
      </c>
      <c r="Z223" s="3276">
        <v>3</v>
      </c>
      <c r="AA223" s="3294">
        <v>9</v>
      </c>
      <c r="AB223" s="3267">
        <v>1210</v>
      </c>
      <c r="AC223" s="3267" t="s">
        <v>3480</v>
      </c>
      <c r="AD223" s="3267"/>
      <c r="AE223" s="3279" t="s">
        <v>3245</v>
      </c>
      <c r="AF223" s="3268" t="s">
        <v>2966</v>
      </c>
      <c r="AG223" s="3279" t="s">
        <v>2967</v>
      </c>
      <c r="AH223" s="3267"/>
      <c r="AI223" s="3279" t="s">
        <v>2992</v>
      </c>
      <c r="AJ223" s="3284"/>
      <c r="AK223" s="3278">
        <v>3</v>
      </c>
      <c r="AL223" s="3276">
        <v>67641700</v>
      </c>
      <c r="AM223" s="3276"/>
      <c r="AN223" s="3279" t="s">
        <v>3140</v>
      </c>
      <c r="AO223" s="3267"/>
      <c r="AP223" s="3279" t="s">
        <v>3305</v>
      </c>
      <c r="AQ223" s="3276" t="s">
        <v>3113</v>
      </c>
      <c r="AR223" s="3276"/>
      <c r="AS223" s="3276"/>
      <c r="AT223" s="3276"/>
      <c r="AU223" s="3276"/>
      <c r="AV223" s="3276"/>
      <c r="AW223" s="3276" t="s">
        <v>2997</v>
      </c>
      <c r="AX223" s="3276"/>
      <c r="AY223" s="3291"/>
      <c r="AZ223" s="3267" t="s">
        <v>4745</v>
      </c>
      <c r="BA223" s="3296"/>
      <c r="BB223" s="3297"/>
      <c r="BC223" s="3296"/>
      <c r="BD223" s="3298"/>
      <c r="BE223" s="3276"/>
      <c r="BF223" s="3281"/>
      <c r="BG223" s="3293">
        <v>38770</v>
      </c>
      <c r="BH223" s="3267" t="s">
        <v>2998</v>
      </c>
      <c r="BI223" s="3314" t="s">
        <v>3305</v>
      </c>
      <c r="BJ223" s="3283">
        <v>38771</v>
      </c>
      <c r="BK223" s="3283"/>
      <c r="BL223" s="3267" t="s">
        <v>3249</v>
      </c>
      <c r="BM223" s="3276" t="s">
        <v>2879</v>
      </c>
      <c r="BN223" s="3276" t="s">
        <v>3111</v>
      </c>
      <c r="BO223" s="3276" t="s">
        <v>3146</v>
      </c>
      <c r="BP223" s="3276"/>
      <c r="BQ223" s="3276" t="e">
        <v>#DIV/0!</v>
      </c>
      <c r="BR223" s="3276" t="e">
        <v>#DIV/0!</v>
      </c>
      <c r="BS223" s="3285"/>
      <c r="BT223" s="3285"/>
      <c r="BU223" s="3285"/>
    </row>
    <row r="224" spans="1:73" hidden="1">
      <c r="A224" s="3267" t="s">
        <v>4746</v>
      </c>
      <c r="B224" s="3267" t="s">
        <v>4747</v>
      </c>
      <c r="C224" s="3269" t="s">
        <v>4748</v>
      </c>
      <c r="D224" s="3267">
        <v>13366885651</v>
      </c>
      <c r="E224" s="3267" t="s">
        <v>2985</v>
      </c>
      <c r="F224" s="3267" t="s">
        <v>4227</v>
      </c>
      <c r="G224" s="3267"/>
      <c r="H224" s="3267" t="s">
        <v>3683</v>
      </c>
      <c r="I224" s="3267"/>
      <c r="J224" s="3267" t="s">
        <v>4749</v>
      </c>
      <c r="K224" s="3268" t="s">
        <v>4750</v>
      </c>
      <c r="L224" s="3267">
        <v>57.71</v>
      </c>
      <c r="M224" s="3267">
        <v>10</v>
      </c>
      <c r="N224" s="3267" t="s">
        <v>3122</v>
      </c>
      <c r="O224" s="3267"/>
      <c r="P224" s="3267" t="s">
        <v>2963</v>
      </c>
      <c r="Q224" s="3267">
        <v>415000</v>
      </c>
      <c r="R224" s="3267">
        <v>7191</v>
      </c>
      <c r="S224" s="3272">
        <v>37.06</v>
      </c>
      <c r="T224" s="3273">
        <v>370600</v>
      </c>
      <c r="U224" s="3267">
        <v>6422</v>
      </c>
      <c r="V224" s="3274">
        <v>0.05</v>
      </c>
      <c r="W224" s="3272">
        <v>35.200000000000003</v>
      </c>
      <c r="X224" s="3275">
        <v>352000</v>
      </c>
      <c r="Y224" s="3267">
        <v>2006</v>
      </c>
      <c r="Z224" s="3267">
        <v>3</v>
      </c>
      <c r="AA224" s="3276">
        <v>10</v>
      </c>
      <c r="AB224" s="3267">
        <v>1110</v>
      </c>
      <c r="AC224" s="3267" t="s">
        <v>3480</v>
      </c>
      <c r="AD224" s="3267"/>
      <c r="AE224" s="3276" t="s">
        <v>2991</v>
      </c>
      <c r="AF224" s="3267" t="s">
        <v>2966</v>
      </c>
      <c r="AG224" s="3267" t="s">
        <v>2967</v>
      </c>
      <c r="AH224" s="3267"/>
      <c r="AI224" s="3267" t="s">
        <v>3115</v>
      </c>
      <c r="AJ224" s="3284"/>
      <c r="AK224" s="3267" t="s">
        <v>3140</v>
      </c>
      <c r="AL224" s="3267">
        <v>82253558</v>
      </c>
      <c r="AM224" s="3267"/>
      <c r="AN224" s="3267" t="s">
        <v>2994</v>
      </c>
      <c r="AO224" s="3267" t="s">
        <v>2968</v>
      </c>
      <c r="AP224" s="3267" t="s">
        <v>3180</v>
      </c>
      <c r="AQ224" s="3267" t="s">
        <v>3228</v>
      </c>
      <c r="AR224" s="3267">
        <v>2006</v>
      </c>
      <c r="AS224" s="3267">
        <v>3</v>
      </c>
      <c r="AT224" s="3267">
        <v>10</v>
      </c>
      <c r="AU224" s="3267"/>
      <c r="AV224" s="3267"/>
      <c r="AW224" s="3267" t="s">
        <v>2997</v>
      </c>
      <c r="AX224" s="3267"/>
      <c r="AY224" s="3269"/>
      <c r="AZ224" s="3267" t="s">
        <v>4750</v>
      </c>
      <c r="BA224" s="3267"/>
      <c r="BB224" s="3267"/>
      <c r="BC224" s="3267"/>
      <c r="BD224" s="3267"/>
      <c r="BE224" s="3267">
        <v>13601031972</v>
      </c>
      <c r="BF224" s="3267"/>
      <c r="BG224" s="3299">
        <v>38771</v>
      </c>
      <c r="BH224" s="3267"/>
      <c r="BI224" s="3267" t="s">
        <v>2991</v>
      </c>
      <c r="BJ224" s="3283">
        <v>38772</v>
      </c>
      <c r="BK224" s="3283"/>
      <c r="BL224" s="3267" t="s">
        <v>2998</v>
      </c>
      <c r="BM224" s="3267" t="s">
        <v>2879</v>
      </c>
      <c r="BN224" s="3267" t="s">
        <v>2999</v>
      </c>
      <c r="BO224" s="3267" t="s">
        <v>3000</v>
      </c>
      <c r="BP224" s="3267"/>
      <c r="BQ224" s="3276" t="e">
        <v>#DIV/0!</v>
      </c>
      <c r="BR224" s="3276" t="e">
        <v>#DIV/0!</v>
      </c>
      <c r="BS224" s="3285"/>
      <c r="BT224" s="3285"/>
      <c r="BU224" s="3285"/>
    </row>
    <row r="225" spans="1:73" hidden="1">
      <c r="A225" s="3267" t="s">
        <v>4751</v>
      </c>
      <c r="B225" s="3267" t="s">
        <v>4752</v>
      </c>
      <c r="C225" s="3269" t="s">
        <v>4753</v>
      </c>
      <c r="D225" s="3269" t="s">
        <v>4754</v>
      </c>
      <c r="E225" s="3268" t="s">
        <v>2985</v>
      </c>
      <c r="F225" s="3268" t="s">
        <v>3309</v>
      </c>
      <c r="G225" s="3267"/>
      <c r="H225" s="3268" t="s">
        <v>4755</v>
      </c>
      <c r="I225" s="3268"/>
      <c r="J225" s="3267" t="s">
        <v>3512</v>
      </c>
      <c r="K225" s="3267" t="s">
        <v>4752</v>
      </c>
      <c r="L225" s="3270">
        <v>93.1</v>
      </c>
      <c r="M225" s="3267">
        <v>5</v>
      </c>
      <c r="N225" s="3267" t="s">
        <v>3122</v>
      </c>
      <c r="O225" s="3267"/>
      <c r="P225" s="3267" t="s">
        <v>2963</v>
      </c>
      <c r="Q225" s="3271">
        <v>478900</v>
      </c>
      <c r="R225" s="3267">
        <v>5144</v>
      </c>
      <c r="S225" s="3272">
        <v>50.31</v>
      </c>
      <c r="T225" s="3273">
        <v>503100</v>
      </c>
      <c r="U225" s="3267">
        <v>5404</v>
      </c>
      <c r="V225" s="3289">
        <v>0.05</v>
      </c>
      <c r="W225" s="3272">
        <v>47.79</v>
      </c>
      <c r="X225" s="3275">
        <v>477900</v>
      </c>
      <c r="Y225" s="3276">
        <v>2006</v>
      </c>
      <c r="Z225" s="3276">
        <v>3</v>
      </c>
      <c r="AA225" s="3294">
        <v>9</v>
      </c>
      <c r="AB225" s="3267">
        <v>1500</v>
      </c>
      <c r="AC225" s="3267" t="s">
        <v>3227</v>
      </c>
      <c r="AD225" s="3267"/>
      <c r="AE225" s="3279" t="s">
        <v>3344</v>
      </c>
      <c r="AF225" s="3268" t="s">
        <v>2966</v>
      </c>
      <c r="AG225" s="3279" t="s">
        <v>2967</v>
      </c>
      <c r="AH225" s="3267"/>
      <c r="AI225" s="3279" t="s">
        <v>2992</v>
      </c>
      <c r="AJ225" s="3284"/>
      <c r="AK225" s="3278">
        <v>3</v>
      </c>
      <c r="AL225" s="3276">
        <v>67641700</v>
      </c>
      <c r="AM225" s="3276"/>
      <c r="AN225" s="3279" t="s">
        <v>3140</v>
      </c>
      <c r="AO225" s="3267"/>
      <c r="AP225" s="3279" t="s">
        <v>3305</v>
      </c>
      <c r="AQ225" s="3276" t="s">
        <v>3113</v>
      </c>
      <c r="AR225" s="3276"/>
      <c r="AS225" s="3276"/>
      <c r="AT225" s="3276"/>
      <c r="AU225" s="3276"/>
      <c r="AV225" s="3276"/>
      <c r="AW225" s="3276" t="s">
        <v>2997</v>
      </c>
      <c r="AX225" s="3276"/>
      <c r="AY225" s="3291"/>
      <c r="AZ225" s="3267" t="s">
        <v>4756</v>
      </c>
      <c r="BA225" s="3296"/>
      <c r="BB225" s="3297"/>
      <c r="BC225" s="3296"/>
      <c r="BD225" s="3298"/>
      <c r="BE225" s="3276"/>
      <c r="BF225" s="3281"/>
      <c r="BG225" s="3293">
        <v>38771</v>
      </c>
      <c r="BH225" s="3267" t="s">
        <v>2998</v>
      </c>
      <c r="BI225" s="3314" t="s">
        <v>3305</v>
      </c>
      <c r="BJ225" s="3283">
        <v>38775</v>
      </c>
      <c r="BK225" s="3283"/>
      <c r="BL225" s="3267" t="s">
        <v>3249</v>
      </c>
      <c r="BM225" s="3276" t="s">
        <v>2879</v>
      </c>
      <c r="BN225" s="3276" t="s">
        <v>2999</v>
      </c>
      <c r="BO225" s="3276" t="s">
        <v>3000</v>
      </c>
      <c r="BP225" s="3276"/>
      <c r="BQ225" s="3276" t="e">
        <v>#DIV/0!</v>
      </c>
      <c r="BR225" s="3276" t="e">
        <v>#DIV/0!</v>
      </c>
      <c r="BS225" s="3285"/>
      <c r="BT225" s="3285"/>
      <c r="BU225" s="3285"/>
    </row>
    <row r="226" spans="1:73" hidden="1">
      <c r="A226" s="3267" t="s">
        <v>4757</v>
      </c>
      <c r="B226" s="3267" t="s">
        <v>4758</v>
      </c>
      <c r="C226" s="3269" t="s">
        <v>4759</v>
      </c>
      <c r="D226" s="3269" t="s">
        <v>4760</v>
      </c>
      <c r="E226" s="3268" t="s">
        <v>2985</v>
      </c>
      <c r="F226" s="3268" t="s">
        <v>4761</v>
      </c>
      <c r="G226" s="3267"/>
      <c r="H226" s="3267" t="s">
        <v>3118</v>
      </c>
      <c r="I226" s="3268"/>
      <c r="J226" s="3267" t="s">
        <v>3173</v>
      </c>
      <c r="K226" s="3267" t="s">
        <v>4762</v>
      </c>
      <c r="L226" s="3267">
        <v>102.59</v>
      </c>
      <c r="M226" s="3267">
        <v>2</v>
      </c>
      <c r="N226" s="3267" t="s">
        <v>3122</v>
      </c>
      <c r="O226" s="3267">
        <v>83.68</v>
      </c>
      <c r="P226" s="3267" t="s">
        <v>2963</v>
      </c>
      <c r="Q226" s="3271">
        <v>550000</v>
      </c>
      <c r="R226" s="3267">
        <v>5361</v>
      </c>
      <c r="S226" s="3272">
        <v>51.94</v>
      </c>
      <c r="T226" s="3273">
        <v>519400</v>
      </c>
      <c r="U226" s="3267">
        <v>5063</v>
      </c>
      <c r="V226" s="3289">
        <v>0.05</v>
      </c>
      <c r="W226" s="3272">
        <v>49.34</v>
      </c>
      <c r="X226" s="3275">
        <v>493400</v>
      </c>
      <c r="Y226" s="3276">
        <v>2006</v>
      </c>
      <c r="Z226" s="3276">
        <v>3</v>
      </c>
      <c r="AA226" s="3294">
        <v>24</v>
      </c>
      <c r="AB226" s="3267">
        <v>1500</v>
      </c>
      <c r="AC226" s="3267" t="s">
        <v>3227</v>
      </c>
      <c r="AD226" s="3267"/>
      <c r="AE226" s="3279" t="s">
        <v>3344</v>
      </c>
      <c r="AF226" s="3268" t="s">
        <v>2966</v>
      </c>
      <c r="AG226" s="3279" t="s">
        <v>2967</v>
      </c>
      <c r="AH226" s="3267"/>
      <c r="AI226" s="3279" t="s">
        <v>2992</v>
      </c>
      <c r="AJ226" s="3284"/>
      <c r="AK226" s="3278">
        <v>3</v>
      </c>
      <c r="AL226" s="3276">
        <v>67641700</v>
      </c>
      <c r="AM226" s="3276"/>
      <c r="AN226" s="3279" t="s">
        <v>2994</v>
      </c>
      <c r="AO226" s="3267" t="s">
        <v>2968</v>
      </c>
      <c r="AP226" s="3279" t="s">
        <v>3305</v>
      </c>
      <c r="AQ226" s="3267" t="s">
        <v>3228</v>
      </c>
      <c r="AR226" s="3276"/>
      <c r="AS226" s="3276"/>
      <c r="AT226" s="3276"/>
      <c r="AU226" s="3276"/>
      <c r="AV226" s="3276"/>
      <c r="AW226" s="3276" t="s">
        <v>2997</v>
      </c>
      <c r="AX226" s="3276"/>
      <c r="AY226" s="3291"/>
      <c r="AZ226" s="3267" t="s">
        <v>4762</v>
      </c>
      <c r="BA226" s="3296"/>
      <c r="BB226" s="3297"/>
      <c r="BC226" s="3296"/>
      <c r="BD226" s="3298"/>
      <c r="BE226" s="3276"/>
      <c r="BF226" s="3281"/>
      <c r="BG226" s="3293">
        <v>38775</v>
      </c>
      <c r="BH226" s="3267" t="s">
        <v>2998</v>
      </c>
      <c r="BI226" s="3314" t="s">
        <v>3305</v>
      </c>
      <c r="BJ226" s="3283">
        <v>38775</v>
      </c>
      <c r="BK226" s="3283"/>
      <c r="BL226" s="3267" t="s">
        <v>3249</v>
      </c>
      <c r="BM226" s="3276" t="s">
        <v>2879</v>
      </c>
      <c r="BN226" s="3276" t="s">
        <v>2999</v>
      </c>
      <c r="BO226" s="3276" t="s">
        <v>3000</v>
      </c>
      <c r="BP226" s="3276"/>
      <c r="BQ226" s="3276">
        <v>6207</v>
      </c>
      <c r="BR226" s="3276">
        <v>6573</v>
      </c>
      <c r="BS226" s="3285"/>
      <c r="BT226" s="3285"/>
      <c r="BU226" s="3285"/>
    </row>
    <row r="227" spans="1:73" hidden="1">
      <c r="A227" s="3267" t="s">
        <v>4763</v>
      </c>
      <c r="B227" s="3267" t="s">
        <v>4764</v>
      </c>
      <c r="C227" s="3269" t="s">
        <v>4765</v>
      </c>
      <c r="D227" s="3269" t="s">
        <v>4766</v>
      </c>
      <c r="E227" s="3267" t="s">
        <v>2985</v>
      </c>
      <c r="F227" s="3244" t="s">
        <v>4767</v>
      </c>
      <c r="G227" s="3267"/>
      <c r="H227" s="3267" t="s">
        <v>3244</v>
      </c>
      <c r="I227" s="3267"/>
      <c r="J227" s="3269" t="s">
        <v>4768</v>
      </c>
      <c r="K227" s="3267" t="s">
        <v>4764</v>
      </c>
      <c r="L227" s="3270">
        <v>55.12</v>
      </c>
      <c r="M227" s="3267">
        <v>8</v>
      </c>
      <c r="N227" s="3267" t="s">
        <v>3122</v>
      </c>
      <c r="O227" s="3267"/>
      <c r="P227" s="3267" t="s">
        <v>2963</v>
      </c>
      <c r="Q227" s="3271">
        <v>395000</v>
      </c>
      <c r="R227" s="3267">
        <v>7166</v>
      </c>
      <c r="S227" s="3272">
        <v>33.4</v>
      </c>
      <c r="T227" s="3273">
        <v>334000</v>
      </c>
      <c r="U227" s="3267">
        <v>6060</v>
      </c>
      <c r="V227" s="3289">
        <v>0.05</v>
      </c>
      <c r="W227" s="3272">
        <v>31.73</v>
      </c>
      <c r="X227" s="3275">
        <v>317300</v>
      </c>
      <c r="Y227" s="3276">
        <v>2006</v>
      </c>
      <c r="Z227" s="3276">
        <v>3</v>
      </c>
      <c r="AA227" s="3276">
        <v>1</v>
      </c>
      <c r="AB227" s="3267">
        <v>1000</v>
      </c>
      <c r="AC227" s="3267" t="s">
        <v>3227</v>
      </c>
      <c r="AD227" s="3267"/>
      <c r="AE227" s="3276" t="s">
        <v>3121</v>
      </c>
      <c r="AF227" s="3267" t="s">
        <v>2966</v>
      </c>
      <c r="AG227" s="3267" t="s">
        <v>2967</v>
      </c>
      <c r="AH227" s="3267"/>
      <c r="AI227" s="3267" t="s">
        <v>3245</v>
      </c>
      <c r="AJ227" s="3284"/>
      <c r="AK227" s="3316" t="s">
        <v>3114</v>
      </c>
      <c r="AL227" s="3276">
        <v>82253558</v>
      </c>
      <c r="AM227" s="3276"/>
      <c r="AN227" s="3276" t="s">
        <v>3131</v>
      </c>
      <c r="AO227" s="3276"/>
      <c r="AP227" s="3267" t="s">
        <v>3180</v>
      </c>
      <c r="AQ227" s="3267" t="s">
        <v>3113</v>
      </c>
      <c r="AR227" s="3276"/>
      <c r="AS227" s="3276"/>
      <c r="AT227" s="3276"/>
      <c r="AU227" s="3276"/>
      <c r="AV227" s="3276"/>
      <c r="AW227" s="3276" t="s">
        <v>3119</v>
      </c>
      <c r="AX227" s="3276"/>
      <c r="AY227" s="3291"/>
      <c r="AZ227" s="3276" t="s">
        <v>3222</v>
      </c>
      <c r="BA227" s="3276"/>
      <c r="BB227" s="3291"/>
      <c r="BC227" s="3276"/>
      <c r="BD227" s="3292"/>
      <c r="BE227" s="3276">
        <v>13011177891</v>
      </c>
      <c r="BF227" s="3281"/>
      <c r="BG227" s="3299">
        <v>38768</v>
      </c>
      <c r="BH227" s="3276"/>
      <c r="BI227" s="3276" t="s">
        <v>3537</v>
      </c>
      <c r="BJ227" s="3299">
        <v>38775</v>
      </c>
      <c r="BK227" s="3283"/>
      <c r="BL227" s="3267" t="s">
        <v>2998</v>
      </c>
      <c r="BM227" s="3276" t="s">
        <v>2879</v>
      </c>
      <c r="BN227" s="3276" t="s">
        <v>2999</v>
      </c>
      <c r="BO227" s="3276" t="s">
        <v>3146</v>
      </c>
      <c r="BP227" s="3276"/>
      <c r="BQ227" s="3276" t="e">
        <v>#DIV/0!</v>
      </c>
      <c r="BR227" s="3276" t="e">
        <v>#DIV/0!</v>
      </c>
      <c r="BS227" s="3285"/>
      <c r="BT227" s="3285"/>
      <c r="BU227" s="3285"/>
    </row>
    <row r="228" spans="1:73" hidden="1">
      <c r="A228" s="3267" t="s">
        <v>4769</v>
      </c>
      <c r="B228" s="3267" t="s">
        <v>4770</v>
      </c>
      <c r="C228" s="3269" t="s">
        <v>4771</v>
      </c>
      <c r="D228" s="3267">
        <v>13701214428</v>
      </c>
      <c r="E228" s="3267" t="s">
        <v>2985</v>
      </c>
      <c r="F228" s="3267" t="s">
        <v>4772</v>
      </c>
      <c r="G228" s="3267"/>
      <c r="H228" s="3267" t="s">
        <v>3182</v>
      </c>
      <c r="I228" s="3267"/>
      <c r="J228" s="3267" t="s">
        <v>4773</v>
      </c>
      <c r="K228" s="3268" t="s">
        <v>4774</v>
      </c>
      <c r="L228" s="3270">
        <v>65.53</v>
      </c>
      <c r="M228" s="3267">
        <v>3</v>
      </c>
      <c r="N228" s="3267" t="s">
        <v>3122</v>
      </c>
      <c r="O228" s="3267"/>
      <c r="P228" s="3267" t="s">
        <v>2963</v>
      </c>
      <c r="Q228" s="3267">
        <v>340000</v>
      </c>
      <c r="R228" s="3267">
        <v>5188</v>
      </c>
      <c r="S228" s="3272">
        <v>33.97</v>
      </c>
      <c r="T228" s="3273">
        <v>339700</v>
      </c>
      <c r="U228" s="3267">
        <v>5185</v>
      </c>
      <c r="V228" s="3274">
        <v>0.05</v>
      </c>
      <c r="W228" s="3272">
        <v>32.270000000000003</v>
      </c>
      <c r="X228" s="3275">
        <v>322700.00000000006</v>
      </c>
      <c r="Y228" s="3267">
        <v>2006</v>
      </c>
      <c r="Z228" s="3267">
        <v>3</v>
      </c>
      <c r="AA228" s="3276">
        <v>6</v>
      </c>
      <c r="AB228" s="3267">
        <v>1015</v>
      </c>
      <c r="AC228" s="3267" t="s">
        <v>3227</v>
      </c>
      <c r="AD228" s="3267"/>
      <c r="AE228" s="3279" t="s">
        <v>3304</v>
      </c>
      <c r="AF228" s="3267" t="s">
        <v>2966</v>
      </c>
      <c r="AG228" s="3267" t="s">
        <v>2967</v>
      </c>
      <c r="AH228" s="3267"/>
      <c r="AI228" s="3267" t="s">
        <v>3115</v>
      </c>
      <c r="AJ228" s="3315"/>
      <c r="AK228" s="3267" t="s">
        <v>3114</v>
      </c>
      <c r="AL228" s="3267">
        <v>82253558</v>
      </c>
      <c r="AM228" s="3267"/>
      <c r="AN228" s="3267" t="s">
        <v>3140</v>
      </c>
      <c r="AO228" s="3267" t="s">
        <v>2968</v>
      </c>
      <c r="AP228" s="3267" t="s">
        <v>3180</v>
      </c>
      <c r="AQ228" s="3267" t="s">
        <v>3113</v>
      </c>
      <c r="AR228" s="3267"/>
      <c r="AS228" s="3267"/>
      <c r="AT228" s="3267"/>
      <c r="AU228" s="3267"/>
      <c r="AV228" s="3267"/>
      <c r="AW228" s="3267" t="s">
        <v>2997</v>
      </c>
      <c r="AX228" s="3267"/>
      <c r="AY228" s="3269"/>
      <c r="AZ228" s="3267" t="s">
        <v>4774</v>
      </c>
      <c r="BA228" s="3267"/>
      <c r="BB228" s="3267"/>
      <c r="BC228" s="3267"/>
      <c r="BD228" s="3267"/>
      <c r="BE228" s="3267">
        <v>13520316028</v>
      </c>
      <c r="BF228" s="3267"/>
      <c r="BG228" s="3307">
        <v>38757</v>
      </c>
      <c r="BH228" s="3267"/>
      <c r="BI228" s="3267" t="s">
        <v>2991</v>
      </c>
      <c r="BJ228" s="3283">
        <v>38775</v>
      </c>
      <c r="BK228" s="3283"/>
      <c r="BL228" s="3267" t="s">
        <v>2998</v>
      </c>
      <c r="BM228" s="3267" t="s">
        <v>2879</v>
      </c>
      <c r="BN228" s="3267" t="s">
        <v>2999</v>
      </c>
      <c r="BO228" s="3267" t="s">
        <v>3000</v>
      </c>
      <c r="BP228" s="3267"/>
      <c r="BQ228" s="3276" t="e">
        <v>#DIV/0!</v>
      </c>
      <c r="BR228" s="3276" t="e">
        <v>#DIV/0!</v>
      </c>
      <c r="BS228" s="3285"/>
      <c r="BT228" s="3285"/>
      <c r="BU228" s="3285"/>
    </row>
    <row r="229" spans="1:73" hidden="1">
      <c r="A229" s="3267" t="s">
        <v>4775</v>
      </c>
      <c r="B229" s="3267" t="s">
        <v>4776</v>
      </c>
      <c r="C229" s="3269" t="s">
        <v>4777</v>
      </c>
      <c r="D229" s="3269" t="s">
        <v>4778</v>
      </c>
      <c r="E229" s="3268" t="s">
        <v>2985</v>
      </c>
      <c r="F229" s="3268" t="s">
        <v>4779</v>
      </c>
      <c r="G229" s="3267"/>
      <c r="H229" s="3268" t="s">
        <v>3244</v>
      </c>
      <c r="I229" s="3268"/>
      <c r="J229" s="3267" t="s">
        <v>4780</v>
      </c>
      <c r="K229" s="3267" t="s">
        <v>4781</v>
      </c>
      <c r="L229" s="3270">
        <v>90.59</v>
      </c>
      <c r="M229" s="3267">
        <v>1</v>
      </c>
      <c r="N229" s="3267" t="s">
        <v>3122</v>
      </c>
      <c r="O229" s="3267">
        <v>78.930000000000007</v>
      </c>
      <c r="P229" s="3267" t="s">
        <v>2963</v>
      </c>
      <c r="Q229" s="3271">
        <v>450000</v>
      </c>
      <c r="R229" s="3267">
        <v>4967</v>
      </c>
      <c r="S229" s="3272">
        <v>44.95</v>
      </c>
      <c r="T229" s="3273">
        <v>449500</v>
      </c>
      <c r="U229" s="3267">
        <v>4962</v>
      </c>
      <c r="V229" s="3289">
        <v>0.05</v>
      </c>
      <c r="W229" s="3272">
        <v>42.7</v>
      </c>
      <c r="X229" s="3275">
        <v>427000</v>
      </c>
      <c r="Y229" s="3276">
        <v>2006</v>
      </c>
      <c r="Z229" s="3276">
        <v>3</v>
      </c>
      <c r="AA229" s="3276">
        <v>16</v>
      </c>
      <c r="AB229" s="3267">
        <v>1345</v>
      </c>
      <c r="AC229" s="3267" t="s">
        <v>3480</v>
      </c>
      <c r="AD229" s="3267"/>
      <c r="AE229" s="3279" t="s">
        <v>3344</v>
      </c>
      <c r="AF229" s="3268" t="s">
        <v>2966</v>
      </c>
      <c r="AG229" s="3279" t="s">
        <v>2967</v>
      </c>
      <c r="AH229" s="3267"/>
      <c r="AI229" s="3279" t="s">
        <v>2992</v>
      </c>
      <c r="AJ229" s="3284"/>
      <c r="AK229" s="3278">
        <v>3</v>
      </c>
      <c r="AL229" s="3276">
        <v>67641700</v>
      </c>
      <c r="AM229" s="3276"/>
      <c r="AN229" s="3279" t="s">
        <v>3114</v>
      </c>
      <c r="AO229" s="3267" t="s">
        <v>2968</v>
      </c>
      <c r="AP229" s="3279" t="s">
        <v>3305</v>
      </c>
      <c r="AQ229" s="3276" t="s">
        <v>3113</v>
      </c>
      <c r="AR229" s="3276"/>
      <c r="AS229" s="3276"/>
      <c r="AT229" s="3276"/>
      <c r="AU229" s="3276"/>
      <c r="AV229" s="3276"/>
      <c r="AW229" s="3276" t="s">
        <v>2997</v>
      </c>
      <c r="AX229" s="3276"/>
      <c r="AY229" s="3291"/>
      <c r="AZ229" s="3267" t="s">
        <v>4781</v>
      </c>
      <c r="BA229" s="3296"/>
      <c r="BB229" s="3297"/>
      <c r="BC229" s="3296"/>
      <c r="BD229" s="3298"/>
      <c r="BE229" s="3276"/>
      <c r="BF229" s="3281"/>
      <c r="BG229" s="3293">
        <v>38771</v>
      </c>
      <c r="BH229" s="3267" t="s">
        <v>2998</v>
      </c>
      <c r="BI229" s="3314" t="s">
        <v>3305</v>
      </c>
      <c r="BJ229" s="3283">
        <v>38775</v>
      </c>
      <c r="BK229" s="3283"/>
      <c r="BL229" s="3267" t="s">
        <v>3249</v>
      </c>
      <c r="BM229" s="3276" t="s">
        <v>2879</v>
      </c>
      <c r="BN229" s="3276" t="s">
        <v>2999</v>
      </c>
      <c r="BO229" s="3276" t="s">
        <v>3000</v>
      </c>
      <c r="BP229" s="3276"/>
      <c r="BQ229" s="3276">
        <v>5695</v>
      </c>
      <c r="BR229" s="3276">
        <v>5701</v>
      </c>
      <c r="BS229" s="3285"/>
      <c r="BT229" s="3285"/>
      <c r="BU229" s="3285"/>
    </row>
    <row r="230" spans="1:73" hidden="1">
      <c r="A230" s="3267" t="s">
        <v>4782</v>
      </c>
      <c r="B230" s="3267" t="s">
        <v>4783</v>
      </c>
      <c r="C230" s="3269" t="s">
        <v>4784</v>
      </c>
      <c r="D230" s="3269" t="s">
        <v>4785</v>
      </c>
      <c r="E230" s="3268" t="s">
        <v>2985</v>
      </c>
      <c r="F230" s="3268" t="s">
        <v>4786</v>
      </c>
      <c r="G230" s="3267"/>
      <c r="H230" s="3268" t="s">
        <v>4724</v>
      </c>
      <c r="I230" s="3268"/>
      <c r="J230" s="3267" t="s">
        <v>2987</v>
      </c>
      <c r="K230" s="3267" t="s">
        <v>4783</v>
      </c>
      <c r="L230" s="3270">
        <v>136.63999999999999</v>
      </c>
      <c r="M230" s="3267">
        <v>3</v>
      </c>
      <c r="N230" s="3267" t="s">
        <v>3129</v>
      </c>
      <c r="O230" s="3267">
        <v>114.47</v>
      </c>
      <c r="P230" s="3267" t="s">
        <v>2963</v>
      </c>
      <c r="Q230" s="3271">
        <v>580000</v>
      </c>
      <c r="R230" s="3267">
        <v>4245</v>
      </c>
      <c r="S230" s="3272">
        <v>67.66</v>
      </c>
      <c r="T230" s="3273">
        <v>676600</v>
      </c>
      <c r="U230" s="3267">
        <v>4952</v>
      </c>
      <c r="V230" s="3289">
        <v>0.2</v>
      </c>
      <c r="W230" s="3272">
        <v>54.12</v>
      </c>
      <c r="X230" s="3275">
        <v>541200</v>
      </c>
      <c r="Y230" s="3276">
        <v>2006</v>
      </c>
      <c r="Z230" s="3276">
        <v>3</v>
      </c>
      <c r="AA230" s="3294">
        <v>3</v>
      </c>
      <c r="AB230" s="3267">
        <v>1500</v>
      </c>
      <c r="AC230" s="3267" t="s">
        <v>3110</v>
      </c>
      <c r="AD230" s="3267"/>
      <c r="AE230" s="3279" t="s">
        <v>3344</v>
      </c>
      <c r="AF230" s="3268" t="s">
        <v>2966</v>
      </c>
      <c r="AG230" s="3279" t="s">
        <v>2967</v>
      </c>
      <c r="AH230" s="3267" t="s">
        <v>4787</v>
      </c>
      <c r="AI230" s="3279" t="s">
        <v>2992</v>
      </c>
      <c r="AJ230" s="3284"/>
      <c r="AK230" s="3278">
        <v>3</v>
      </c>
      <c r="AL230" s="3276">
        <v>67641700</v>
      </c>
      <c r="AM230" s="3276"/>
      <c r="AN230" s="3279" t="s">
        <v>3131</v>
      </c>
      <c r="AO230" s="3267" t="s">
        <v>2968</v>
      </c>
      <c r="AP230" s="3279" t="s">
        <v>3305</v>
      </c>
      <c r="AQ230" s="3276" t="s">
        <v>3113</v>
      </c>
      <c r="AR230" s="3276"/>
      <c r="AS230" s="3276"/>
      <c r="AT230" s="3276"/>
      <c r="AU230" s="3276"/>
      <c r="AV230" s="3276"/>
      <c r="AW230" s="3276" t="s">
        <v>2997</v>
      </c>
      <c r="AX230" s="3276"/>
      <c r="AY230" s="3291"/>
      <c r="AZ230" s="3267" t="s">
        <v>4788</v>
      </c>
      <c r="BA230" s="3296"/>
      <c r="BB230" s="3297"/>
      <c r="BC230" s="3296"/>
      <c r="BD230" s="3298"/>
      <c r="BE230" s="3276"/>
      <c r="BF230" s="3281"/>
      <c r="BG230" s="3293">
        <v>38697</v>
      </c>
      <c r="BH230" s="3267" t="s">
        <v>2998</v>
      </c>
      <c r="BI230" s="3314" t="s">
        <v>3305</v>
      </c>
      <c r="BJ230" s="3283"/>
      <c r="BK230" s="3283"/>
      <c r="BL230" s="3267" t="s">
        <v>3249</v>
      </c>
      <c r="BM230" s="3276" t="s">
        <v>2879</v>
      </c>
      <c r="BN230" s="3276" t="s">
        <v>3111</v>
      </c>
      <c r="BO230" s="3276" t="s">
        <v>3000</v>
      </c>
      <c r="BP230" s="3276"/>
      <c r="BQ230" s="3276">
        <v>5911</v>
      </c>
      <c r="BR230" s="3276">
        <v>5067</v>
      </c>
      <c r="BS230" s="3285"/>
      <c r="BT230" s="3285"/>
      <c r="BU230" s="3285"/>
    </row>
    <row r="231" spans="1:73" hidden="1">
      <c r="A231" s="3267" t="s">
        <v>4789</v>
      </c>
      <c r="B231" s="3267" t="s">
        <v>4790</v>
      </c>
      <c r="C231" s="3269" t="s">
        <v>4791</v>
      </c>
      <c r="D231" s="3269" t="s">
        <v>4792</v>
      </c>
      <c r="E231" s="3268" t="s">
        <v>2985</v>
      </c>
      <c r="F231" s="3268" t="s">
        <v>3224</v>
      </c>
      <c r="G231" s="3267"/>
      <c r="H231" s="3268" t="s">
        <v>3124</v>
      </c>
      <c r="I231" s="3268"/>
      <c r="J231" s="3267" t="s">
        <v>4793</v>
      </c>
      <c r="K231" s="3267" t="s">
        <v>4790</v>
      </c>
      <c r="L231" s="3267">
        <v>97.78</v>
      </c>
      <c r="M231" s="3267">
        <v>3</v>
      </c>
      <c r="N231" s="3267" t="s">
        <v>3125</v>
      </c>
      <c r="O231" s="3267">
        <v>80.67</v>
      </c>
      <c r="P231" s="3267" t="s">
        <v>2963</v>
      </c>
      <c r="Q231" s="3271">
        <v>438000</v>
      </c>
      <c r="R231" s="3267">
        <v>4479</v>
      </c>
      <c r="S231" s="3272">
        <v>40.520000000000003</v>
      </c>
      <c r="T231" s="3273">
        <v>405200</v>
      </c>
      <c r="U231" s="3267">
        <v>4144</v>
      </c>
      <c r="V231" s="3289">
        <v>0.05</v>
      </c>
      <c r="W231" s="3272">
        <v>38.49</v>
      </c>
      <c r="X231" s="3275">
        <v>384900</v>
      </c>
      <c r="Y231" s="3276">
        <v>2006</v>
      </c>
      <c r="Z231" s="3276">
        <v>3</v>
      </c>
      <c r="AA231" s="3276">
        <v>20</v>
      </c>
      <c r="AB231" s="3267">
        <v>1215</v>
      </c>
      <c r="AC231" s="3267" t="s">
        <v>3444</v>
      </c>
      <c r="AD231" s="3267"/>
      <c r="AE231" s="3279" t="s">
        <v>3180</v>
      </c>
      <c r="AF231" s="3268" t="s">
        <v>2966</v>
      </c>
      <c r="AG231" s="3279" t="s">
        <v>2967</v>
      </c>
      <c r="AH231" s="3267"/>
      <c r="AI231" s="3279" t="s">
        <v>2992</v>
      </c>
      <c r="AJ231" s="3284"/>
      <c r="AK231" s="3278">
        <v>3</v>
      </c>
      <c r="AL231" s="3276">
        <v>67641700</v>
      </c>
      <c r="AM231" s="3276"/>
      <c r="AN231" s="3279" t="s">
        <v>2994</v>
      </c>
      <c r="AO231" s="3267"/>
      <c r="AP231" s="3279" t="s">
        <v>3305</v>
      </c>
      <c r="AQ231" s="3267" t="s">
        <v>3228</v>
      </c>
      <c r="AR231" s="3276"/>
      <c r="AS231" s="3276"/>
      <c r="AT231" s="3276"/>
      <c r="AU231" s="3276"/>
      <c r="AV231" s="3276"/>
      <c r="AW231" s="3276" t="s">
        <v>3171</v>
      </c>
      <c r="AX231" s="3276"/>
      <c r="AY231" s="3291"/>
      <c r="AZ231" s="3267" t="s">
        <v>4794</v>
      </c>
      <c r="BA231" s="3296"/>
      <c r="BB231" s="3297"/>
      <c r="BC231" s="3296"/>
      <c r="BD231" s="3298"/>
      <c r="BE231" s="3276"/>
      <c r="BF231" s="3281"/>
      <c r="BG231" s="3293">
        <v>38774</v>
      </c>
      <c r="BH231" s="3267" t="s">
        <v>2998</v>
      </c>
      <c r="BI231" s="3314" t="s">
        <v>3305</v>
      </c>
      <c r="BJ231" s="3283">
        <v>38776</v>
      </c>
      <c r="BK231" s="3283"/>
      <c r="BL231" s="3267" t="s">
        <v>3249</v>
      </c>
      <c r="BM231" s="3276" t="s">
        <v>2879</v>
      </c>
      <c r="BN231" s="3276" t="s">
        <v>2999</v>
      </c>
      <c r="BO231" s="3276" t="s">
        <v>3146</v>
      </c>
      <c r="BP231" s="3276"/>
      <c r="BQ231" s="3276">
        <v>5023</v>
      </c>
      <c r="BR231" s="3276">
        <v>5430</v>
      </c>
      <c r="BS231" s="3285"/>
      <c r="BT231" s="3285"/>
      <c r="BU231" s="3285"/>
    </row>
    <row r="232" spans="1:73" hidden="1">
      <c r="A232" s="3267" t="s">
        <v>4795</v>
      </c>
      <c r="B232" s="3267" t="s">
        <v>4796</v>
      </c>
      <c r="C232" s="3269" t="s">
        <v>4797</v>
      </c>
      <c r="D232" s="3267">
        <v>13501090492</v>
      </c>
      <c r="E232" s="3267" t="s">
        <v>2985</v>
      </c>
      <c r="F232" s="3267" t="s">
        <v>3764</v>
      </c>
      <c r="G232" s="3267"/>
      <c r="H232" s="3267" t="s">
        <v>4253</v>
      </c>
      <c r="I232" s="3267"/>
      <c r="J232" s="3267" t="s">
        <v>4798</v>
      </c>
      <c r="K232" s="3268" t="s">
        <v>4796</v>
      </c>
      <c r="L232" s="3270">
        <v>82.27</v>
      </c>
      <c r="M232" s="3267">
        <v>11</v>
      </c>
      <c r="N232" s="3267" t="s">
        <v>3152</v>
      </c>
      <c r="O232" s="3267"/>
      <c r="P232" s="3267" t="s">
        <v>2963</v>
      </c>
      <c r="Q232" s="3267">
        <v>452485</v>
      </c>
      <c r="R232" s="3267">
        <v>5500</v>
      </c>
      <c r="S232" s="3272">
        <v>50.85</v>
      </c>
      <c r="T232" s="3273">
        <v>508500</v>
      </c>
      <c r="U232" s="3267">
        <v>6182</v>
      </c>
      <c r="V232" s="3274">
        <v>0.05</v>
      </c>
      <c r="W232" s="3272">
        <v>48.3</v>
      </c>
      <c r="X232" s="3275">
        <v>483000</v>
      </c>
      <c r="Y232" s="3267">
        <v>2006</v>
      </c>
      <c r="Z232" s="3267">
        <v>3</v>
      </c>
      <c r="AA232" s="3276">
        <v>6</v>
      </c>
      <c r="AB232" s="3267">
        <v>1500</v>
      </c>
      <c r="AC232" s="3267" t="s">
        <v>3227</v>
      </c>
      <c r="AD232" s="3267"/>
      <c r="AE232" s="3279" t="s">
        <v>3304</v>
      </c>
      <c r="AF232" s="3267" t="s">
        <v>2966</v>
      </c>
      <c r="AG232" s="3267" t="s">
        <v>2967</v>
      </c>
      <c r="AH232" s="3267"/>
      <c r="AI232" s="3267" t="s">
        <v>3115</v>
      </c>
      <c r="AJ232" s="3315"/>
      <c r="AK232" s="3267" t="s">
        <v>3114</v>
      </c>
      <c r="AL232" s="3267">
        <v>82253558</v>
      </c>
      <c r="AM232" s="3267"/>
      <c r="AN232" s="3267" t="s">
        <v>3140</v>
      </c>
      <c r="AO232" s="3267" t="s">
        <v>2968</v>
      </c>
      <c r="AP232" s="3267" t="s">
        <v>3180</v>
      </c>
      <c r="AQ232" s="3267" t="s">
        <v>3113</v>
      </c>
      <c r="AR232" s="3267"/>
      <c r="AS232" s="3267"/>
      <c r="AT232" s="3267"/>
      <c r="AU232" s="3267"/>
      <c r="AV232" s="3267"/>
      <c r="AW232" s="3267" t="s">
        <v>2997</v>
      </c>
      <c r="AX232" s="3267"/>
      <c r="AY232" s="3269"/>
      <c r="AZ232" s="3267" t="s">
        <v>4799</v>
      </c>
      <c r="BA232" s="3267"/>
      <c r="BB232" s="3267"/>
      <c r="BC232" s="3267"/>
      <c r="BD232" s="3267"/>
      <c r="BE232" s="3267">
        <v>13520316028</v>
      </c>
      <c r="BF232" s="3267"/>
      <c r="BG232" s="3307">
        <v>38758</v>
      </c>
      <c r="BH232" s="3267"/>
      <c r="BI232" s="3267" t="s">
        <v>2991</v>
      </c>
      <c r="BJ232" s="3283">
        <v>38777</v>
      </c>
      <c r="BK232" s="3283"/>
      <c r="BL232" s="3267" t="s">
        <v>2998</v>
      </c>
      <c r="BM232" s="3267" t="s">
        <v>3128</v>
      </c>
      <c r="BN232" s="3267" t="s">
        <v>2999</v>
      </c>
      <c r="BO232" s="3267" t="s">
        <v>3000</v>
      </c>
      <c r="BP232" s="3267"/>
      <c r="BQ232" s="3276" t="e">
        <v>#DIV/0!</v>
      </c>
      <c r="BR232" s="3276" t="e">
        <v>#DIV/0!</v>
      </c>
      <c r="BS232" s="3285"/>
      <c r="BT232" s="3285"/>
      <c r="BU232" s="3285"/>
    </row>
    <row r="233" spans="1:73" hidden="1">
      <c r="A233" s="3267" t="s">
        <v>4800</v>
      </c>
      <c r="B233" s="3267" t="s">
        <v>4801</v>
      </c>
      <c r="C233" s="3267" t="s">
        <v>4802</v>
      </c>
      <c r="D233" s="3267">
        <v>13693546606</v>
      </c>
      <c r="E233" s="3267" t="s">
        <v>2985</v>
      </c>
      <c r="F233" s="3267" t="s">
        <v>4803</v>
      </c>
      <c r="G233" s="3267"/>
      <c r="H233" s="3267" t="s">
        <v>4804</v>
      </c>
      <c r="I233" s="3267" t="s">
        <v>3586</v>
      </c>
      <c r="J233" s="3267" t="s">
        <v>4805</v>
      </c>
      <c r="K233" s="3268" t="s">
        <v>4801</v>
      </c>
      <c r="L233" s="3270">
        <v>54.12</v>
      </c>
      <c r="M233" s="3267">
        <v>12</v>
      </c>
      <c r="N233" s="3267" t="s">
        <v>3122</v>
      </c>
      <c r="O233" s="3267"/>
      <c r="P233" s="3267" t="s">
        <v>2963</v>
      </c>
      <c r="Q233" s="3267">
        <v>300000</v>
      </c>
      <c r="R233" s="3267">
        <v>5543</v>
      </c>
      <c r="S233" s="3272">
        <v>32.729999999999997</v>
      </c>
      <c r="T233" s="3273">
        <v>327299.99999999994</v>
      </c>
      <c r="U233" s="3267">
        <v>6049</v>
      </c>
      <c r="V233" s="3274">
        <v>0.05</v>
      </c>
      <c r="W233" s="3272">
        <v>31.09</v>
      </c>
      <c r="X233" s="3275">
        <v>310900</v>
      </c>
      <c r="Y233" s="3267">
        <v>2006</v>
      </c>
      <c r="Z233" s="3267">
        <v>3</v>
      </c>
      <c r="AA233" s="3276">
        <v>6</v>
      </c>
      <c r="AB233" s="3267">
        <v>980</v>
      </c>
      <c r="AC233" s="3267" t="s">
        <v>3227</v>
      </c>
      <c r="AD233" s="3267"/>
      <c r="AE233" s="3294" t="s">
        <v>3304</v>
      </c>
      <c r="AF233" s="3267" t="s">
        <v>2966</v>
      </c>
      <c r="AG233" s="3267" t="s">
        <v>2967</v>
      </c>
      <c r="AH233" s="3267"/>
      <c r="AI233" s="3267" t="s">
        <v>2992</v>
      </c>
      <c r="AJ233" s="3315"/>
      <c r="AK233" s="3267" t="s">
        <v>3114</v>
      </c>
      <c r="AL233" s="3267">
        <v>67641700</v>
      </c>
      <c r="AM233" s="3267"/>
      <c r="AN233" s="3267" t="s">
        <v>3140</v>
      </c>
      <c r="AO233" s="3267"/>
      <c r="AP233" s="3267" t="s">
        <v>4806</v>
      </c>
      <c r="AQ233" s="3267" t="s">
        <v>3113</v>
      </c>
      <c r="AR233" s="3267"/>
      <c r="AS233" s="3267"/>
      <c r="AT233" s="3267"/>
      <c r="AU233" s="3267"/>
      <c r="AV233" s="3267"/>
      <c r="AW233" s="3267" t="s">
        <v>3171</v>
      </c>
      <c r="AX233" s="3267"/>
      <c r="AY233" s="3269"/>
      <c r="AZ233" s="3267" t="s">
        <v>4807</v>
      </c>
      <c r="BA233" s="3267"/>
      <c r="BB233" s="3267"/>
      <c r="BC233" s="3267"/>
      <c r="BD233" s="3267"/>
      <c r="BE233" s="3267"/>
      <c r="BF233" s="3267"/>
      <c r="BG233" s="3307">
        <v>38742</v>
      </c>
      <c r="BH233" s="3267"/>
      <c r="BI233" s="3267" t="s">
        <v>4806</v>
      </c>
      <c r="BJ233" s="3283">
        <v>38778</v>
      </c>
      <c r="BK233" s="3283"/>
      <c r="BL233" s="3267" t="s">
        <v>2998</v>
      </c>
      <c r="BM233" s="3267"/>
      <c r="BN233" s="3267"/>
      <c r="BO233" s="3267"/>
      <c r="BP233" s="3267"/>
      <c r="BQ233" s="3276" t="e">
        <v>#DIV/0!</v>
      </c>
      <c r="BR233" s="3276" t="e">
        <v>#DIV/0!</v>
      </c>
      <c r="BS233" s="3285"/>
      <c r="BT233" s="3285"/>
      <c r="BU233" s="3285"/>
    </row>
    <row r="234" spans="1:73">
      <c r="A234" s="3267" t="s">
        <v>4808</v>
      </c>
      <c r="B234" s="3267" t="s">
        <v>4809</v>
      </c>
      <c r="C234" s="3269" t="s">
        <v>4810</v>
      </c>
      <c r="D234" s="3269" t="s">
        <v>4811</v>
      </c>
      <c r="E234" s="3268" t="s">
        <v>2985</v>
      </c>
      <c r="F234" s="3268" t="s">
        <v>4812</v>
      </c>
      <c r="G234" s="3267"/>
      <c r="H234" s="3268" t="s">
        <v>4813</v>
      </c>
      <c r="I234" s="3268"/>
      <c r="J234" s="3267" t="s">
        <v>4144</v>
      </c>
      <c r="K234" s="3267" t="s">
        <v>4814</v>
      </c>
      <c r="L234" s="3267">
        <v>97.38</v>
      </c>
      <c r="M234" s="3267">
        <v>7</v>
      </c>
      <c r="N234" s="3267" t="s">
        <v>3098</v>
      </c>
      <c r="O234" s="3267"/>
      <c r="P234" s="3267" t="s">
        <v>2963</v>
      </c>
      <c r="Q234" s="3271">
        <v>695000</v>
      </c>
      <c r="R234" s="3267">
        <v>7137</v>
      </c>
      <c r="S234" s="3272">
        <v>61.84</v>
      </c>
      <c r="T234" s="3273">
        <v>618400</v>
      </c>
      <c r="U234" s="3267">
        <v>6351</v>
      </c>
      <c r="V234" s="3289">
        <v>0.05</v>
      </c>
      <c r="W234" s="3272">
        <v>58.74</v>
      </c>
      <c r="X234" s="3275">
        <v>587400</v>
      </c>
      <c r="Y234" s="3276">
        <v>2006</v>
      </c>
      <c r="Z234" s="3276">
        <v>3</v>
      </c>
      <c r="AA234" s="3276">
        <v>21</v>
      </c>
      <c r="AB234" s="3267">
        <v>1500</v>
      </c>
      <c r="AC234" s="3267" t="s">
        <v>3480</v>
      </c>
      <c r="AD234" s="3267"/>
      <c r="AE234" s="3279" t="s">
        <v>3344</v>
      </c>
      <c r="AF234" s="3268" t="s">
        <v>2966</v>
      </c>
      <c r="AG234" s="3279" t="s">
        <v>2967</v>
      </c>
      <c r="AH234" s="3267"/>
      <c r="AI234" s="3279" t="s">
        <v>2992</v>
      </c>
      <c r="AJ234" s="3284"/>
      <c r="AK234" s="3278">
        <v>3</v>
      </c>
      <c r="AL234" s="3276">
        <v>67641700</v>
      </c>
      <c r="AM234" s="3276"/>
      <c r="AN234" s="3279" t="s">
        <v>2994</v>
      </c>
      <c r="AO234" s="3267"/>
      <c r="AP234" s="3279" t="s">
        <v>3305</v>
      </c>
      <c r="AQ234" s="3267" t="s">
        <v>3228</v>
      </c>
      <c r="AR234" s="3276"/>
      <c r="AS234" s="3276"/>
      <c r="AT234" s="3276"/>
      <c r="AU234" s="3276"/>
      <c r="AV234" s="3276"/>
      <c r="AW234" s="3276" t="s">
        <v>2997</v>
      </c>
      <c r="AX234" s="3276" t="s">
        <v>2968</v>
      </c>
      <c r="AY234" s="3291"/>
      <c r="AZ234" s="3267" t="s">
        <v>4814</v>
      </c>
      <c r="BA234" s="3296"/>
      <c r="BB234" s="3297"/>
      <c r="BC234" s="3296"/>
      <c r="BD234" s="3298"/>
      <c r="BE234" s="3276"/>
      <c r="BF234" s="3281" t="s">
        <v>2968</v>
      </c>
      <c r="BG234" s="3293">
        <v>38775</v>
      </c>
      <c r="BH234" s="3267" t="s">
        <v>2998</v>
      </c>
      <c r="BI234" s="3314" t="s">
        <v>3305</v>
      </c>
      <c r="BJ234" s="3283">
        <v>38777</v>
      </c>
      <c r="BK234" s="3283"/>
      <c r="BL234" s="3267" t="s">
        <v>3249</v>
      </c>
      <c r="BM234" s="3276" t="s">
        <v>2879</v>
      </c>
      <c r="BN234" s="3276" t="s">
        <v>2999</v>
      </c>
      <c r="BO234" s="3276" t="s">
        <v>3146</v>
      </c>
      <c r="BP234" s="3276"/>
      <c r="BQ234" s="3276" t="e">
        <v>#DIV/0!</v>
      </c>
      <c r="BR234" s="3276" t="e">
        <v>#DIV/0!</v>
      </c>
      <c r="BS234" s="3285"/>
      <c r="BT234" s="3285"/>
      <c r="BU234" s="3285"/>
    </row>
    <row r="235" spans="1:73" hidden="1">
      <c r="A235" s="3267" t="s">
        <v>4815</v>
      </c>
      <c r="B235" s="3267" t="s">
        <v>4816</v>
      </c>
      <c r="C235" s="3269" t="s">
        <v>4817</v>
      </c>
      <c r="D235" s="3267">
        <v>13301213972</v>
      </c>
      <c r="E235" s="3267" t="s">
        <v>2985</v>
      </c>
      <c r="F235" s="3267" t="s">
        <v>4818</v>
      </c>
      <c r="G235" s="3267"/>
      <c r="H235" s="3267" t="s">
        <v>3159</v>
      </c>
      <c r="I235" s="3267" t="s">
        <v>3642</v>
      </c>
      <c r="J235" s="3267" t="s">
        <v>4819</v>
      </c>
      <c r="K235" s="3268" t="s">
        <v>4816</v>
      </c>
      <c r="L235" s="3270">
        <v>61.32</v>
      </c>
      <c r="M235" s="3267" t="s">
        <v>4820</v>
      </c>
      <c r="N235" s="3267" t="s">
        <v>3125</v>
      </c>
      <c r="O235" s="3267"/>
      <c r="P235" s="3267" t="s">
        <v>2963</v>
      </c>
      <c r="Q235" s="3267">
        <v>380000</v>
      </c>
      <c r="R235" s="3267">
        <v>6197</v>
      </c>
      <c r="S235" s="3272">
        <v>37.659999999999997</v>
      </c>
      <c r="T235" s="3273">
        <v>376599.99999999994</v>
      </c>
      <c r="U235" s="3267">
        <v>6142</v>
      </c>
      <c r="V235" s="3274">
        <v>0.05</v>
      </c>
      <c r="W235" s="3272">
        <v>35.770000000000003</v>
      </c>
      <c r="X235" s="3275">
        <v>357700.00000000006</v>
      </c>
      <c r="Y235" s="3267">
        <v>2006</v>
      </c>
      <c r="Z235" s="3267">
        <v>3</v>
      </c>
      <c r="AA235" s="3276">
        <v>7</v>
      </c>
      <c r="AB235" s="3267">
        <v>1125</v>
      </c>
      <c r="AC235" s="3267" t="s">
        <v>3227</v>
      </c>
      <c r="AD235" s="3267"/>
      <c r="AE235" s="3279" t="s">
        <v>3304</v>
      </c>
      <c r="AF235" s="3267" t="s">
        <v>2966</v>
      </c>
      <c r="AG235" s="3267" t="s">
        <v>2967</v>
      </c>
      <c r="AH235" s="3267"/>
      <c r="AI235" s="3267" t="s">
        <v>3115</v>
      </c>
      <c r="AJ235" s="3315"/>
      <c r="AK235" s="3267" t="s">
        <v>3114</v>
      </c>
      <c r="AL235" s="3267">
        <v>82253558</v>
      </c>
      <c r="AM235" s="3267"/>
      <c r="AN235" s="3267" t="s">
        <v>3140</v>
      </c>
      <c r="AO235" s="3267" t="s">
        <v>2968</v>
      </c>
      <c r="AP235" s="3267" t="s">
        <v>3180</v>
      </c>
      <c r="AQ235" s="3267" t="s">
        <v>3113</v>
      </c>
      <c r="AR235" s="3267"/>
      <c r="AS235" s="3267"/>
      <c r="AT235" s="3267"/>
      <c r="AU235" s="3267"/>
      <c r="AV235" s="3267"/>
      <c r="AW235" s="3267" t="s">
        <v>2997</v>
      </c>
      <c r="AX235" s="3267"/>
      <c r="AY235" s="3269"/>
      <c r="AZ235" s="3267" t="s">
        <v>4821</v>
      </c>
      <c r="BA235" s="3267"/>
      <c r="BB235" s="3267"/>
      <c r="BC235" s="3267"/>
      <c r="BD235" s="3267"/>
      <c r="BE235" s="3267">
        <v>13311198635</v>
      </c>
      <c r="BF235" s="3267"/>
      <c r="BG235" s="3307">
        <v>38778</v>
      </c>
      <c r="BH235" s="3267"/>
      <c r="BI235" s="3267" t="s">
        <v>2991</v>
      </c>
      <c r="BJ235" s="3283">
        <v>38778</v>
      </c>
      <c r="BK235" s="3283"/>
      <c r="BL235" s="3267" t="s">
        <v>2998</v>
      </c>
      <c r="BM235" s="3267" t="s">
        <v>2879</v>
      </c>
      <c r="BN235" s="3267" t="s">
        <v>3111</v>
      </c>
      <c r="BO235" s="3267" t="s">
        <v>3000</v>
      </c>
      <c r="BP235" s="3267"/>
      <c r="BQ235" s="3276" t="e">
        <v>#DIV/0!</v>
      </c>
      <c r="BR235" s="3276" t="e">
        <v>#DIV/0!</v>
      </c>
      <c r="BS235" s="3285"/>
      <c r="BT235" s="3285"/>
      <c r="BU235" s="3285"/>
    </row>
    <row r="236" spans="1:73" hidden="1">
      <c r="A236" s="3267" t="s">
        <v>4822</v>
      </c>
      <c r="B236" s="3267" t="s">
        <v>4823</v>
      </c>
      <c r="C236" s="3269" t="s">
        <v>4824</v>
      </c>
      <c r="D236" s="3269" t="s">
        <v>4825</v>
      </c>
      <c r="E236" s="3268" t="s">
        <v>2985</v>
      </c>
      <c r="F236" s="3268" t="s">
        <v>4826</v>
      </c>
      <c r="G236" s="3267"/>
      <c r="H236" s="3267" t="s">
        <v>3127</v>
      </c>
      <c r="I236" s="3268"/>
      <c r="J236" s="3267" t="s">
        <v>4827</v>
      </c>
      <c r="K236" s="3267" t="s">
        <v>4823</v>
      </c>
      <c r="L236" s="3267">
        <v>75.53</v>
      </c>
      <c r="M236" s="3267">
        <v>16</v>
      </c>
      <c r="N236" s="3267" t="s">
        <v>3122</v>
      </c>
      <c r="O236" s="3267"/>
      <c r="P236" s="3267" t="s">
        <v>2963</v>
      </c>
      <c r="Q236" s="3271">
        <v>305000</v>
      </c>
      <c r="R236" s="3267">
        <v>4038</v>
      </c>
      <c r="S236" s="3272">
        <v>32.44</v>
      </c>
      <c r="T236" s="3273">
        <v>324400</v>
      </c>
      <c r="U236" s="3267">
        <v>4295</v>
      </c>
      <c r="V236" s="3289">
        <v>0.05</v>
      </c>
      <c r="W236" s="3272">
        <v>30.81</v>
      </c>
      <c r="X236" s="3275">
        <v>308100</v>
      </c>
      <c r="Y236" s="3276">
        <v>2006</v>
      </c>
      <c r="Z236" s="3276">
        <v>5</v>
      </c>
      <c r="AA236" s="3276">
        <v>22</v>
      </c>
      <c r="AB236" s="3267">
        <v>970</v>
      </c>
      <c r="AC236" s="3267" t="s">
        <v>3227</v>
      </c>
      <c r="AD236" s="3267"/>
      <c r="AE236" s="3279" t="s">
        <v>3344</v>
      </c>
      <c r="AF236" s="3268" t="s">
        <v>2966</v>
      </c>
      <c r="AG236" s="3279" t="s">
        <v>2967</v>
      </c>
      <c r="AH236" s="3267"/>
      <c r="AI236" s="3279" t="s">
        <v>2992</v>
      </c>
      <c r="AJ236" s="3284"/>
      <c r="AK236" s="3278">
        <v>5</v>
      </c>
      <c r="AL236" s="3276">
        <v>67641700</v>
      </c>
      <c r="AM236" s="3276"/>
      <c r="AN236" s="3279" t="s">
        <v>3114</v>
      </c>
      <c r="AO236" s="3267"/>
      <c r="AP236" s="3279" t="s">
        <v>3305</v>
      </c>
      <c r="AQ236" s="3267" t="s">
        <v>3228</v>
      </c>
      <c r="AR236" s="3276"/>
      <c r="AS236" s="3276"/>
      <c r="AT236" s="3276"/>
      <c r="AU236" s="3276"/>
      <c r="AV236" s="3276"/>
      <c r="AW236" s="3276" t="s">
        <v>2997</v>
      </c>
      <c r="AX236" s="3276"/>
      <c r="AY236" s="3291"/>
      <c r="AZ236" s="3267" t="s">
        <v>4828</v>
      </c>
      <c r="BA236" s="3296"/>
      <c r="BB236" s="3297"/>
      <c r="BC236" s="3296"/>
      <c r="BD236" s="3298"/>
      <c r="BE236" s="3276"/>
      <c r="BF236" s="3281"/>
      <c r="BG236" s="3293">
        <v>38775</v>
      </c>
      <c r="BH236" s="3267" t="s">
        <v>2998</v>
      </c>
      <c r="BI236" s="3314" t="s">
        <v>3305</v>
      </c>
      <c r="BJ236" s="3283">
        <v>38779</v>
      </c>
      <c r="BK236" s="3283"/>
      <c r="BL236" s="3267" t="s">
        <v>3249</v>
      </c>
      <c r="BM236" s="3276" t="s">
        <v>2879</v>
      </c>
      <c r="BN236" s="3276" t="s">
        <v>2999</v>
      </c>
      <c r="BO236" s="3276" t="s">
        <v>3146</v>
      </c>
      <c r="BP236" s="3276"/>
      <c r="BQ236" s="3276" t="e">
        <v>#DIV/0!</v>
      </c>
      <c r="BR236" s="3276" t="e">
        <v>#DIV/0!</v>
      </c>
      <c r="BS236" s="3285"/>
      <c r="BT236" s="3285"/>
      <c r="BU236" s="3285"/>
    </row>
    <row r="237" spans="1:73" hidden="1">
      <c r="A237" s="3268" t="s">
        <v>4829</v>
      </c>
      <c r="B237" s="3267" t="s">
        <v>4830</v>
      </c>
      <c r="C237" s="3269" t="s">
        <v>4831</v>
      </c>
      <c r="D237" s="3269" t="s">
        <v>4832</v>
      </c>
      <c r="E237" s="3267" t="s">
        <v>2985</v>
      </c>
      <c r="F237" s="3308" t="s">
        <v>4833</v>
      </c>
      <c r="G237" s="3267"/>
      <c r="H237" s="3267" t="s">
        <v>4834</v>
      </c>
      <c r="I237" s="3267" t="s">
        <v>3586</v>
      </c>
      <c r="J237" s="3269" t="s">
        <v>4835</v>
      </c>
      <c r="K237" s="3267" t="s">
        <v>2968</v>
      </c>
      <c r="L237" s="3270">
        <v>132.08000000000001</v>
      </c>
      <c r="M237" s="3267">
        <v>2</v>
      </c>
      <c r="N237" s="3268" t="s">
        <v>3129</v>
      </c>
      <c r="O237" s="3267"/>
      <c r="P237" s="3267" t="s">
        <v>2963</v>
      </c>
      <c r="Q237" s="3271">
        <v>620000</v>
      </c>
      <c r="R237" s="3267">
        <v>4694</v>
      </c>
      <c r="S237" s="3272">
        <v>61.76</v>
      </c>
      <c r="T237" s="3273">
        <v>617600</v>
      </c>
      <c r="U237" s="3267">
        <v>4676</v>
      </c>
      <c r="V237" s="3289">
        <v>0.05</v>
      </c>
      <c r="W237" s="3272">
        <v>58.67</v>
      </c>
      <c r="X237" s="3275">
        <v>586700</v>
      </c>
      <c r="Y237" s="3276">
        <v>2006</v>
      </c>
      <c r="Z237" s="3276">
        <v>3</v>
      </c>
      <c r="AA237" s="3276">
        <v>7</v>
      </c>
      <c r="AB237" s="3267">
        <v>1500</v>
      </c>
      <c r="AC237" s="3267" t="s">
        <v>3227</v>
      </c>
      <c r="AD237" s="3267"/>
      <c r="AE237" s="3276" t="s">
        <v>3304</v>
      </c>
      <c r="AF237" s="3267" t="s">
        <v>2966</v>
      </c>
      <c r="AG237" s="3267" t="s">
        <v>2967</v>
      </c>
      <c r="AH237" s="3267"/>
      <c r="AI237" s="3267" t="s">
        <v>3295</v>
      </c>
      <c r="AJ237" s="3284"/>
      <c r="AK237" s="3278">
        <v>3</v>
      </c>
      <c r="AL237" s="3276">
        <v>67641700</v>
      </c>
      <c r="AM237" s="3276"/>
      <c r="AN237" s="3279" t="s">
        <v>3140</v>
      </c>
      <c r="AO237" s="3276"/>
      <c r="AP237" s="3276" t="s">
        <v>3305</v>
      </c>
      <c r="AQ237" s="3276" t="s">
        <v>3113</v>
      </c>
      <c r="AR237" s="3276"/>
      <c r="AS237" s="3276"/>
      <c r="AT237" s="3276"/>
      <c r="AU237" s="3276"/>
      <c r="AV237" s="3276"/>
      <c r="AW237" s="3267" t="s">
        <v>3171</v>
      </c>
      <c r="AX237" s="3276"/>
      <c r="AY237" s="3291"/>
      <c r="AZ237" s="3276"/>
      <c r="BA237" s="3276"/>
      <c r="BB237" s="3291"/>
      <c r="BC237" s="3276"/>
      <c r="BD237" s="3292"/>
      <c r="BE237" s="3276"/>
      <c r="BF237" s="3281"/>
      <c r="BG237" s="3299">
        <v>38774</v>
      </c>
      <c r="BH237" s="3276"/>
      <c r="BI237" s="3267" t="s">
        <v>2979</v>
      </c>
      <c r="BJ237" s="3299">
        <v>38779</v>
      </c>
      <c r="BK237" s="3283"/>
      <c r="BL237" s="3267" t="s">
        <v>2998</v>
      </c>
      <c r="BM237" s="3276" t="s">
        <v>2879</v>
      </c>
      <c r="BN237" s="3276" t="s">
        <v>2999</v>
      </c>
      <c r="BO237" s="3276" t="s">
        <v>3146</v>
      </c>
      <c r="BP237" s="3276"/>
      <c r="BQ237" s="3276" t="e">
        <v>#DIV/0!</v>
      </c>
      <c r="BR237" s="3276" t="e">
        <v>#DIV/0!</v>
      </c>
      <c r="BS237" s="3285"/>
      <c r="BT237" s="3285"/>
      <c r="BU237" s="3285"/>
    </row>
    <row r="238" spans="1:73" hidden="1">
      <c r="A238" s="3267" t="s">
        <v>4836</v>
      </c>
      <c r="B238" s="3267" t="s">
        <v>4837</v>
      </c>
      <c r="C238" s="3269" t="s">
        <v>4838</v>
      </c>
      <c r="D238" s="3269" t="s">
        <v>4839</v>
      </c>
      <c r="E238" s="3267" t="s">
        <v>2985</v>
      </c>
      <c r="F238" s="3308" t="s">
        <v>3286</v>
      </c>
      <c r="G238" s="3267"/>
      <c r="H238" s="3267" t="s">
        <v>3194</v>
      </c>
      <c r="I238" s="3268"/>
      <c r="J238" s="3269" t="s">
        <v>4840</v>
      </c>
      <c r="K238" s="3267" t="s">
        <v>4841</v>
      </c>
      <c r="L238" s="3270">
        <v>79.63</v>
      </c>
      <c r="M238" s="3267">
        <v>8</v>
      </c>
      <c r="N238" s="3267" t="s">
        <v>3122</v>
      </c>
      <c r="O238" s="3267"/>
      <c r="P238" s="3267" t="s">
        <v>2963</v>
      </c>
      <c r="Q238" s="3271">
        <v>398000</v>
      </c>
      <c r="R238" s="3267">
        <v>4998</v>
      </c>
      <c r="S238" s="3272">
        <v>37.92</v>
      </c>
      <c r="T238" s="3273">
        <v>379200</v>
      </c>
      <c r="U238" s="3267">
        <v>4763</v>
      </c>
      <c r="V238" s="3289">
        <v>0.05</v>
      </c>
      <c r="W238" s="3272">
        <v>36.020000000000003</v>
      </c>
      <c r="X238" s="3275">
        <v>360200</v>
      </c>
      <c r="Y238" s="3276">
        <v>2006</v>
      </c>
      <c r="Z238" s="3276">
        <v>3</v>
      </c>
      <c r="AA238" s="3276">
        <v>20</v>
      </c>
      <c r="AB238" s="3267">
        <v>1135</v>
      </c>
      <c r="AC238" s="3267" t="s">
        <v>3227</v>
      </c>
      <c r="AD238" s="3267"/>
      <c r="AE238" s="3276" t="s">
        <v>3344</v>
      </c>
      <c r="AF238" s="3267" t="s">
        <v>2966</v>
      </c>
      <c r="AG238" s="3279" t="s">
        <v>2967</v>
      </c>
      <c r="AH238" s="3267"/>
      <c r="AI238" s="3279" t="s">
        <v>2992</v>
      </c>
      <c r="AJ238" s="3284" t="s">
        <v>2968</v>
      </c>
      <c r="AK238" s="3278">
        <v>3</v>
      </c>
      <c r="AL238" s="3276">
        <v>67641700</v>
      </c>
      <c r="AM238" s="3276"/>
      <c r="AN238" s="3279" t="s">
        <v>2994</v>
      </c>
      <c r="AO238" s="3267" t="s">
        <v>2968</v>
      </c>
      <c r="AP238" s="3279" t="s">
        <v>3305</v>
      </c>
      <c r="AQ238" s="3276" t="s">
        <v>3113</v>
      </c>
      <c r="AR238" s="3276"/>
      <c r="AS238" s="3276"/>
      <c r="AT238" s="3276"/>
      <c r="AU238" s="3276"/>
      <c r="AV238" s="3276"/>
      <c r="AW238" s="3276" t="s">
        <v>2997</v>
      </c>
      <c r="AX238" s="3276"/>
      <c r="AY238" s="3291"/>
      <c r="AZ238" s="3267" t="s">
        <v>4841</v>
      </c>
      <c r="BA238" s="3276"/>
      <c r="BB238" s="3291"/>
      <c r="BC238" s="3276"/>
      <c r="BD238" s="3292"/>
      <c r="BE238" s="3276">
        <v>13611308478</v>
      </c>
      <c r="BF238" s="3281"/>
      <c r="BG238" s="3299">
        <v>38780</v>
      </c>
      <c r="BH238" s="3267" t="s">
        <v>2998</v>
      </c>
      <c r="BI238" s="3314" t="s">
        <v>3305</v>
      </c>
      <c r="BJ238" s="3283">
        <v>38782</v>
      </c>
      <c r="BK238" s="3299"/>
      <c r="BL238" s="3267" t="s">
        <v>3249</v>
      </c>
      <c r="BM238" s="3276" t="s">
        <v>2879</v>
      </c>
      <c r="BN238" s="3276" t="s">
        <v>2999</v>
      </c>
      <c r="BO238" s="3276" t="s">
        <v>3146</v>
      </c>
      <c r="BP238" s="3276"/>
      <c r="BQ238" s="3276" t="e">
        <v>#DIV/0!</v>
      </c>
      <c r="BR238" s="3276" t="e">
        <v>#DIV/0!</v>
      </c>
      <c r="BS238" s="3285"/>
      <c r="BT238" s="3285"/>
      <c r="BU238" s="3285"/>
    </row>
    <row r="239" spans="1:73" hidden="1">
      <c r="A239" s="3267" t="s">
        <v>4842</v>
      </c>
      <c r="B239" s="3267" t="s">
        <v>4843</v>
      </c>
      <c r="C239" s="3269" t="s">
        <v>4844</v>
      </c>
      <c r="D239" s="3269" t="s">
        <v>4845</v>
      </c>
      <c r="E239" s="3268" t="s">
        <v>2985</v>
      </c>
      <c r="F239" s="3268" t="s">
        <v>4846</v>
      </c>
      <c r="G239" s="3267"/>
      <c r="H239" s="3268" t="s">
        <v>4847</v>
      </c>
      <c r="I239" s="3268"/>
      <c r="J239" s="3267" t="s">
        <v>4848</v>
      </c>
      <c r="K239" s="3267" t="s">
        <v>4849</v>
      </c>
      <c r="L239" s="3267">
        <v>69.61</v>
      </c>
      <c r="M239" s="3267">
        <v>14</v>
      </c>
      <c r="N239" s="3267" t="s">
        <v>3122</v>
      </c>
      <c r="O239" s="3267"/>
      <c r="P239" s="3267" t="s">
        <v>2963</v>
      </c>
      <c r="Q239" s="3271">
        <v>450000</v>
      </c>
      <c r="R239" s="3288">
        <v>6465</v>
      </c>
      <c r="S239" s="3272">
        <v>43.7</v>
      </c>
      <c r="T239" s="3273">
        <v>437000</v>
      </c>
      <c r="U239" s="3267">
        <v>6279</v>
      </c>
      <c r="V239" s="3289">
        <v>0.05</v>
      </c>
      <c r="W239" s="3272">
        <v>41.51</v>
      </c>
      <c r="X239" s="3273">
        <v>415100</v>
      </c>
      <c r="Y239" s="3276">
        <v>2006</v>
      </c>
      <c r="Z239" s="3276">
        <v>3</v>
      </c>
      <c r="AA239" s="3276">
        <v>30</v>
      </c>
      <c r="AB239" s="3267">
        <v>1310</v>
      </c>
      <c r="AC239" s="3267" t="s">
        <v>3227</v>
      </c>
      <c r="AD239" s="3267"/>
      <c r="AE239" s="3279" t="s">
        <v>4850</v>
      </c>
      <c r="AF239" s="3268" t="s">
        <v>2966</v>
      </c>
      <c r="AG239" s="3279" t="s">
        <v>2967</v>
      </c>
      <c r="AH239" s="3267"/>
      <c r="AI239" s="3279" t="s">
        <v>2992</v>
      </c>
      <c r="AJ239" s="3284"/>
      <c r="AK239" s="3278">
        <v>3</v>
      </c>
      <c r="AL239" s="3276">
        <v>67641700</v>
      </c>
      <c r="AM239" s="3276"/>
      <c r="AN239" s="3279" t="s">
        <v>3099</v>
      </c>
      <c r="AO239" s="3267"/>
      <c r="AP239" s="3279" t="s">
        <v>3305</v>
      </c>
      <c r="AQ239" s="3276" t="s">
        <v>3113</v>
      </c>
      <c r="AR239" s="3276"/>
      <c r="AS239" s="3276"/>
      <c r="AT239" s="3276"/>
      <c r="AU239" s="3276"/>
      <c r="AV239" s="3276"/>
      <c r="AW239" s="3276" t="s">
        <v>3552</v>
      </c>
      <c r="AX239" s="3276"/>
      <c r="AY239" s="3291"/>
      <c r="AZ239" s="3267" t="s">
        <v>4849</v>
      </c>
      <c r="BA239" s="3296"/>
      <c r="BB239" s="3297"/>
      <c r="BC239" s="3296"/>
      <c r="BD239" s="3298"/>
      <c r="BE239" s="3276" t="s">
        <v>2968</v>
      </c>
      <c r="BF239" s="3281"/>
      <c r="BG239" s="3293">
        <v>38778</v>
      </c>
      <c r="BH239" s="3267" t="s">
        <v>2998</v>
      </c>
      <c r="BI239" s="3314" t="s">
        <v>3305</v>
      </c>
      <c r="BJ239" s="3299">
        <v>38778</v>
      </c>
      <c r="BK239" s="3283" t="s">
        <v>2968</v>
      </c>
      <c r="BL239" s="3267" t="s">
        <v>3249</v>
      </c>
      <c r="BM239" s="3276" t="s">
        <v>2879</v>
      </c>
      <c r="BN239" s="3276" t="s">
        <v>2999</v>
      </c>
      <c r="BO239" s="3276" t="s">
        <v>3146</v>
      </c>
      <c r="BP239" s="3276"/>
      <c r="BQ239" s="3267" t="e">
        <v>#DIV/0!</v>
      </c>
      <c r="BR239" s="3267" t="e">
        <v>#DIV/0!</v>
      </c>
      <c r="BS239" s="3285"/>
      <c r="BT239" s="3285"/>
      <c r="BU239" s="3285"/>
    </row>
    <row r="240" spans="1:73" hidden="1">
      <c r="A240" s="3267" t="s">
        <v>4851</v>
      </c>
      <c r="B240" s="3267" t="s">
        <v>4852</v>
      </c>
      <c r="C240" s="3269" t="s">
        <v>4853</v>
      </c>
      <c r="D240" s="3269" t="s">
        <v>4854</v>
      </c>
      <c r="E240" s="3268" t="s">
        <v>2985</v>
      </c>
      <c r="F240" s="3268" t="s">
        <v>3279</v>
      </c>
      <c r="G240" s="3267"/>
      <c r="H240" s="3268" t="s">
        <v>4855</v>
      </c>
      <c r="I240" s="3268" t="s">
        <v>3318</v>
      </c>
      <c r="J240" s="3267" t="s">
        <v>2987</v>
      </c>
      <c r="K240" s="3267" t="s">
        <v>4852</v>
      </c>
      <c r="L240" s="3270">
        <v>111.73</v>
      </c>
      <c r="M240" s="3267">
        <v>3</v>
      </c>
      <c r="N240" s="3267" t="s">
        <v>3125</v>
      </c>
      <c r="O240" s="3267"/>
      <c r="P240" s="3267" t="s">
        <v>2963</v>
      </c>
      <c r="Q240" s="3271">
        <v>510000</v>
      </c>
      <c r="R240" s="3267">
        <v>4565</v>
      </c>
      <c r="S240" s="3272">
        <v>62.56</v>
      </c>
      <c r="T240" s="3273">
        <v>625600</v>
      </c>
      <c r="U240" s="3267">
        <v>5600</v>
      </c>
      <c r="V240" s="3289">
        <v>0.05</v>
      </c>
      <c r="W240" s="3272">
        <v>59.43</v>
      </c>
      <c r="X240" s="3275">
        <v>594300</v>
      </c>
      <c r="Y240" s="3276">
        <v>2006</v>
      </c>
      <c r="Z240" s="3276">
        <v>3</v>
      </c>
      <c r="AA240" s="3294">
        <v>9</v>
      </c>
      <c r="AB240" s="3267">
        <v>1500</v>
      </c>
      <c r="AC240" s="3267" t="s">
        <v>3227</v>
      </c>
      <c r="AD240" s="3267"/>
      <c r="AE240" s="3279" t="s">
        <v>3245</v>
      </c>
      <c r="AF240" s="3268" t="s">
        <v>2966</v>
      </c>
      <c r="AG240" s="3279" t="s">
        <v>2967</v>
      </c>
      <c r="AH240" s="3267"/>
      <c r="AI240" s="3279" t="s">
        <v>2992</v>
      </c>
      <c r="AJ240" s="3284"/>
      <c r="AK240" s="3278">
        <v>3</v>
      </c>
      <c r="AL240" s="3276">
        <v>67641700</v>
      </c>
      <c r="AM240" s="3276"/>
      <c r="AN240" s="3279" t="s">
        <v>3140</v>
      </c>
      <c r="AO240" s="3267"/>
      <c r="AP240" s="3279" t="s">
        <v>3305</v>
      </c>
      <c r="AQ240" s="3276" t="s">
        <v>3113</v>
      </c>
      <c r="AR240" s="3276"/>
      <c r="AS240" s="3276"/>
      <c r="AT240" s="3276"/>
      <c r="AU240" s="3276"/>
      <c r="AV240" s="3276"/>
      <c r="AW240" s="3276" t="s">
        <v>3112</v>
      </c>
      <c r="AX240" s="3276"/>
      <c r="AY240" s="3291"/>
      <c r="AZ240" s="3267" t="s">
        <v>4856</v>
      </c>
      <c r="BA240" s="3296"/>
      <c r="BB240" s="3297"/>
      <c r="BC240" s="3296"/>
      <c r="BD240" s="3298"/>
      <c r="BE240" s="3276">
        <v>64725327</v>
      </c>
      <c r="BF240" s="3281"/>
      <c r="BG240" s="3293">
        <v>38771</v>
      </c>
      <c r="BH240" s="3267" t="s">
        <v>2998</v>
      </c>
      <c r="BI240" s="3314" t="s">
        <v>3305</v>
      </c>
      <c r="BJ240" s="3283">
        <v>38782</v>
      </c>
      <c r="BK240" s="3283"/>
      <c r="BL240" s="3267" t="s">
        <v>3249</v>
      </c>
      <c r="BM240" s="3276" t="s">
        <v>2879</v>
      </c>
      <c r="BN240" s="3276" t="s">
        <v>3111</v>
      </c>
      <c r="BO240" s="3276" t="s">
        <v>3446</v>
      </c>
      <c r="BP240" s="3276"/>
      <c r="BQ240" s="3276" t="e">
        <v>#DIV/0!</v>
      </c>
      <c r="BR240" s="3276" t="e">
        <v>#DIV/0!</v>
      </c>
      <c r="BS240" s="3285"/>
      <c r="BT240" s="3285"/>
      <c r="BU240" s="3285"/>
    </row>
    <row r="241" spans="1:73" hidden="1">
      <c r="A241" s="3267" t="s">
        <v>4857</v>
      </c>
      <c r="B241" s="3267" t="s">
        <v>4858</v>
      </c>
      <c r="C241" s="3269" t="s">
        <v>4859</v>
      </c>
      <c r="D241" s="3269" t="s">
        <v>4860</v>
      </c>
      <c r="E241" s="3268" t="s">
        <v>2985</v>
      </c>
      <c r="F241" s="3268" t="s">
        <v>4861</v>
      </c>
      <c r="G241" s="3267"/>
      <c r="H241" s="3267" t="s">
        <v>3182</v>
      </c>
      <c r="I241" s="3268"/>
      <c r="J241" s="3267" t="s">
        <v>4862</v>
      </c>
      <c r="K241" s="3267" t="s">
        <v>4863</v>
      </c>
      <c r="L241" s="3270">
        <v>55</v>
      </c>
      <c r="M241" s="3267">
        <v>16</v>
      </c>
      <c r="N241" s="3267" t="s">
        <v>3152</v>
      </c>
      <c r="O241" s="3267">
        <v>44.98</v>
      </c>
      <c r="P241" s="3267" t="s">
        <v>2963</v>
      </c>
      <c r="Q241" s="3271">
        <v>475500</v>
      </c>
      <c r="R241" s="3267">
        <v>8645</v>
      </c>
      <c r="S241" s="3272">
        <v>39.159999999999997</v>
      </c>
      <c r="T241" s="3273">
        <v>391600</v>
      </c>
      <c r="U241" s="3267">
        <v>7120</v>
      </c>
      <c r="V241" s="3289">
        <v>0.05</v>
      </c>
      <c r="W241" s="3272">
        <v>37.200000000000003</v>
      </c>
      <c r="X241" s="3275">
        <v>372000</v>
      </c>
      <c r="Y241" s="3276">
        <v>2006</v>
      </c>
      <c r="Z241" s="3276">
        <v>3</v>
      </c>
      <c r="AA241" s="3276">
        <v>17</v>
      </c>
      <c r="AB241" s="3267">
        <v>1170</v>
      </c>
      <c r="AC241" s="3267" t="s">
        <v>3227</v>
      </c>
      <c r="AD241" s="3267"/>
      <c r="AE241" s="3279" t="s">
        <v>3295</v>
      </c>
      <c r="AF241" s="3268" t="s">
        <v>2966</v>
      </c>
      <c r="AG241" s="3279" t="s">
        <v>2967</v>
      </c>
      <c r="AH241" s="3267"/>
      <c r="AI241" s="3279" t="s">
        <v>2992</v>
      </c>
      <c r="AJ241" s="3284"/>
      <c r="AK241" s="3278">
        <v>3</v>
      </c>
      <c r="AL241" s="3276">
        <v>67641700</v>
      </c>
      <c r="AM241" s="3276"/>
      <c r="AN241" s="3279" t="s">
        <v>3114</v>
      </c>
      <c r="AO241" s="3267"/>
      <c r="AP241" s="3279" t="s">
        <v>3305</v>
      </c>
      <c r="AQ241" s="3276" t="s">
        <v>3113</v>
      </c>
      <c r="AR241" s="3276"/>
      <c r="AS241" s="3276"/>
      <c r="AT241" s="3276"/>
      <c r="AU241" s="3276"/>
      <c r="AV241" s="3276"/>
      <c r="AW241" s="3276" t="s">
        <v>2997</v>
      </c>
      <c r="AX241" s="3276"/>
      <c r="AY241" s="3291" t="s">
        <v>2968</v>
      </c>
      <c r="AZ241" s="3267" t="s">
        <v>4863</v>
      </c>
      <c r="BA241" s="3296" t="s">
        <v>2968</v>
      </c>
      <c r="BB241" s="3297" t="s">
        <v>2968</v>
      </c>
      <c r="BC241" s="3296" t="s">
        <v>2968</v>
      </c>
      <c r="BD241" s="3298" t="s">
        <v>2968</v>
      </c>
      <c r="BE241" s="3276">
        <v>13901326528</v>
      </c>
      <c r="BF241" s="3281" t="s">
        <v>2968</v>
      </c>
      <c r="BG241" s="3293">
        <v>38765</v>
      </c>
      <c r="BH241" s="3267" t="s">
        <v>2998</v>
      </c>
      <c r="BI241" s="3314" t="s">
        <v>3305</v>
      </c>
      <c r="BJ241" s="3283">
        <v>38783</v>
      </c>
      <c r="BK241" s="3283"/>
      <c r="BL241" s="3267" t="s">
        <v>3249</v>
      </c>
      <c r="BM241" s="3276" t="s">
        <v>2879</v>
      </c>
      <c r="BN241" s="3276" t="s">
        <v>2999</v>
      </c>
      <c r="BO241" s="3276" t="s">
        <v>3146</v>
      </c>
      <c r="BP241" s="3276"/>
      <c r="BQ241" s="3276">
        <v>8706</v>
      </c>
      <c r="BR241" s="3276">
        <v>10571</v>
      </c>
      <c r="BS241" s="3285"/>
      <c r="BT241" s="3285"/>
      <c r="BU241" s="3285"/>
    </row>
    <row r="242" spans="1:73" hidden="1">
      <c r="A242" s="3267" t="s">
        <v>4864</v>
      </c>
      <c r="B242" s="3267" t="s">
        <v>4865</v>
      </c>
      <c r="C242" s="3269" t="s">
        <v>4866</v>
      </c>
      <c r="D242" s="3269">
        <v>13331094318</v>
      </c>
      <c r="E242" s="3268" t="s">
        <v>2985</v>
      </c>
      <c r="F242" s="3268" t="s">
        <v>3243</v>
      </c>
      <c r="G242" s="3267"/>
      <c r="H242" s="3268" t="s">
        <v>3225</v>
      </c>
      <c r="I242" s="3268"/>
      <c r="J242" s="3267" t="s">
        <v>4867</v>
      </c>
      <c r="K242" s="3267" t="s">
        <v>4868</v>
      </c>
      <c r="L242" s="3267">
        <v>127.04</v>
      </c>
      <c r="M242" s="3267">
        <v>7</v>
      </c>
      <c r="N242" s="3267" t="s">
        <v>3122</v>
      </c>
      <c r="O242" s="3267">
        <v>107.48</v>
      </c>
      <c r="P242" s="3267" t="s">
        <v>2963</v>
      </c>
      <c r="Q242" s="3271">
        <v>670000</v>
      </c>
      <c r="R242" s="3267">
        <v>5274</v>
      </c>
      <c r="S242" s="3272">
        <v>61.29</v>
      </c>
      <c r="T242" s="3273">
        <v>612900</v>
      </c>
      <c r="U242" s="3267">
        <v>4825</v>
      </c>
      <c r="V242" s="3289">
        <v>0.05</v>
      </c>
      <c r="W242" s="3272">
        <v>58.22</v>
      </c>
      <c r="X242" s="3275">
        <v>369300</v>
      </c>
      <c r="Y242" s="3276">
        <v>2006</v>
      </c>
      <c r="Z242" s="3276">
        <v>3</v>
      </c>
      <c r="AA242" s="3276">
        <v>31</v>
      </c>
      <c r="AB242" s="3267">
        <v>1500</v>
      </c>
      <c r="AC242" s="3267" t="s">
        <v>3227</v>
      </c>
      <c r="AD242" s="3267"/>
      <c r="AE242" s="3279" t="s">
        <v>3344</v>
      </c>
      <c r="AF242" s="3268" t="s">
        <v>2966</v>
      </c>
      <c r="AG242" s="3279" t="s">
        <v>2967</v>
      </c>
      <c r="AH242" s="3267"/>
      <c r="AI242" s="3279" t="s">
        <v>2992</v>
      </c>
      <c r="AJ242" s="3284"/>
      <c r="AK242" s="3278">
        <v>3</v>
      </c>
      <c r="AL242" s="3276">
        <v>67641700</v>
      </c>
      <c r="AM242" s="3276"/>
      <c r="AN242" s="3279" t="s">
        <v>3099</v>
      </c>
      <c r="AO242" s="3267"/>
      <c r="AP242" s="3279" t="s">
        <v>3305</v>
      </c>
      <c r="AQ242" s="3276" t="s">
        <v>3113</v>
      </c>
      <c r="AR242" s="3276"/>
      <c r="AS242" s="3276"/>
      <c r="AT242" s="3276"/>
      <c r="AU242" s="3276"/>
      <c r="AV242" s="3276"/>
      <c r="AW242" s="3276" t="s">
        <v>2997</v>
      </c>
      <c r="AX242" s="3276"/>
      <c r="AY242" s="3291"/>
      <c r="AZ242" s="3267" t="s">
        <v>4868</v>
      </c>
      <c r="BA242" s="3296"/>
      <c r="BB242" s="3297"/>
      <c r="BC242" s="3296"/>
      <c r="BD242" s="3298"/>
      <c r="BE242" s="3276">
        <v>13910222916</v>
      </c>
      <c r="BF242" s="3281"/>
      <c r="BG242" s="3293">
        <v>38783</v>
      </c>
      <c r="BH242" s="3267" t="s">
        <v>2998</v>
      </c>
      <c r="BI242" s="3314" t="s">
        <v>3305</v>
      </c>
      <c r="BJ242" s="3283">
        <v>38783</v>
      </c>
      <c r="BK242" s="3283"/>
      <c r="BL242" s="3267" t="s">
        <v>3249</v>
      </c>
      <c r="BM242" s="3276" t="s">
        <v>2879</v>
      </c>
      <c r="BN242" s="3276" t="s">
        <v>2999</v>
      </c>
      <c r="BO242" s="3276" t="s">
        <v>3146</v>
      </c>
      <c r="BP242" s="3276"/>
      <c r="BQ242" s="3276">
        <v>5702</v>
      </c>
      <c r="BR242" s="3276">
        <v>6234</v>
      </c>
      <c r="BS242" s="3285"/>
      <c r="BT242" s="3285"/>
      <c r="BU242" s="3285"/>
    </row>
    <row r="243" spans="1:73" hidden="1">
      <c r="A243" s="3267" t="s">
        <v>4869</v>
      </c>
      <c r="B243" s="3267" t="s">
        <v>4870</v>
      </c>
      <c r="C243" s="3269" t="s">
        <v>4871</v>
      </c>
      <c r="D243" s="3269">
        <v>13641154631</v>
      </c>
      <c r="E243" s="3268" t="s">
        <v>2985</v>
      </c>
      <c r="F243" s="3268" t="s">
        <v>3759</v>
      </c>
      <c r="G243" s="3267"/>
      <c r="H243" s="3267" t="s">
        <v>4872</v>
      </c>
      <c r="I243" s="3268"/>
      <c r="J243" s="3267" t="s">
        <v>4873</v>
      </c>
      <c r="K243" s="3267" t="s">
        <v>4874</v>
      </c>
      <c r="L243" s="3267">
        <v>55.44</v>
      </c>
      <c r="M243" s="3267">
        <v>2</v>
      </c>
      <c r="N243" s="3267" t="s">
        <v>3122</v>
      </c>
      <c r="O243" s="3267"/>
      <c r="P243" s="3267" t="s">
        <v>2963</v>
      </c>
      <c r="Q243" s="3271">
        <v>405000</v>
      </c>
      <c r="R243" s="3267">
        <v>7305</v>
      </c>
      <c r="S243" s="3272">
        <v>36.17</v>
      </c>
      <c r="T243" s="3273">
        <v>361700</v>
      </c>
      <c r="U243" s="3267">
        <v>6525</v>
      </c>
      <c r="V243" s="3289">
        <v>0.05</v>
      </c>
      <c r="W243" s="3272">
        <v>34.36</v>
      </c>
      <c r="X243" s="3275">
        <v>343600</v>
      </c>
      <c r="Y243" s="3276">
        <v>2006</v>
      </c>
      <c r="Z243" s="3276">
        <v>3</v>
      </c>
      <c r="AA243" s="3276">
        <v>31</v>
      </c>
      <c r="AB243" s="3267">
        <v>1085</v>
      </c>
      <c r="AC243" s="3267" t="s">
        <v>3227</v>
      </c>
      <c r="AD243" s="3267"/>
      <c r="AE243" s="3279" t="s">
        <v>3304</v>
      </c>
      <c r="AF243" s="3268" t="s">
        <v>2966</v>
      </c>
      <c r="AG243" s="3279" t="s">
        <v>2967</v>
      </c>
      <c r="AH243" s="3267"/>
      <c r="AI243" s="3279" t="s">
        <v>2992</v>
      </c>
      <c r="AJ243" s="3284"/>
      <c r="AK243" s="3278">
        <v>3</v>
      </c>
      <c r="AL243" s="3276">
        <v>67641700</v>
      </c>
      <c r="AM243" s="3276"/>
      <c r="AN243" s="3279" t="s">
        <v>3099</v>
      </c>
      <c r="AO243" s="3267" t="s">
        <v>2968</v>
      </c>
      <c r="AP243" s="3279" t="s">
        <v>3305</v>
      </c>
      <c r="AQ243" s="3276" t="s">
        <v>3113</v>
      </c>
      <c r="AR243" s="3276"/>
      <c r="AS243" s="3276"/>
      <c r="AT243" s="3276"/>
      <c r="AU243" s="3276"/>
      <c r="AV243" s="3276"/>
      <c r="AW243" s="3276" t="s">
        <v>2997</v>
      </c>
      <c r="AX243" s="3276"/>
      <c r="AY243" s="3291"/>
      <c r="AZ243" s="3267" t="s">
        <v>4874</v>
      </c>
      <c r="BA243" s="3296"/>
      <c r="BB243" s="3297"/>
      <c r="BC243" s="3296"/>
      <c r="BD243" s="3298"/>
      <c r="BE243" s="3276"/>
      <c r="BF243" s="3281"/>
      <c r="BG243" s="3293">
        <v>38783</v>
      </c>
      <c r="BH243" s="3267" t="s">
        <v>2998</v>
      </c>
      <c r="BI243" s="3314" t="s">
        <v>3305</v>
      </c>
      <c r="BJ243" s="3283">
        <v>38783</v>
      </c>
      <c r="BK243" s="3283"/>
      <c r="BL243" s="3267" t="s">
        <v>3249</v>
      </c>
      <c r="BM243" s="3276" t="s">
        <v>2879</v>
      </c>
      <c r="BN243" s="3276" t="s">
        <v>2999</v>
      </c>
      <c r="BO243" s="3276" t="s">
        <v>3000</v>
      </c>
      <c r="BP243" s="3276"/>
      <c r="BQ243" s="3276" t="e">
        <v>#DIV/0!</v>
      </c>
      <c r="BR243" s="3276" t="e">
        <v>#DIV/0!</v>
      </c>
      <c r="BS243" s="3285"/>
      <c r="BT243" s="3285"/>
      <c r="BU243" s="3285"/>
    </row>
    <row r="244" spans="1:73" hidden="1">
      <c r="A244" s="3267" t="s">
        <v>4875</v>
      </c>
      <c r="B244" s="3267" t="s">
        <v>4876</v>
      </c>
      <c r="C244" s="3269" t="s">
        <v>4877</v>
      </c>
      <c r="D244" s="3269" t="s">
        <v>4878</v>
      </c>
      <c r="E244" s="3267" t="s">
        <v>2985</v>
      </c>
      <c r="F244" s="3267" t="s">
        <v>4165</v>
      </c>
      <c r="G244" s="3267"/>
      <c r="H244" s="3267" t="s">
        <v>3402</v>
      </c>
      <c r="I244" s="3267"/>
      <c r="J244" s="3269" t="s">
        <v>2987</v>
      </c>
      <c r="K244" s="3267" t="s">
        <v>4876</v>
      </c>
      <c r="L244" s="3286">
        <v>53.46</v>
      </c>
      <c r="M244" s="3267">
        <v>3</v>
      </c>
      <c r="N244" s="3268" t="s">
        <v>3152</v>
      </c>
      <c r="O244" s="3267"/>
      <c r="P244" s="3267" t="s">
        <v>2963</v>
      </c>
      <c r="Q244" s="3287">
        <v>270000</v>
      </c>
      <c r="R244" s="3267">
        <v>5051</v>
      </c>
      <c r="S244" s="3272">
        <v>29.11</v>
      </c>
      <c r="T244" s="3273">
        <v>291100</v>
      </c>
      <c r="U244" s="3267">
        <v>5447</v>
      </c>
      <c r="V244" s="3289">
        <v>0.05</v>
      </c>
      <c r="W244" s="3272">
        <v>27.65</v>
      </c>
      <c r="X244" s="3275">
        <v>276500</v>
      </c>
      <c r="Y244" s="3276">
        <v>2006</v>
      </c>
      <c r="Z244" s="3276">
        <v>3</v>
      </c>
      <c r="AA244" s="3276">
        <v>10</v>
      </c>
      <c r="AB244" s="3267">
        <v>870</v>
      </c>
      <c r="AC244" s="3267" t="s">
        <v>3227</v>
      </c>
      <c r="AD244" s="3267"/>
      <c r="AE244" s="3276" t="s">
        <v>3304</v>
      </c>
      <c r="AF244" s="3267" t="s">
        <v>2966</v>
      </c>
      <c r="AG244" s="3279" t="s">
        <v>2967</v>
      </c>
      <c r="AH244" s="3267"/>
      <c r="AI244" s="3267" t="s">
        <v>3295</v>
      </c>
      <c r="AJ244" s="3284"/>
      <c r="AK244" s="3316" t="s">
        <v>3114</v>
      </c>
      <c r="AL244" s="3267">
        <v>67641700</v>
      </c>
      <c r="AM244" s="3267"/>
      <c r="AN244" s="3279" t="s">
        <v>3140</v>
      </c>
      <c r="AO244" s="3267"/>
      <c r="AP244" s="3267" t="s">
        <v>3342</v>
      </c>
      <c r="AQ244" s="3267" t="s">
        <v>3113</v>
      </c>
      <c r="AR244" s="3276"/>
      <c r="AS244" s="3276"/>
      <c r="AT244" s="3276"/>
      <c r="AU244" s="3276"/>
      <c r="AV244" s="3276"/>
      <c r="AW244" s="3276" t="s">
        <v>2968</v>
      </c>
      <c r="AX244" s="3276"/>
      <c r="AY244" s="3291"/>
      <c r="AZ244" s="3276" t="s">
        <v>2968</v>
      </c>
      <c r="BA244" s="3276"/>
      <c r="BB244" s="3291"/>
      <c r="BC244" s="3276"/>
      <c r="BD244" s="3292"/>
      <c r="BE244" s="3276"/>
      <c r="BF244" s="3281"/>
      <c r="BG244" s="3299">
        <v>38757</v>
      </c>
      <c r="BH244" s="3276"/>
      <c r="BI244" s="3267" t="s">
        <v>3342</v>
      </c>
      <c r="BJ244" s="3283">
        <v>38783</v>
      </c>
      <c r="BK244" s="3283"/>
      <c r="BL244" s="3267" t="s">
        <v>2998</v>
      </c>
      <c r="BM244" s="3276" t="s">
        <v>4879</v>
      </c>
      <c r="BN244" s="3276" t="s">
        <v>2999</v>
      </c>
      <c r="BO244" s="3276" t="s">
        <v>3146</v>
      </c>
      <c r="BP244" s="3276"/>
      <c r="BQ244" s="3276"/>
      <c r="BR244" s="3276"/>
      <c r="BS244" s="3285"/>
      <c r="BT244" s="3285"/>
      <c r="BU244" s="3285"/>
    </row>
    <row r="245" spans="1:73" hidden="1">
      <c r="A245" s="3267" t="s">
        <v>4880</v>
      </c>
      <c r="B245" s="3267" t="s">
        <v>4881</v>
      </c>
      <c r="C245" s="3269" t="s">
        <v>4882</v>
      </c>
      <c r="D245" s="3269" t="s">
        <v>4883</v>
      </c>
      <c r="E245" s="3268" t="s">
        <v>2985</v>
      </c>
      <c r="F245" s="3268" t="s">
        <v>4884</v>
      </c>
      <c r="G245" s="3267"/>
      <c r="H245" s="3268" t="s">
        <v>4885</v>
      </c>
      <c r="I245" s="3268" t="s">
        <v>3608</v>
      </c>
      <c r="J245" s="3267" t="s">
        <v>4886</v>
      </c>
      <c r="K245" s="3267" t="s">
        <v>4881</v>
      </c>
      <c r="L245" s="3270">
        <v>98.4</v>
      </c>
      <c r="M245" s="3267">
        <v>1</v>
      </c>
      <c r="N245" s="3267" t="s">
        <v>3395</v>
      </c>
      <c r="O245" s="3267">
        <v>89.06</v>
      </c>
      <c r="P245" s="3267" t="s">
        <v>2963</v>
      </c>
      <c r="Q245" s="3271">
        <v>454545</v>
      </c>
      <c r="R245" s="3267">
        <v>4619</v>
      </c>
      <c r="S245" s="3272">
        <v>54.12</v>
      </c>
      <c r="T245" s="3273">
        <v>541200</v>
      </c>
      <c r="U245" s="3267">
        <v>5500</v>
      </c>
      <c r="V245" s="3289">
        <v>0.05</v>
      </c>
      <c r="W245" s="3272">
        <v>51.41</v>
      </c>
      <c r="X245" s="3275">
        <v>514100</v>
      </c>
      <c r="Y245" s="3276">
        <v>2006</v>
      </c>
      <c r="Z245" s="3276">
        <v>3</v>
      </c>
      <c r="AA245" s="3276">
        <v>13</v>
      </c>
      <c r="AB245" s="3267">
        <v>1500</v>
      </c>
      <c r="AC245" s="3267" t="s">
        <v>3227</v>
      </c>
      <c r="AD245" s="3267"/>
      <c r="AE245" s="3279" t="s">
        <v>3245</v>
      </c>
      <c r="AF245" s="3268" t="s">
        <v>2966</v>
      </c>
      <c r="AG245" s="3279" t="s">
        <v>2967</v>
      </c>
      <c r="AH245" s="3267"/>
      <c r="AI245" s="3279" t="s">
        <v>2992</v>
      </c>
      <c r="AJ245" s="3284"/>
      <c r="AK245" s="3278">
        <v>3</v>
      </c>
      <c r="AL245" s="3276">
        <v>67641700</v>
      </c>
      <c r="AM245" s="3276"/>
      <c r="AN245" s="3279" t="s">
        <v>3114</v>
      </c>
      <c r="AO245" s="3267"/>
      <c r="AP245" s="3279" t="s">
        <v>3305</v>
      </c>
      <c r="AQ245" s="3276" t="s">
        <v>3113</v>
      </c>
      <c r="AR245" s="3276"/>
      <c r="AS245" s="3276"/>
      <c r="AT245" s="3276"/>
      <c r="AU245" s="3276"/>
      <c r="AV245" s="3276"/>
      <c r="AW245" s="3276" t="s">
        <v>2997</v>
      </c>
      <c r="AX245" s="3276"/>
      <c r="AY245" s="3291"/>
      <c r="AZ245" s="3267" t="s">
        <v>4887</v>
      </c>
      <c r="BA245" s="3296"/>
      <c r="BB245" s="3297"/>
      <c r="BC245" s="3296"/>
      <c r="BD245" s="3298"/>
      <c r="BE245" s="3276"/>
      <c r="BF245" s="3281"/>
      <c r="BG245" s="3293">
        <v>38771</v>
      </c>
      <c r="BH245" s="3267" t="s">
        <v>2998</v>
      </c>
      <c r="BI245" s="3314" t="s">
        <v>3305</v>
      </c>
      <c r="BJ245" s="3283">
        <v>38784</v>
      </c>
      <c r="BK245" s="3283"/>
      <c r="BL245" s="3267" t="s">
        <v>3249</v>
      </c>
      <c r="BM245" s="3276" t="s">
        <v>2879</v>
      </c>
      <c r="BN245" s="3276" t="s">
        <v>3111</v>
      </c>
      <c r="BO245" s="3276" t="s">
        <v>3146</v>
      </c>
      <c r="BP245" s="3276"/>
      <c r="BQ245" s="3276">
        <v>6077</v>
      </c>
      <c r="BR245" s="3276">
        <v>5104</v>
      </c>
      <c r="BS245" s="3285"/>
      <c r="BT245" s="3285"/>
      <c r="BU245" s="3285"/>
    </row>
    <row r="246" spans="1:73" hidden="1">
      <c r="A246" s="3267" t="s">
        <v>4888</v>
      </c>
      <c r="B246" s="3267" t="s">
        <v>4889</v>
      </c>
      <c r="C246" s="3269" t="s">
        <v>4890</v>
      </c>
      <c r="D246" s="3267">
        <v>13301207231</v>
      </c>
      <c r="E246" s="3267" t="s">
        <v>2985</v>
      </c>
      <c r="F246" s="3267" t="s">
        <v>4891</v>
      </c>
      <c r="G246" s="3267"/>
      <c r="H246" s="3267" t="s">
        <v>3379</v>
      </c>
      <c r="I246" s="3267" t="s">
        <v>3191</v>
      </c>
      <c r="J246" s="3267" t="s">
        <v>4144</v>
      </c>
      <c r="K246" s="3268" t="s">
        <v>4892</v>
      </c>
      <c r="L246" s="3270">
        <v>96.13</v>
      </c>
      <c r="M246" s="3267">
        <v>7</v>
      </c>
      <c r="N246" s="3267" t="s">
        <v>3125</v>
      </c>
      <c r="O246" s="3267"/>
      <c r="P246" s="3267" t="s">
        <v>2963</v>
      </c>
      <c r="Q246" s="3267">
        <v>600000</v>
      </c>
      <c r="R246" s="3267">
        <v>6242</v>
      </c>
      <c r="S246" s="3272">
        <v>57.52</v>
      </c>
      <c r="T246" s="3273">
        <v>575200</v>
      </c>
      <c r="U246" s="3267">
        <v>5984</v>
      </c>
      <c r="V246" s="3274">
        <v>0.05</v>
      </c>
      <c r="W246" s="3272">
        <v>54.64</v>
      </c>
      <c r="X246" s="3275">
        <v>546400</v>
      </c>
      <c r="Y246" s="3267">
        <v>2006</v>
      </c>
      <c r="Z246" s="3267">
        <v>3</v>
      </c>
      <c r="AA246" s="3276">
        <v>21</v>
      </c>
      <c r="AB246" s="3267">
        <v>1500</v>
      </c>
      <c r="AC246" s="3267" t="s">
        <v>3227</v>
      </c>
      <c r="AD246" s="3267"/>
      <c r="AE246" s="3276" t="s">
        <v>3304</v>
      </c>
      <c r="AF246" s="3267" t="s">
        <v>2966</v>
      </c>
      <c r="AG246" s="3267" t="s">
        <v>2967</v>
      </c>
      <c r="AH246" s="3267"/>
      <c r="AI246" s="3267" t="s">
        <v>3295</v>
      </c>
      <c r="AJ246" s="3284"/>
      <c r="AK246" s="3316" t="s">
        <v>3114</v>
      </c>
      <c r="AL246" s="3267">
        <v>67641700</v>
      </c>
      <c r="AM246" s="3267"/>
      <c r="AN246" s="3267" t="s">
        <v>3114</v>
      </c>
      <c r="AO246" s="3267" t="s">
        <v>2968</v>
      </c>
      <c r="AP246" s="3267" t="s">
        <v>2991</v>
      </c>
      <c r="AQ246" s="3267" t="s">
        <v>3113</v>
      </c>
      <c r="AR246" s="3267"/>
      <c r="AS246" s="3267"/>
      <c r="AT246" s="3267"/>
      <c r="AU246" s="3267"/>
      <c r="AV246" s="3267"/>
      <c r="AW246" s="3267" t="s">
        <v>2997</v>
      </c>
      <c r="AX246" s="3267"/>
      <c r="AY246" s="3269"/>
      <c r="AZ246" s="3267" t="s">
        <v>4892</v>
      </c>
      <c r="BA246" s="3267"/>
      <c r="BB246" s="3267"/>
      <c r="BC246" s="3267"/>
      <c r="BD246" s="3267"/>
      <c r="BE246" s="3267"/>
      <c r="BF246" s="3267"/>
      <c r="BG246" s="3307">
        <v>38784</v>
      </c>
      <c r="BH246" s="3267"/>
      <c r="BI246" s="3267" t="s">
        <v>2991</v>
      </c>
      <c r="BJ246" s="3283">
        <v>38784</v>
      </c>
      <c r="BK246" s="3283"/>
      <c r="BL246" s="3267" t="s">
        <v>2998</v>
      </c>
      <c r="BM246" s="3267" t="s">
        <v>2879</v>
      </c>
      <c r="BN246" s="3267" t="s">
        <v>2999</v>
      </c>
      <c r="BO246" s="3276" t="s">
        <v>3146</v>
      </c>
      <c r="BP246" s="3267"/>
      <c r="BQ246" s="3276"/>
      <c r="BR246" s="3276"/>
      <c r="BS246" s="3285"/>
      <c r="BT246" s="3285"/>
      <c r="BU246" s="3285"/>
    </row>
    <row r="247" spans="1:73" hidden="1">
      <c r="A247" s="3267" t="s">
        <v>4893</v>
      </c>
      <c r="B247" s="3267" t="s">
        <v>4894</v>
      </c>
      <c r="C247" s="3269" t="s">
        <v>4895</v>
      </c>
      <c r="D247" s="3269">
        <v>13621313304</v>
      </c>
      <c r="E247" s="3268" t="s">
        <v>2985</v>
      </c>
      <c r="F247" s="3268" t="s">
        <v>3309</v>
      </c>
      <c r="G247" s="3267"/>
      <c r="H247" s="3267" t="s">
        <v>4896</v>
      </c>
      <c r="I247" s="3268"/>
      <c r="J247" s="3267" t="s">
        <v>4897</v>
      </c>
      <c r="K247" s="3267" t="s">
        <v>4894</v>
      </c>
      <c r="L247" s="3270">
        <v>96.4</v>
      </c>
      <c r="M247" s="3267">
        <v>4</v>
      </c>
      <c r="N247" s="3267" t="s">
        <v>3125</v>
      </c>
      <c r="O247" s="3267"/>
      <c r="P247" s="3267" t="s">
        <v>2963</v>
      </c>
      <c r="Q247" s="3271">
        <v>600000</v>
      </c>
      <c r="R247" s="3267">
        <v>6224</v>
      </c>
      <c r="S247" s="3272">
        <v>51.89</v>
      </c>
      <c r="T247" s="3273">
        <v>518900</v>
      </c>
      <c r="U247" s="3267">
        <v>5383</v>
      </c>
      <c r="V247" s="3289">
        <v>0.05</v>
      </c>
      <c r="W247" s="3272">
        <v>49.29</v>
      </c>
      <c r="X247" s="3275">
        <v>492900</v>
      </c>
      <c r="Y247" s="3276">
        <v>2006</v>
      </c>
      <c r="Z247" s="3276">
        <v>3</v>
      </c>
      <c r="AA247" s="3276">
        <v>16</v>
      </c>
      <c r="AB247" s="3267">
        <v>1500</v>
      </c>
      <c r="AC247" s="3267" t="s">
        <v>3227</v>
      </c>
      <c r="AD247" s="3267"/>
      <c r="AE247" s="3279" t="s">
        <v>3344</v>
      </c>
      <c r="AF247" s="3268" t="s">
        <v>2966</v>
      </c>
      <c r="AG247" s="3279" t="s">
        <v>2967</v>
      </c>
      <c r="AH247" s="3267"/>
      <c r="AI247" s="3279" t="s">
        <v>2992</v>
      </c>
      <c r="AJ247" s="3284"/>
      <c r="AK247" s="3278">
        <v>3</v>
      </c>
      <c r="AL247" s="3276">
        <v>67641700</v>
      </c>
      <c r="AM247" s="3276"/>
      <c r="AN247" s="3279" t="s">
        <v>3114</v>
      </c>
      <c r="AO247" s="3267"/>
      <c r="AP247" s="3279" t="s">
        <v>3305</v>
      </c>
      <c r="AQ247" s="3276" t="s">
        <v>3113</v>
      </c>
      <c r="AR247" s="3276"/>
      <c r="AS247" s="3276"/>
      <c r="AT247" s="3276"/>
      <c r="AU247" s="3276"/>
      <c r="AV247" s="3276"/>
      <c r="AW247" s="3276" t="s">
        <v>2997</v>
      </c>
      <c r="AX247" s="3276"/>
      <c r="AY247" s="3291" t="s">
        <v>2968</v>
      </c>
      <c r="AZ247" s="3267" t="s">
        <v>4898</v>
      </c>
      <c r="BA247" s="3296" t="s">
        <v>2968</v>
      </c>
      <c r="BB247" s="3297" t="s">
        <v>2968</v>
      </c>
      <c r="BC247" s="3296" t="s">
        <v>2968</v>
      </c>
      <c r="BD247" s="3298" t="s">
        <v>2968</v>
      </c>
      <c r="BE247" s="3276"/>
      <c r="BF247" s="3281" t="s">
        <v>2968</v>
      </c>
      <c r="BG247" s="3293">
        <v>38783</v>
      </c>
      <c r="BH247" s="3267" t="s">
        <v>2998</v>
      </c>
      <c r="BI247" s="3314" t="s">
        <v>3305</v>
      </c>
      <c r="BJ247" s="3283">
        <v>38790</v>
      </c>
      <c r="BK247" s="3283"/>
      <c r="BL247" s="3267" t="s">
        <v>3249</v>
      </c>
      <c r="BM247" s="3276" t="s">
        <v>2879</v>
      </c>
      <c r="BN247" s="3276" t="s">
        <v>2999</v>
      </c>
      <c r="BO247" s="3276" t="s">
        <v>3146</v>
      </c>
      <c r="BP247" s="3276"/>
      <c r="BQ247" s="3276" t="e">
        <v>#VALUE!</v>
      </c>
      <c r="BR247" s="3276" t="e">
        <v>#VALUE!</v>
      </c>
      <c r="BS247" s="3285"/>
      <c r="BT247" s="3285"/>
      <c r="BU247" s="3285"/>
    </row>
    <row r="248" spans="1:73" hidden="1">
      <c r="A248" s="3267" t="s">
        <v>4899</v>
      </c>
      <c r="B248" s="3267" t="s">
        <v>4900</v>
      </c>
      <c r="C248" s="3269" t="s">
        <v>4901</v>
      </c>
      <c r="D248" s="3269" t="s">
        <v>4902</v>
      </c>
      <c r="E248" s="3268" t="s">
        <v>2985</v>
      </c>
      <c r="F248" s="3268" t="s">
        <v>4903</v>
      </c>
      <c r="G248" s="3267" t="s">
        <v>2968</v>
      </c>
      <c r="H248" s="3268" t="s">
        <v>3167</v>
      </c>
      <c r="I248" s="3268"/>
      <c r="J248" s="3267">
        <v>602</v>
      </c>
      <c r="K248" s="3267" t="s">
        <v>4904</v>
      </c>
      <c r="L248" s="3270">
        <v>54.17</v>
      </c>
      <c r="M248" s="3267">
        <v>6</v>
      </c>
      <c r="N248" s="3267" t="s">
        <v>3122</v>
      </c>
      <c r="O248" s="3267"/>
      <c r="P248" s="3267" t="s">
        <v>2963</v>
      </c>
      <c r="Q248" s="3271">
        <v>258000</v>
      </c>
      <c r="R248" s="3267">
        <v>4763</v>
      </c>
      <c r="S248" s="3272">
        <v>22.25</v>
      </c>
      <c r="T248" s="3273">
        <v>222500</v>
      </c>
      <c r="U248" s="3267">
        <v>4108</v>
      </c>
      <c r="V248" s="3289">
        <v>0.05</v>
      </c>
      <c r="W248" s="3272">
        <v>21.13</v>
      </c>
      <c r="X248" s="3275">
        <v>211300</v>
      </c>
      <c r="Y248" s="3276">
        <v>2006</v>
      </c>
      <c r="Z248" s="3276">
        <v>3</v>
      </c>
      <c r="AA248" s="3276">
        <v>20</v>
      </c>
      <c r="AB248" s="3267">
        <v>665</v>
      </c>
      <c r="AC248" s="3267" t="s">
        <v>3227</v>
      </c>
      <c r="AD248" s="3267"/>
      <c r="AE248" s="3296" t="s">
        <v>3686</v>
      </c>
      <c r="AF248" s="3268" t="s">
        <v>2966</v>
      </c>
      <c r="AG248" s="3279" t="s">
        <v>2967</v>
      </c>
      <c r="AH248" s="3267"/>
      <c r="AI248" s="3267" t="s">
        <v>3115</v>
      </c>
      <c r="AJ248" s="3284"/>
      <c r="AK248" s="3278">
        <v>3</v>
      </c>
      <c r="AL248" s="3267">
        <v>82253558</v>
      </c>
      <c r="AM248" s="3276"/>
      <c r="AN248" s="3279" t="s">
        <v>2994</v>
      </c>
      <c r="AO248" s="3267"/>
      <c r="AP248" s="3267" t="s">
        <v>3305</v>
      </c>
      <c r="AQ248" s="3267" t="s">
        <v>3113</v>
      </c>
      <c r="AR248" s="3276" t="s">
        <v>2968</v>
      </c>
      <c r="AS248" s="3276" t="s">
        <v>2968</v>
      </c>
      <c r="AT248" s="3276" t="s">
        <v>2968</v>
      </c>
      <c r="AU248" s="3276"/>
      <c r="AV248" s="3276"/>
      <c r="AW248" s="3276" t="s">
        <v>3112</v>
      </c>
      <c r="AX248" s="3276"/>
      <c r="AY248" s="3291"/>
      <c r="AZ248" s="3267" t="s">
        <v>4904</v>
      </c>
      <c r="BA248" s="3296"/>
      <c r="BB248" s="3297"/>
      <c r="BC248" s="3296"/>
      <c r="BD248" s="3298"/>
      <c r="BE248" s="3276">
        <v>13366132105</v>
      </c>
      <c r="BF248" s="3281"/>
      <c r="BG248" s="3293">
        <v>38783</v>
      </c>
      <c r="BH248" s="3267"/>
      <c r="BI248" s="3276" t="s">
        <v>3537</v>
      </c>
      <c r="BJ248" s="3293">
        <v>38785</v>
      </c>
      <c r="BK248" s="3283"/>
      <c r="BL248" s="3267" t="s">
        <v>4905</v>
      </c>
      <c r="BM248" s="3276" t="s">
        <v>2879</v>
      </c>
      <c r="BN248" s="3276" t="s">
        <v>2999</v>
      </c>
      <c r="BO248" s="3276" t="s">
        <v>3146</v>
      </c>
      <c r="BP248" s="3276"/>
      <c r="BQ248" s="3276" t="e">
        <v>#DIV/0!</v>
      </c>
      <c r="BR248" s="3276" t="e">
        <v>#DIV/0!</v>
      </c>
      <c r="BS248" s="3285"/>
      <c r="BT248" s="3285"/>
      <c r="BU248" s="3285"/>
    </row>
    <row r="249" spans="1:73" hidden="1">
      <c r="A249" s="3267" t="s">
        <v>4906</v>
      </c>
      <c r="B249" s="3267" t="s">
        <v>4907</v>
      </c>
      <c r="C249" s="3269" t="s">
        <v>4908</v>
      </c>
      <c r="D249" s="3269">
        <v>13811701702</v>
      </c>
      <c r="E249" s="3267" t="s">
        <v>2985</v>
      </c>
      <c r="F249" s="3308" t="s">
        <v>4909</v>
      </c>
      <c r="G249" s="3267"/>
      <c r="H249" s="3267" t="s">
        <v>3182</v>
      </c>
      <c r="I249" s="3268"/>
      <c r="J249" s="3269" t="s">
        <v>4910</v>
      </c>
      <c r="K249" s="3267" t="s">
        <v>4911</v>
      </c>
      <c r="L249" s="3270">
        <v>49.73</v>
      </c>
      <c r="M249" s="3267">
        <v>11</v>
      </c>
      <c r="N249" s="3267" t="s">
        <v>3152</v>
      </c>
      <c r="O249" s="3267"/>
      <c r="P249" s="3267" t="s">
        <v>2963</v>
      </c>
      <c r="Q249" s="3271">
        <v>290000</v>
      </c>
      <c r="R249" s="3267">
        <v>5831</v>
      </c>
      <c r="S249" s="3272">
        <v>23.87</v>
      </c>
      <c r="T249" s="3273">
        <v>238700</v>
      </c>
      <c r="U249" s="3267">
        <v>4800</v>
      </c>
      <c r="V249" s="3289">
        <v>0.05</v>
      </c>
      <c r="W249" s="3272">
        <v>22.67</v>
      </c>
      <c r="X249" s="3275">
        <v>226700</v>
      </c>
      <c r="Y249" s="3276">
        <v>2006</v>
      </c>
      <c r="Z249" s="3276">
        <v>3</v>
      </c>
      <c r="AA249" s="3276">
        <v>23</v>
      </c>
      <c r="AB249" s="3267">
        <v>715</v>
      </c>
      <c r="AC249" s="3267" t="s">
        <v>3480</v>
      </c>
      <c r="AD249" s="3267"/>
      <c r="AE249" s="3276" t="s">
        <v>3245</v>
      </c>
      <c r="AF249" s="3267" t="s">
        <v>2966</v>
      </c>
      <c r="AG249" s="3279" t="s">
        <v>2967</v>
      </c>
      <c r="AH249" s="3267"/>
      <c r="AI249" s="3279" t="s">
        <v>2992</v>
      </c>
      <c r="AJ249" s="3284"/>
      <c r="AK249" s="3278">
        <v>3</v>
      </c>
      <c r="AL249" s="3276">
        <v>67641700</v>
      </c>
      <c r="AM249" s="3276"/>
      <c r="AN249" s="3279" t="s">
        <v>2994</v>
      </c>
      <c r="AO249" s="3267" t="s">
        <v>2968</v>
      </c>
      <c r="AP249" s="3279" t="s">
        <v>3305</v>
      </c>
      <c r="AQ249" s="3276" t="s">
        <v>3113</v>
      </c>
      <c r="AR249" s="3276"/>
      <c r="AS249" s="3276"/>
      <c r="AT249" s="3276"/>
      <c r="AU249" s="3276"/>
      <c r="AV249" s="3276"/>
      <c r="AW249" s="3276" t="s">
        <v>3112</v>
      </c>
      <c r="AX249" s="3276"/>
      <c r="AY249" s="3291"/>
      <c r="AZ249" s="3267" t="s">
        <v>4911</v>
      </c>
      <c r="BA249" s="3276"/>
      <c r="BB249" s="3291"/>
      <c r="BC249" s="3276"/>
      <c r="BD249" s="3292"/>
      <c r="BE249" s="3276"/>
      <c r="BF249" s="3281"/>
      <c r="BG249" s="3299">
        <v>38779</v>
      </c>
      <c r="BH249" s="3267" t="s">
        <v>2998</v>
      </c>
      <c r="BI249" s="3314" t="s">
        <v>3305</v>
      </c>
      <c r="BJ249" s="3283">
        <v>38789</v>
      </c>
      <c r="BK249" s="3299"/>
      <c r="BL249" s="3267" t="s">
        <v>3249</v>
      </c>
      <c r="BM249" s="3276" t="s">
        <v>2879</v>
      </c>
      <c r="BN249" s="3276" t="s">
        <v>2999</v>
      </c>
      <c r="BO249" s="3276" t="s">
        <v>3446</v>
      </c>
      <c r="BP249" s="3276"/>
      <c r="BQ249" s="3276" t="e">
        <v>#DIV/0!</v>
      </c>
      <c r="BR249" s="3276" t="e">
        <v>#DIV/0!</v>
      </c>
      <c r="BS249" s="3285"/>
      <c r="BT249" s="3285"/>
      <c r="BU249" s="3285"/>
    </row>
    <row r="250" spans="1:73" hidden="1">
      <c r="A250" s="3267" t="s">
        <v>4912</v>
      </c>
      <c r="B250" s="3267" t="s">
        <v>4913</v>
      </c>
      <c r="C250" s="3269" t="s">
        <v>4914</v>
      </c>
      <c r="D250" s="3269" t="s">
        <v>4915</v>
      </c>
      <c r="E250" s="3267" t="s">
        <v>2985</v>
      </c>
      <c r="F250" s="3267" t="s">
        <v>4916</v>
      </c>
      <c r="G250" s="3267"/>
      <c r="H250" s="3267" t="s">
        <v>3136</v>
      </c>
      <c r="I250" s="3267"/>
      <c r="J250" s="3269" t="s">
        <v>3443</v>
      </c>
      <c r="K250" s="3267" t="s">
        <v>4917</v>
      </c>
      <c r="L250" s="3286">
        <v>50.38</v>
      </c>
      <c r="M250" s="3267">
        <v>9</v>
      </c>
      <c r="N250" s="3268" t="s">
        <v>3152</v>
      </c>
      <c r="O250" s="3267"/>
      <c r="P250" s="3267" t="s">
        <v>2963</v>
      </c>
      <c r="Q250" s="3287">
        <v>330000</v>
      </c>
      <c r="R250" s="3267">
        <v>6550</v>
      </c>
      <c r="S250" s="3272">
        <v>29.44</v>
      </c>
      <c r="T250" s="3273">
        <v>294400</v>
      </c>
      <c r="U250" s="3267">
        <v>5844</v>
      </c>
      <c r="V250" s="3289">
        <v>0.05</v>
      </c>
      <c r="W250" s="3272">
        <v>27.96</v>
      </c>
      <c r="X250" s="3275">
        <v>279600</v>
      </c>
      <c r="Y250" s="3276">
        <v>2006</v>
      </c>
      <c r="Z250" s="3276">
        <v>4</v>
      </c>
      <c r="AA250" s="3276">
        <v>7</v>
      </c>
      <c r="AB250" s="3267">
        <v>880</v>
      </c>
      <c r="AC250" s="3267" t="s">
        <v>3227</v>
      </c>
      <c r="AD250" s="3267"/>
      <c r="AE250" s="3276" t="s">
        <v>3304</v>
      </c>
      <c r="AF250" s="3267" t="s">
        <v>2966</v>
      </c>
      <c r="AG250" s="3279" t="s">
        <v>2967</v>
      </c>
      <c r="AH250" s="3267"/>
      <c r="AI250" s="3267" t="s">
        <v>3295</v>
      </c>
      <c r="AJ250" s="3284"/>
      <c r="AK250" s="3316" t="s">
        <v>2994</v>
      </c>
      <c r="AL250" s="3267">
        <v>67641700</v>
      </c>
      <c r="AM250" s="3267"/>
      <c r="AN250" s="3279" t="s">
        <v>3131</v>
      </c>
      <c r="AO250" s="3267"/>
      <c r="AP250" s="3267" t="s">
        <v>3342</v>
      </c>
      <c r="AQ250" s="3267" t="s">
        <v>3228</v>
      </c>
      <c r="AR250" s="3276"/>
      <c r="AS250" s="3276"/>
      <c r="AT250" s="3276"/>
      <c r="AU250" s="3276"/>
      <c r="AV250" s="3276"/>
      <c r="AW250" s="3276" t="s">
        <v>2968</v>
      </c>
      <c r="AX250" s="3276"/>
      <c r="AY250" s="3291"/>
      <c r="AZ250" s="3276" t="s">
        <v>2968</v>
      </c>
      <c r="BA250" s="3276"/>
      <c r="BB250" s="3291"/>
      <c r="BC250" s="3276"/>
      <c r="BD250" s="3292"/>
      <c r="BE250" s="3276"/>
      <c r="BF250" s="3281"/>
      <c r="BG250" s="3299">
        <v>38758</v>
      </c>
      <c r="BH250" s="3276"/>
      <c r="BI250" s="3267" t="s">
        <v>3342</v>
      </c>
      <c r="BJ250" s="3283">
        <v>38791</v>
      </c>
      <c r="BK250" s="3283"/>
      <c r="BL250" s="3267" t="s">
        <v>2998</v>
      </c>
      <c r="BM250" s="3276" t="s">
        <v>2879</v>
      </c>
      <c r="BN250" s="3276" t="s">
        <v>2999</v>
      </c>
      <c r="BO250" s="3276" t="s">
        <v>3146</v>
      </c>
      <c r="BP250" s="3276"/>
      <c r="BQ250" s="3276"/>
      <c r="BR250" s="3276"/>
      <c r="BS250" s="3285"/>
      <c r="BT250" s="3285"/>
      <c r="BU250" s="3285"/>
    </row>
    <row r="251" spans="1:73" hidden="1">
      <c r="A251" s="3267" t="s">
        <v>4918</v>
      </c>
      <c r="B251" s="3267" t="s">
        <v>4919</v>
      </c>
      <c r="C251" s="3269" t="s">
        <v>4920</v>
      </c>
      <c r="D251" s="3269" t="s">
        <v>4921</v>
      </c>
      <c r="E251" s="3267" t="s">
        <v>2985</v>
      </c>
      <c r="F251" s="3244" t="s">
        <v>3864</v>
      </c>
      <c r="G251" s="3267"/>
      <c r="H251" s="3267" t="s">
        <v>4922</v>
      </c>
      <c r="I251" s="3267" t="s">
        <v>4923</v>
      </c>
      <c r="J251" s="3269" t="s">
        <v>3380</v>
      </c>
      <c r="K251" s="3267" t="s">
        <v>4919</v>
      </c>
      <c r="L251" s="3270">
        <v>87.56</v>
      </c>
      <c r="M251" s="3267">
        <v>3</v>
      </c>
      <c r="N251" s="3268" t="s">
        <v>3098</v>
      </c>
      <c r="O251" s="3267"/>
      <c r="P251" s="3267" t="s">
        <v>2963</v>
      </c>
      <c r="Q251" s="3271">
        <v>438500</v>
      </c>
      <c r="R251" s="3267">
        <v>5008</v>
      </c>
      <c r="S251" s="3272">
        <v>49.49</v>
      </c>
      <c r="T251" s="3273">
        <v>494900</v>
      </c>
      <c r="U251" s="3267">
        <v>5653</v>
      </c>
      <c r="V251" s="3274">
        <v>0.05</v>
      </c>
      <c r="W251" s="3272">
        <v>47.01</v>
      </c>
      <c r="X251" s="3275">
        <v>470100</v>
      </c>
      <c r="Y251" s="3267">
        <v>2006</v>
      </c>
      <c r="Z251" s="3267">
        <v>3</v>
      </c>
      <c r="AA251" s="3276">
        <v>21</v>
      </c>
      <c r="AB251" s="3267">
        <v>1480</v>
      </c>
      <c r="AC251" s="3267" t="s">
        <v>3227</v>
      </c>
      <c r="AD251" s="3267"/>
      <c r="AE251" s="3276" t="s">
        <v>3304</v>
      </c>
      <c r="AF251" s="3267" t="s">
        <v>2966</v>
      </c>
      <c r="AG251" s="3267" t="s">
        <v>2967</v>
      </c>
      <c r="AH251" s="3267"/>
      <c r="AI251" s="3279" t="s">
        <v>2992</v>
      </c>
      <c r="AJ251" s="3284"/>
      <c r="AK251" s="3278" t="s">
        <v>3114</v>
      </c>
      <c r="AL251" s="3276">
        <v>67641700</v>
      </c>
      <c r="AM251" s="3276"/>
      <c r="AN251" s="3276" t="s">
        <v>2994</v>
      </c>
      <c r="AO251" s="3276"/>
      <c r="AP251" s="3267" t="s">
        <v>3305</v>
      </c>
      <c r="AQ251" s="3267" t="s">
        <v>3113</v>
      </c>
      <c r="AR251" s="3276"/>
      <c r="AS251" s="3276"/>
      <c r="AT251" s="3276"/>
      <c r="AU251" s="3276"/>
      <c r="AV251" s="3276"/>
      <c r="AW251" s="3276" t="s">
        <v>2997</v>
      </c>
      <c r="AX251" s="3276"/>
      <c r="AY251" s="3291"/>
      <c r="AZ251" s="3276" t="s">
        <v>4924</v>
      </c>
      <c r="BA251" s="3276"/>
      <c r="BB251" s="3291"/>
      <c r="BC251" s="3276"/>
      <c r="BD251" s="3292"/>
      <c r="BE251" s="3276">
        <v>13021946203</v>
      </c>
      <c r="BF251" s="3281"/>
      <c r="BG251" s="3299">
        <v>38762</v>
      </c>
      <c r="BH251" s="3267" t="s">
        <v>2998</v>
      </c>
      <c r="BI251" s="3267" t="s">
        <v>2991</v>
      </c>
      <c r="BJ251" s="3299">
        <v>38791</v>
      </c>
      <c r="BK251" s="3283"/>
      <c r="BL251" s="3267" t="s">
        <v>2998</v>
      </c>
      <c r="BM251" s="3267" t="s">
        <v>3128</v>
      </c>
      <c r="BN251" s="3267" t="s">
        <v>3111</v>
      </c>
      <c r="BO251" s="3267" t="s">
        <v>3146</v>
      </c>
      <c r="BP251" s="3276"/>
      <c r="BQ251" s="3276" t="e">
        <v>#DIV/0!</v>
      </c>
      <c r="BR251" s="3276" t="e">
        <v>#DIV/0!</v>
      </c>
      <c r="BS251" s="3285"/>
      <c r="BT251" s="3285"/>
      <c r="BU251" s="3285"/>
    </row>
    <row r="252" spans="1:73">
      <c r="A252" s="3267" t="s">
        <v>4925</v>
      </c>
      <c r="B252" s="3267" t="s">
        <v>4926</v>
      </c>
      <c r="C252" s="3269" t="s">
        <v>4927</v>
      </c>
      <c r="D252" s="3269">
        <v>13911559316</v>
      </c>
      <c r="E252" s="3268" t="s">
        <v>2985</v>
      </c>
      <c r="F252" s="3268" t="s">
        <v>3620</v>
      </c>
      <c r="G252" s="3267"/>
      <c r="H252" s="3267" t="s">
        <v>3124</v>
      </c>
      <c r="I252" s="3268" t="s">
        <v>3586</v>
      </c>
      <c r="J252" s="3267" t="s">
        <v>3165</v>
      </c>
      <c r="K252" s="3267" t="s">
        <v>4926</v>
      </c>
      <c r="L252" s="3270">
        <v>63.55</v>
      </c>
      <c r="M252" s="3267">
        <v>6</v>
      </c>
      <c r="N252" s="3267" t="s">
        <v>3122</v>
      </c>
      <c r="O252" s="3267"/>
      <c r="P252" s="3267" t="s">
        <v>2963</v>
      </c>
      <c r="Q252" s="3271">
        <v>400000</v>
      </c>
      <c r="R252" s="3267">
        <v>6294</v>
      </c>
      <c r="S252" s="3272">
        <v>34.46</v>
      </c>
      <c r="T252" s="3273">
        <v>344600</v>
      </c>
      <c r="U252" s="3267">
        <v>5424</v>
      </c>
      <c r="V252" s="3289">
        <v>0.05</v>
      </c>
      <c r="W252" s="3272">
        <v>32.729999999999997</v>
      </c>
      <c r="X252" s="3275">
        <v>327300</v>
      </c>
      <c r="Y252" s="3276">
        <v>2006</v>
      </c>
      <c r="Z252" s="3276">
        <v>3</v>
      </c>
      <c r="AA252" s="3276">
        <v>17</v>
      </c>
      <c r="AB252" s="3267">
        <v>1030</v>
      </c>
      <c r="AC252" s="3267" t="s">
        <v>3227</v>
      </c>
      <c r="AD252" s="3267"/>
      <c r="AE252" s="3279" t="s">
        <v>3344</v>
      </c>
      <c r="AF252" s="3268" t="s">
        <v>2966</v>
      </c>
      <c r="AG252" s="3279" t="s">
        <v>2967</v>
      </c>
      <c r="AH252" s="3267"/>
      <c r="AI252" s="3279" t="s">
        <v>2992</v>
      </c>
      <c r="AJ252" s="3284"/>
      <c r="AK252" s="3278">
        <v>3</v>
      </c>
      <c r="AL252" s="3276">
        <v>67641700</v>
      </c>
      <c r="AM252" s="3276"/>
      <c r="AN252" s="3279" t="s">
        <v>3114</v>
      </c>
      <c r="AO252" s="3267"/>
      <c r="AP252" s="3279" t="s">
        <v>3305</v>
      </c>
      <c r="AQ252" s="3276" t="s">
        <v>3113</v>
      </c>
      <c r="AR252" s="3276"/>
      <c r="AS252" s="3276"/>
      <c r="AT252" s="3276"/>
      <c r="AU252" s="3276"/>
      <c r="AV252" s="3276"/>
      <c r="AW252" s="3276" t="s">
        <v>2997</v>
      </c>
      <c r="AX252" s="3276"/>
      <c r="AY252" s="3291"/>
      <c r="AZ252" s="3267" t="s">
        <v>4928</v>
      </c>
      <c r="BA252" s="3296"/>
      <c r="BB252" s="3297"/>
      <c r="BC252" s="3296"/>
      <c r="BD252" s="3298"/>
      <c r="BE252" s="3276">
        <v>13141218824</v>
      </c>
      <c r="BF252" s="3281"/>
      <c r="BG252" s="3293">
        <v>38782</v>
      </c>
      <c r="BH252" s="3267" t="s">
        <v>2998</v>
      </c>
      <c r="BI252" s="3314" t="s">
        <v>3305</v>
      </c>
      <c r="BJ252" s="3283">
        <v>38791</v>
      </c>
      <c r="BK252" s="3283"/>
      <c r="BL252" s="3267" t="s">
        <v>3249</v>
      </c>
      <c r="BM252" s="3276" t="s">
        <v>2879</v>
      </c>
      <c r="BN252" s="3276" t="s">
        <v>2999</v>
      </c>
      <c r="BO252" s="3276" t="s">
        <v>3146</v>
      </c>
      <c r="BP252" s="3276"/>
      <c r="BQ252" s="3276" t="e">
        <v>#DIV/0!</v>
      </c>
      <c r="BR252" s="3276" t="e">
        <v>#DIV/0!</v>
      </c>
      <c r="BS252" s="3285"/>
      <c r="BT252" s="3285"/>
      <c r="BU252" s="3285"/>
    </row>
    <row r="253" spans="1:73" hidden="1">
      <c r="A253" s="3267" t="s">
        <v>4929</v>
      </c>
      <c r="B253" s="3267" t="s">
        <v>4930</v>
      </c>
      <c r="C253" s="3269" t="s">
        <v>4931</v>
      </c>
      <c r="D253" s="3269" t="s">
        <v>4932</v>
      </c>
      <c r="E253" s="3268" t="s">
        <v>2985</v>
      </c>
      <c r="F253" s="3268" t="s">
        <v>4933</v>
      </c>
      <c r="G253" s="3267"/>
      <c r="H253" s="3267" t="s">
        <v>3263</v>
      </c>
      <c r="I253" s="3268"/>
      <c r="J253" s="3267" t="s">
        <v>4934</v>
      </c>
      <c r="K253" s="3267" t="s">
        <v>4935</v>
      </c>
      <c r="L253" s="3267">
        <v>91.73</v>
      </c>
      <c r="M253" s="3267">
        <v>4</v>
      </c>
      <c r="N253" s="3267" t="s">
        <v>3122</v>
      </c>
      <c r="O253" s="3267"/>
      <c r="P253" s="3267" t="s">
        <v>2963</v>
      </c>
      <c r="Q253" s="3271">
        <v>710000</v>
      </c>
      <c r="R253" s="3267">
        <v>7740</v>
      </c>
      <c r="S253" s="3272">
        <v>67</v>
      </c>
      <c r="T253" s="3273">
        <v>670000</v>
      </c>
      <c r="U253" s="3267">
        <v>7305</v>
      </c>
      <c r="V253" s="3289">
        <v>0.05</v>
      </c>
      <c r="W253" s="3272">
        <v>63.65</v>
      </c>
      <c r="X253" s="3275">
        <v>636500</v>
      </c>
      <c r="Y253" s="3276">
        <v>2006</v>
      </c>
      <c r="Z253" s="3276">
        <v>4</v>
      </c>
      <c r="AA253" s="3276">
        <v>29</v>
      </c>
      <c r="AB253" s="3267">
        <v>1500</v>
      </c>
      <c r="AC253" s="3267" t="s">
        <v>3227</v>
      </c>
      <c r="AD253" s="3267"/>
      <c r="AE253" s="3279" t="s">
        <v>3304</v>
      </c>
      <c r="AF253" s="3268" t="s">
        <v>2966</v>
      </c>
      <c r="AG253" s="3279" t="s">
        <v>2967</v>
      </c>
      <c r="AH253" s="3267"/>
      <c r="AI253" s="3267" t="s">
        <v>3295</v>
      </c>
      <c r="AJ253" s="3284"/>
      <c r="AK253" s="3278">
        <v>4</v>
      </c>
      <c r="AL253" s="3276">
        <v>67641700</v>
      </c>
      <c r="AM253" s="3276"/>
      <c r="AN253" s="3279" t="s">
        <v>2994</v>
      </c>
      <c r="AO253" s="3267"/>
      <c r="AP253" s="3276" t="s">
        <v>3342</v>
      </c>
      <c r="AQ253" s="3276" t="s">
        <v>3113</v>
      </c>
      <c r="AR253" s="3276"/>
      <c r="AS253" s="3276"/>
      <c r="AT253" s="3276"/>
      <c r="AU253" s="3276"/>
      <c r="AV253" s="3276"/>
      <c r="AW253" s="3276" t="s">
        <v>2997</v>
      </c>
      <c r="AX253" s="3276"/>
      <c r="AY253" s="3291"/>
      <c r="AZ253" s="3267" t="s">
        <v>4935</v>
      </c>
      <c r="BA253" s="3296"/>
      <c r="BB253" s="3297"/>
      <c r="BC253" s="3296"/>
      <c r="BD253" s="3298"/>
      <c r="BE253" s="3276"/>
      <c r="BF253" s="3281"/>
      <c r="BG253" s="3293">
        <v>38768</v>
      </c>
      <c r="BH253" s="3267"/>
      <c r="BI253" s="3276" t="s">
        <v>3342</v>
      </c>
      <c r="BJ253" s="3299">
        <v>38789</v>
      </c>
      <c r="BK253" s="3283"/>
      <c r="BL253" s="3267" t="s">
        <v>3249</v>
      </c>
      <c r="BM253" s="3276" t="s">
        <v>2879</v>
      </c>
      <c r="BN253" s="3267" t="s">
        <v>2999</v>
      </c>
      <c r="BO253" s="3276" t="s">
        <v>3146</v>
      </c>
      <c r="BP253" s="3276"/>
      <c r="BQ253" s="3276"/>
      <c r="BR253" s="3276"/>
      <c r="BS253" s="3285"/>
      <c r="BT253" s="3285"/>
      <c r="BU253" s="3285"/>
    </row>
    <row r="254" spans="1:73" hidden="1">
      <c r="A254" s="3267" t="s">
        <v>4936</v>
      </c>
      <c r="B254" s="3267" t="s">
        <v>4937</v>
      </c>
      <c r="C254" s="3269" t="s">
        <v>4938</v>
      </c>
      <c r="D254" s="3269" t="s">
        <v>4939</v>
      </c>
      <c r="E254" s="3267" t="s">
        <v>2985</v>
      </c>
      <c r="F254" s="3308" t="s">
        <v>3324</v>
      </c>
      <c r="G254" s="3267"/>
      <c r="H254" s="3267" t="s">
        <v>4940</v>
      </c>
      <c r="I254" s="3268"/>
      <c r="J254" s="3269" t="s">
        <v>4941</v>
      </c>
      <c r="K254" s="3267" t="s">
        <v>4937</v>
      </c>
      <c r="L254" s="3270">
        <v>112.71</v>
      </c>
      <c r="M254" s="3267">
        <v>5</v>
      </c>
      <c r="N254" s="3267" t="s">
        <v>3122</v>
      </c>
      <c r="O254" s="3267"/>
      <c r="P254" s="3267" t="s">
        <v>2963</v>
      </c>
      <c r="Q254" s="3271">
        <v>520000</v>
      </c>
      <c r="R254" s="3267">
        <v>4614</v>
      </c>
      <c r="S254" s="3272">
        <v>61.99</v>
      </c>
      <c r="T254" s="3273">
        <v>619900</v>
      </c>
      <c r="U254" s="3267">
        <v>5500</v>
      </c>
      <c r="V254" s="3289">
        <v>0.05</v>
      </c>
      <c r="W254" s="3272">
        <v>58.89</v>
      </c>
      <c r="X254" s="3275">
        <v>588900</v>
      </c>
      <c r="Y254" s="3276">
        <v>2006</v>
      </c>
      <c r="Z254" s="3276">
        <v>3</v>
      </c>
      <c r="AA254" s="3276">
        <v>20</v>
      </c>
      <c r="AB254" s="3267">
        <v>1500</v>
      </c>
      <c r="AC254" s="3267" t="s">
        <v>3227</v>
      </c>
      <c r="AD254" s="3267"/>
      <c r="AE254" s="3276" t="s">
        <v>3245</v>
      </c>
      <c r="AF254" s="3267" t="s">
        <v>2966</v>
      </c>
      <c r="AG254" s="3279" t="s">
        <v>2967</v>
      </c>
      <c r="AH254" s="3267"/>
      <c r="AI254" s="3279" t="s">
        <v>2992</v>
      </c>
      <c r="AJ254" s="3284"/>
      <c r="AK254" s="3278">
        <v>3</v>
      </c>
      <c r="AL254" s="3276">
        <v>67641700</v>
      </c>
      <c r="AM254" s="3276"/>
      <c r="AN254" s="3279" t="s">
        <v>2994</v>
      </c>
      <c r="AO254" s="3267" t="s">
        <v>2968</v>
      </c>
      <c r="AP254" s="3279" t="s">
        <v>3305</v>
      </c>
      <c r="AQ254" s="3276" t="s">
        <v>3113</v>
      </c>
      <c r="AR254" s="3276"/>
      <c r="AS254" s="3276"/>
      <c r="AT254" s="3276"/>
      <c r="AU254" s="3276"/>
      <c r="AV254" s="3276"/>
      <c r="AW254" s="3276" t="s">
        <v>2997</v>
      </c>
      <c r="AX254" s="3276"/>
      <c r="AY254" s="3291"/>
      <c r="AZ254" s="3267" t="s">
        <v>4942</v>
      </c>
      <c r="BA254" s="3276"/>
      <c r="BB254" s="3291"/>
      <c r="BC254" s="3276"/>
      <c r="BD254" s="3292"/>
      <c r="BE254" s="3276"/>
      <c r="BF254" s="3281"/>
      <c r="BG254" s="3299">
        <v>38740</v>
      </c>
      <c r="BH254" s="3267" t="s">
        <v>2998</v>
      </c>
      <c r="BI254" s="3314" t="s">
        <v>3305</v>
      </c>
      <c r="BJ254" s="3283">
        <v>38791</v>
      </c>
      <c r="BK254" s="3299"/>
      <c r="BL254" s="3267" t="s">
        <v>3249</v>
      </c>
      <c r="BM254" s="3276" t="s">
        <v>2879</v>
      </c>
      <c r="BN254" s="3276" t="s">
        <v>3111</v>
      </c>
      <c r="BO254" s="3276" t="s">
        <v>3146</v>
      </c>
      <c r="BP254" s="3276"/>
      <c r="BQ254" s="3276" t="e">
        <v>#DIV/0!</v>
      </c>
      <c r="BR254" s="3276" t="e">
        <v>#DIV/0!</v>
      </c>
      <c r="BS254" s="3285"/>
      <c r="BT254" s="3285"/>
      <c r="BU254" s="3285"/>
    </row>
    <row r="255" spans="1:73" hidden="1">
      <c r="A255" s="3267" t="s">
        <v>4943</v>
      </c>
      <c r="B255" s="3267" t="s">
        <v>4944</v>
      </c>
      <c r="C255" s="3269" t="s">
        <v>4945</v>
      </c>
      <c r="D255" s="3269" t="s">
        <v>4946</v>
      </c>
      <c r="E255" s="3268" t="s">
        <v>2985</v>
      </c>
      <c r="F255" s="3268" t="s">
        <v>4947</v>
      </c>
      <c r="G255" s="3267"/>
      <c r="H255" s="3267" t="s">
        <v>3182</v>
      </c>
      <c r="I255" s="3268"/>
      <c r="J255" s="3267" t="s">
        <v>4948</v>
      </c>
      <c r="K255" s="3267" t="s">
        <v>4944</v>
      </c>
      <c r="L255" s="3270">
        <v>143.59</v>
      </c>
      <c r="M255" s="3267">
        <v>7</v>
      </c>
      <c r="N255" s="3267" t="s">
        <v>3129</v>
      </c>
      <c r="O255" s="3267"/>
      <c r="P255" s="3267" t="s">
        <v>2963</v>
      </c>
      <c r="Q255" s="3271">
        <v>740000</v>
      </c>
      <c r="R255" s="3267">
        <v>5154</v>
      </c>
      <c r="S255" s="3272">
        <v>82.37</v>
      </c>
      <c r="T255" s="3273">
        <v>823700</v>
      </c>
      <c r="U255" s="3267">
        <v>5737</v>
      </c>
      <c r="V255" s="3289">
        <v>0.05</v>
      </c>
      <c r="W255" s="3272">
        <v>78.25</v>
      </c>
      <c r="X255" s="3275">
        <v>782500</v>
      </c>
      <c r="Y255" s="3276">
        <v>2006</v>
      </c>
      <c r="Z255" s="3276">
        <v>3</v>
      </c>
      <c r="AA255" s="3276">
        <v>20</v>
      </c>
      <c r="AB255" s="3267">
        <v>1500</v>
      </c>
      <c r="AC255" s="3267" t="s">
        <v>3227</v>
      </c>
      <c r="AD255" s="3267"/>
      <c r="AE255" s="3279" t="s">
        <v>3344</v>
      </c>
      <c r="AF255" s="3268" t="s">
        <v>2966</v>
      </c>
      <c r="AG255" s="3279" t="s">
        <v>2967</v>
      </c>
      <c r="AH255" s="3267"/>
      <c r="AI255" s="3279" t="s">
        <v>2992</v>
      </c>
      <c r="AJ255" s="3284"/>
      <c r="AK255" s="3278">
        <v>3</v>
      </c>
      <c r="AL255" s="3276">
        <v>67641700</v>
      </c>
      <c r="AM255" s="3276"/>
      <c r="AN255" s="3279" t="s">
        <v>2994</v>
      </c>
      <c r="AO255" s="3267"/>
      <c r="AP255" s="3279" t="s">
        <v>3305</v>
      </c>
      <c r="AQ255" s="3276" t="s">
        <v>3113</v>
      </c>
      <c r="AR255" s="3276"/>
      <c r="AS255" s="3276"/>
      <c r="AT255" s="3276"/>
      <c r="AU255" s="3276"/>
      <c r="AV255" s="3276"/>
      <c r="AW255" s="3276" t="s">
        <v>2997</v>
      </c>
      <c r="AX255" s="3276"/>
      <c r="AY255" s="3291"/>
      <c r="AZ255" s="3267" t="s">
        <v>4949</v>
      </c>
      <c r="BA255" s="3296"/>
      <c r="BB255" s="3297"/>
      <c r="BC255" s="3296"/>
      <c r="BD255" s="3298"/>
      <c r="BE255" s="3276"/>
      <c r="BF255" s="3281"/>
      <c r="BG255" s="3293">
        <v>38759</v>
      </c>
      <c r="BH255" s="3267" t="s">
        <v>2998</v>
      </c>
      <c r="BI255" s="3314" t="s">
        <v>3305</v>
      </c>
      <c r="BJ255" s="3283">
        <v>38792</v>
      </c>
      <c r="BK255" s="3283"/>
      <c r="BL255" s="3267" t="s">
        <v>3249</v>
      </c>
      <c r="BM255" s="3276" t="s">
        <v>2879</v>
      </c>
      <c r="BN255" s="3276" t="s">
        <v>2999</v>
      </c>
      <c r="BO255" s="3276" t="s">
        <v>3146</v>
      </c>
      <c r="BP255" s="3276"/>
      <c r="BQ255" s="3276" t="e">
        <v>#DIV/0!</v>
      </c>
      <c r="BR255" s="3276" t="e">
        <v>#DIV/0!</v>
      </c>
      <c r="BS255" s="3285"/>
      <c r="BT255" s="3285"/>
      <c r="BU255" s="3285"/>
    </row>
    <row r="256" spans="1:73" hidden="1">
      <c r="A256" s="3267" t="s">
        <v>4950</v>
      </c>
      <c r="B256" s="3267" t="s">
        <v>4951</v>
      </c>
      <c r="C256" s="3269" t="s">
        <v>4952</v>
      </c>
      <c r="D256" s="3267">
        <v>13811550365</v>
      </c>
      <c r="E256" s="3267" t="s">
        <v>2985</v>
      </c>
      <c r="F256" s="3267" t="s">
        <v>3261</v>
      </c>
      <c r="G256" s="3267" t="s">
        <v>3262</v>
      </c>
      <c r="H256" s="3267" t="s">
        <v>3161</v>
      </c>
      <c r="I256" s="3267" t="s">
        <v>3608</v>
      </c>
      <c r="J256" s="3267" t="s">
        <v>3165</v>
      </c>
      <c r="K256" s="3267" t="s">
        <v>4953</v>
      </c>
      <c r="L256" s="3267">
        <v>42.07</v>
      </c>
      <c r="M256" s="3267">
        <v>6</v>
      </c>
      <c r="N256" s="3267" t="s">
        <v>3152</v>
      </c>
      <c r="O256" s="3267"/>
      <c r="P256" s="3267" t="s">
        <v>2963</v>
      </c>
      <c r="Q256" s="3267">
        <v>345000</v>
      </c>
      <c r="R256" s="3288">
        <v>8201</v>
      </c>
      <c r="S256" s="3272">
        <v>26.82</v>
      </c>
      <c r="T256" s="3273">
        <v>268200</v>
      </c>
      <c r="U256" s="3267">
        <v>6377</v>
      </c>
      <c r="V256" s="3289">
        <v>0.05</v>
      </c>
      <c r="W256" s="3272">
        <v>25.47</v>
      </c>
      <c r="X256" s="3273">
        <v>254700</v>
      </c>
      <c r="Y256" s="3267">
        <v>2006</v>
      </c>
      <c r="Z256" s="3267">
        <v>4</v>
      </c>
      <c r="AA256" s="3267">
        <v>17</v>
      </c>
      <c r="AB256" s="3267">
        <v>800</v>
      </c>
      <c r="AC256" s="3267" t="s">
        <v>3227</v>
      </c>
      <c r="AD256" s="3267"/>
      <c r="AE256" s="3267" t="s">
        <v>3238</v>
      </c>
      <c r="AF256" s="3267" t="s">
        <v>2966</v>
      </c>
      <c r="AG256" s="3267" t="s">
        <v>2967</v>
      </c>
      <c r="AH256" s="3267" t="s">
        <v>3262</v>
      </c>
      <c r="AI256" s="3267" t="s">
        <v>2992</v>
      </c>
      <c r="AJ256" s="3267" t="s">
        <v>3262</v>
      </c>
      <c r="AK256" s="3278">
        <v>4</v>
      </c>
      <c r="AL256" s="3267">
        <v>67641700</v>
      </c>
      <c r="AM256" s="3267" t="s">
        <v>3262</v>
      </c>
      <c r="AN256" s="3267" t="s">
        <v>3114</v>
      </c>
      <c r="AO256" s="3267"/>
      <c r="AP256" s="3267" t="s">
        <v>4395</v>
      </c>
      <c r="AQ256" s="3267" t="s">
        <v>3113</v>
      </c>
      <c r="AR256" s="3267" t="s">
        <v>3262</v>
      </c>
      <c r="AS256" s="3267" t="s">
        <v>3262</v>
      </c>
      <c r="AT256" s="3267" t="s">
        <v>3262</v>
      </c>
      <c r="AU256" s="3267" t="s">
        <v>3262</v>
      </c>
      <c r="AV256" s="3267" t="s">
        <v>3262</v>
      </c>
      <c r="AW256" s="3267" t="s">
        <v>3112</v>
      </c>
      <c r="AX256" s="3267" t="s">
        <v>3262</v>
      </c>
      <c r="AY256" s="3267" t="s">
        <v>3262</v>
      </c>
      <c r="AZ256" s="3267" t="s">
        <v>4953</v>
      </c>
      <c r="BA256" s="3267" t="s">
        <v>3262</v>
      </c>
      <c r="BB256" s="3267" t="s">
        <v>3262</v>
      </c>
      <c r="BC256" s="3267" t="s">
        <v>3262</v>
      </c>
      <c r="BD256" s="3267" t="s">
        <v>3262</v>
      </c>
      <c r="BE256" s="3269" t="s">
        <v>4954</v>
      </c>
      <c r="BF256" s="3267" t="s">
        <v>3262</v>
      </c>
      <c r="BG256" s="3284">
        <v>38774</v>
      </c>
      <c r="BH256" s="3267" t="s">
        <v>3262</v>
      </c>
      <c r="BI256" s="3267" t="s">
        <v>3238</v>
      </c>
      <c r="BJ256" s="3284">
        <v>38792</v>
      </c>
      <c r="BK256" s="3267" t="s">
        <v>3262</v>
      </c>
      <c r="BL256" s="3267" t="s">
        <v>2998</v>
      </c>
      <c r="BM256" s="3267" t="s">
        <v>3345</v>
      </c>
      <c r="BN256" s="3267" t="s">
        <v>2999</v>
      </c>
      <c r="BO256" s="3267" t="s">
        <v>3146</v>
      </c>
      <c r="BP256" s="3267" t="s">
        <v>3262</v>
      </c>
      <c r="BQ256" s="3276" t="e">
        <v>#DIV/0!</v>
      </c>
      <c r="BR256" s="3276" t="e">
        <v>#DIV/0!</v>
      </c>
      <c r="BS256" s="3285"/>
      <c r="BT256" s="3285"/>
      <c r="BU256" s="3285"/>
    </row>
    <row r="257" spans="1:73" hidden="1">
      <c r="A257" s="3267" t="s">
        <v>4955</v>
      </c>
      <c r="B257" s="3267" t="s">
        <v>4956</v>
      </c>
      <c r="C257" s="3267" t="s">
        <v>4957</v>
      </c>
      <c r="D257" s="3267" t="s">
        <v>4958</v>
      </c>
      <c r="E257" s="3267" t="s">
        <v>2985</v>
      </c>
      <c r="F257" s="3267" t="s">
        <v>4916</v>
      </c>
      <c r="G257" s="3267"/>
      <c r="H257" s="3267" t="s">
        <v>3136</v>
      </c>
      <c r="I257" s="3267"/>
      <c r="J257" s="3267">
        <v>1210</v>
      </c>
      <c r="K257" s="3267"/>
      <c r="L257" s="3270">
        <v>79.97</v>
      </c>
      <c r="M257" s="3267">
        <v>12</v>
      </c>
      <c r="N257" s="3267" t="s">
        <v>3125</v>
      </c>
      <c r="O257" s="3267"/>
      <c r="P257" s="3267" t="s">
        <v>2963</v>
      </c>
      <c r="Q257" s="3267">
        <v>470000</v>
      </c>
      <c r="R257" s="3267">
        <v>5877</v>
      </c>
      <c r="S257" s="3272">
        <v>46.87</v>
      </c>
      <c r="T257" s="3273">
        <v>468700</v>
      </c>
      <c r="U257" s="3267">
        <v>5862</v>
      </c>
      <c r="V257" s="3289">
        <v>0.05</v>
      </c>
      <c r="W257" s="3267">
        <v>44.52</v>
      </c>
      <c r="X257" s="3275">
        <v>445200</v>
      </c>
      <c r="Y257" s="3267">
        <v>2006</v>
      </c>
      <c r="Z257" s="3267">
        <v>2</v>
      </c>
      <c r="AA257" s="3267">
        <v>21</v>
      </c>
      <c r="AB257" s="3267">
        <v>1405</v>
      </c>
      <c r="AC257" s="3267" t="s">
        <v>3227</v>
      </c>
      <c r="AD257" s="3267"/>
      <c r="AE257" s="3267" t="s">
        <v>3304</v>
      </c>
      <c r="AF257" s="3267" t="s">
        <v>2966</v>
      </c>
      <c r="AG257" s="3267" t="s">
        <v>2967</v>
      </c>
      <c r="AH257" s="3267" t="s">
        <v>2968</v>
      </c>
      <c r="AI257" s="3267" t="s">
        <v>3295</v>
      </c>
      <c r="AJ257" s="3267"/>
      <c r="AK257" s="3267" t="s">
        <v>3114</v>
      </c>
      <c r="AL257" s="3267">
        <v>67641700</v>
      </c>
      <c r="AM257" s="3267"/>
      <c r="AN257" s="3267" t="s">
        <v>2994</v>
      </c>
      <c r="AO257" s="3267" t="s">
        <v>2968</v>
      </c>
      <c r="AP257" s="3267" t="s">
        <v>3305</v>
      </c>
      <c r="AQ257" s="3267" t="s">
        <v>3113</v>
      </c>
      <c r="AR257" s="3267"/>
      <c r="AS257" s="3267"/>
      <c r="AT257" s="3267"/>
      <c r="AU257" s="3267"/>
      <c r="AV257" s="3267" t="s">
        <v>2968</v>
      </c>
      <c r="AW257" s="3267" t="s">
        <v>3171</v>
      </c>
      <c r="AX257" s="3267"/>
      <c r="AY257" s="3269"/>
      <c r="AZ257" s="3267"/>
      <c r="BA257" s="3267"/>
      <c r="BB257" s="3269"/>
      <c r="BC257" s="3267"/>
      <c r="BD257" s="3304"/>
      <c r="BE257" s="3267"/>
      <c r="BF257" s="3305"/>
      <c r="BG257" s="3284">
        <v>38772</v>
      </c>
      <c r="BH257" s="3267"/>
      <c r="BI257" s="3267" t="s">
        <v>3487</v>
      </c>
      <c r="BJ257" s="3303">
        <v>38796</v>
      </c>
      <c r="BK257" s="3303" t="s">
        <v>2968</v>
      </c>
      <c r="BL257" s="3267" t="s">
        <v>2998</v>
      </c>
      <c r="BM257" s="3267" t="s">
        <v>2879</v>
      </c>
      <c r="BN257" s="3267" t="s">
        <v>3111</v>
      </c>
      <c r="BO257" s="3267" t="s">
        <v>3446</v>
      </c>
      <c r="BP257" s="3267"/>
      <c r="BQ257" s="3267" t="e">
        <v>#DIV/0!</v>
      </c>
      <c r="BR257" s="3267" t="e">
        <v>#DIV/0!</v>
      </c>
      <c r="BS257" s="3285"/>
      <c r="BT257" s="3285"/>
      <c r="BU257" s="3285"/>
    </row>
    <row r="258" spans="1:73" hidden="1">
      <c r="A258" s="3267" t="s">
        <v>4959</v>
      </c>
      <c r="B258" s="3267" t="s">
        <v>4960</v>
      </c>
      <c r="C258" s="3269" t="s">
        <v>4961</v>
      </c>
      <c r="D258" s="3267" t="s">
        <v>4962</v>
      </c>
      <c r="E258" s="3267" t="s">
        <v>2985</v>
      </c>
      <c r="F258" s="3267" t="s">
        <v>3676</v>
      </c>
      <c r="G258" s="3267"/>
      <c r="H258" s="3267" t="s">
        <v>3144</v>
      </c>
      <c r="I258" s="3267"/>
      <c r="J258" s="3267" t="s">
        <v>4963</v>
      </c>
      <c r="K258" s="3268" t="s">
        <v>4960</v>
      </c>
      <c r="L258" s="3270">
        <v>46.31</v>
      </c>
      <c r="M258" s="3267">
        <v>3</v>
      </c>
      <c r="N258" s="3267" t="s">
        <v>3152</v>
      </c>
      <c r="O258" s="3267"/>
      <c r="P258" s="3267" t="s">
        <v>2963</v>
      </c>
      <c r="Q258" s="3267">
        <v>260000</v>
      </c>
      <c r="R258" s="3267">
        <v>5614</v>
      </c>
      <c r="S258" s="3272">
        <v>20.16</v>
      </c>
      <c r="T258" s="3273">
        <v>201600</v>
      </c>
      <c r="U258" s="3267">
        <v>4354</v>
      </c>
      <c r="V258" s="3274">
        <v>0.05</v>
      </c>
      <c r="W258" s="3272">
        <v>19.149999999999999</v>
      </c>
      <c r="X258" s="3275">
        <v>191500</v>
      </c>
      <c r="Y258" s="3267">
        <v>2006</v>
      </c>
      <c r="Z258" s="3267">
        <v>3</v>
      </c>
      <c r="AA258" s="3276">
        <v>27</v>
      </c>
      <c r="AB258" s="3267">
        <v>600</v>
      </c>
      <c r="AC258" s="3267" t="s">
        <v>3227</v>
      </c>
      <c r="AD258" s="3267"/>
      <c r="AE258" s="3294" t="s">
        <v>2991</v>
      </c>
      <c r="AF258" s="3267" t="s">
        <v>2966</v>
      </c>
      <c r="AG258" s="3267" t="s">
        <v>2967</v>
      </c>
      <c r="AH258" s="3267"/>
      <c r="AI258" s="3267" t="s">
        <v>3115</v>
      </c>
      <c r="AJ258" s="3315"/>
      <c r="AK258" s="3267" t="s">
        <v>3114</v>
      </c>
      <c r="AL258" s="3267">
        <v>82253558</v>
      </c>
      <c r="AM258" s="3267"/>
      <c r="AN258" s="3267" t="s">
        <v>3099</v>
      </c>
      <c r="AO258" s="3267" t="s">
        <v>2968</v>
      </c>
      <c r="AP258" s="3267" t="s">
        <v>3180</v>
      </c>
      <c r="AQ258" s="3267" t="s">
        <v>3113</v>
      </c>
      <c r="AR258" s="3267"/>
      <c r="AS258" s="3267"/>
      <c r="AT258" s="3267"/>
      <c r="AU258" s="3267"/>
      <c r="AV258" s="3267"/>
      <c r="AW258" s="3267" t="s">
        <v>2997</v>
      </c>
      <c r="AX258" s="3267"/>
      <c r="AY258" s="3269"/>
      <c r="AZ258" s="3267" t="s">
        <v>4964</v>
      </c>
      <c r="BA258" s="3267"/>
      <c r="BB258" s="3267"/>
      <c r="BC258" s="3267"/>
      <c r="BD258" s="3267"/>
      <c r="BE258" s="3267">
        <v>13521290482</v>
      </c>
      <c r="BF258" s="3267"/>
      <c r="BG258" s="3307">
        <v>38780</v>
      </c>
      <c r="BH258" s="3267"/>
      <c r="BI258" s="3267" t="s">
        <v>2991</v>
      </c>
      <c r="BJ258" s="3283">
        <v>38796</v>
      </c>
      <c r="BK258" s="3283"/>
      <c r="BL258" s="3267" t="s">
        <v>2998</v>
      </c>
      <c r="BM258" s="3267" t="s">
        <v>2879</v>
      </c>
      <c r="BN258" s="3267" t="s">
        <v>2999</v>
      </c>
      <c r="BO258" s="3267" t="s">
        <v>3000</v>
      </c>
      <c r="BP258" s="3267"/>
      <c r="BQ258" s="3276" t="e">
        <v>#DIV/0!</v>
      </c>
      <c r="BR258" s="3276" t="e">
        <v>#DIV/0!</v>
      </c>
      <c r="BS258" s="3285"/>
      <c r="BT258" s="3285"/>
      <c r="BU258" s="3285"/>
    </row>
    <row r="259" spans="1:73" hidden="1">
      <c r="A259" s="3267" t="s">
        <v>4965</v>
      </c>
      <c r="B259" s="3267" t="s">
        <v>4966</v>
      </c>
      <c r="C259" s="3269" t="s">
        <v>4967</v>
      </c>
      <c r="D259" s="3269">
        <v>13661355055</v>
      </c>
      <c r="E259" s="3268" t="s">
        <v>2985</v>
      </c>
      <c r="F259" s="3268" t="s">
        <v>4968</v>
      </c>
      <c r="G259" s="3267"/>
      <c r="H259" s="3267" t="s">
        <v>4253</v>
      </c>
      <c r="I259" s="3268" t="s">
        <v>3642</v>
      </c>
      <c r="J259" s="3267" t="s">
        <v>4969</v>
      </c>
      <c r="K259" s="3267" t="s">
        <v>4966</v>
      </c>
      <c r="L259" s="3270">
        <v>56.95</v>
      </c>
      <c r="M259" s="3267">
        <v>3</v>
      </c>
      <c r="N259" s="3267" t="s">
        <v>3838</v>
      </c>
      <c r="O259" s="3267"/>
      <c r="P259" s="3267" t="s">
        <v>2963</v>
      </c>
      <c r="Q259" s="3271">
        <v>280000</v>
      </c>
      <c r="R259" s="3267">
        <v>4917</v>
      </c>
      <c r="S259" s="3272">
        <v>28.96</v>
      </c>
      <c r="T259" s="3273">
        <v>289600</v>
      </c>
      <c r="U259" s="3267">
        <v>5086</v>
      </c>
      <c r="V259" s="3289">
        <v>0.05</v>
      </c>
      <c r="W259" s="3272">
        <v>27.51</v>
      </c>
      <c r="X259" s="3275">
        <v>275100</v>
      </c>
      <c r="Y259" s="3276">
        <v>2006</v>
      </c>
      <c r="Z259" s="3276">
        <v>3</v>
      </c>
      <c r="AA259" s="3294">
        <v>24</v>
      </c>
      <c r="AB259" s="3267">
        <v>865</v>
      </c>
      <c r="AC259" s="3267" t="s">
        <v>3227</v>
      </c>
      <c r="AD259" s="3267"/>
      <c r="AE259" s="3279" t="s">
        <v>3344</v>
      </c>
      <c r="AF259" s="3268" t="s">
        <v>2966</v>
      </c>
      <c r="AG259" s="3279" t="s">
        <v>2967</v>
      </c>
      <c r="AH259" s="3267"/>
      <c r="AI259" s="3279" t="s">
        <v>2992</v>
      </c>
      <c r="AJ259" s="3284"/>
      <c r="AK259" s="3278">
        <v>3</v>
      </c>
      <c r="AL259" s="3276">
        <v>67641700</v>
      </c>
      <c r="AM259" s="3276"/>
      <c r="AN259" s="3279" t="s">
        <v>2994</v>
      </c>
      <c r="AO259" s="3267"/>
      <c r="AP259" s="3279" t="s">
        <v>3305</v>
      </c>
      <c r="AQ259" s="3276" t="s">
        <v>3113</v>
      </c>
      <c r="AR259" s="3276"/>
      <c r="AS259" s="3276"/>
      <c r="AT259" s="3276"/>
      <c r="AU259" s="3276"/>
      <c r="AV259" s="3276"/>
      <c r="AW259" s="3276" t="s">
        <v>2997</v>
      </c>
      <c r="AX259" s="3276"/>
      <c r="AY259" s="3291"/>
      <c r="AZ259" s="3267" t="s">
        <v>4970</v>
      </c>
      <c r="BA259" s="3296"/>
      <c r="BB259" s="3297"/>
      <c r="BC259" s="3296"/>
      <c r="BD259" s="3298"/>
      <c r="BE259" s="3276" t="s">
        <v>4971</v>
      </c>
      <c r="BF259" s="3281"/>
      <c r="BG259" s="3293">
        <v>38786</v>
      </c>
      <c r="BH259" s="3267" t="s">
        <v>2998</v>
      </c>
      <c r="BI259" s="3314" t="s">
        <v>3305</v>
      </c>
      <c r="BJ259" s="3283">
        <v>38797</v>
      </c>
      <c r="BK259" s="3283"/>
      <c r="BL259" s="3267" t="s">
        <v>3249</v>
      </c>
      <c r="BM259" s="3276" t="s">
        <v>2879</v>
      </c>
      <c r="BN259" s="3276" t="s">
        <v>2999</v>
      </c>
      <c r="BO259" s="3276" t="s">
        <v>3146</v>
      </c>
      <c r="BP259" s="3276"/>
      <c r="BQ259" s="3276" t="e">
        <v>#DIV/0!</v>
      </c>
      <c r="BR259" s="3276" t="e">
        <v>#DIV/0!</v>
      </c>
      <c r="BS259" s="3285"/>
      <c r="BT259" s="3285"/>
      <c r="BU259" s="3285"/>
    </row>
    <row r="260" spans="1:73" hidden="1">
      <c r="A260" s="3267" t="s">
        <v>4972</v>
      </c>
      <c r="B260" s="3267" t="s">
        <v>4973</v>
      </c>
      <c r="C260" s="3269" t="s">
        <v>4974</v>
      </c>
      <c r="D260" s="3269" t="s">
        <v>4975</v>
      </c>
      <c r="E260" s="3267" t="s">
        <v>2985</v>
      </c>
      <c r="F260" s="3244" t="s">
        <v>3224</v>
      </c>
      <c r="G260" s="3267"/>
      <c r="H260" s="3267" t="s">
        <v>3225</v>
      </c>
      <c r="I260" s="3267"/>
      <c r="J260" s="3269" t="s">
        <v>4976</v>
      </c>
      <c r="K260" s="3267" t="s">
        <v>4973</v>
      </c>
      <c r="L260" s="3270">
        <v>90.45</v>
      </c>
      <c r="M260" s="3267">
        <v>24</v>
      </c>
      <c r="N260" s="3268" t="s">
        <v>3122</v>
      </c>
      <c r="O260" s="3267"/>
      <c r="P260" s="3267" t="s">
        <v>2963</v>
      </c>
      <c r="Q260" s="3271">
        <v>340000</v>
      </c>
      <c r="R260" s="3267">
        <v>3759</v>
      </c>
      <c r="S260" s="3272">
        <v>37.950000000000003</v>
      </c>
      <c r="T260" s="3273">
        <v>379500</v>
      </c>
      <c r="U260" s="3267">
        <v>4196</v>
      </c>
      <c r="V260" s="3274">
        <v>0.05</v>
      </c>
      <c r="W260" s="3272">
        <v>36.049999999999997</v>
      </c>
      <c r="X260" s="3275">
        <v>360500</v>
      </c>
      <c r="Y260" s="3267">
        <v>2006</v>
      </c>
      <c r="Z260" s="3267">
        <v>3</v>
      </c>
      <c r="AA260" s="3276">
        <v>23</v>
      </c>
      <c r="AB260" s="3267">
        <v>1135</v>
      </c>
      <c r="AC260" s="3267" t="s">
        <v>3227</v>
      </c>
      <c r="AD260" s="3267"/>
      <c r="AE260" s="3276" t="s">
        <v>3304</v>
      </c>
      <c r="AF260" s="3267" t="s">
        <v>2966</v>
      </c>
      <c r="AG260" s="3267" t="s">
        <v>2967</v>
      </c>
      <c r="AH260" s="3267"/>
      <c r="AI260" s="3279" t="s">
        <v>2992</v>
      </c>
      <c r="AJ260" s="3284"/>
      <c r="AK260" s="3278" t="s">
        <v>3114</v>
      </c>
      <c r="AL260" s="3276">
        <v>67641700</v>
      </c>
      <c r="AM260" s="3276"/>
      <c r="AN260" s="3276" t="s">
        <v>2994</v>
      </c>
      <c r="AO260" s="3276"/>
      <c r="AP260" s="3267" t="s">
        <v>3305</v>
      </c>
      <c r="AQ260" s="3267" t="s">
        <v>3113</v>
      </c>
      <c r="AR260" s="3276"/>
      <c r="AS260" s="3276"/>
      <c r="AT260" s="3276"/>
      <c r="AU260" s="3276"/>
      <c r="AV260" s="3276"/>
      <c r="AW260" s="3276" t="s">
        <v>2997</v>
      </c>
      <c r="AX260" s="3276"/>
      <c r="AY260" s="3291"/>
      <c r="AZ260" s="3276" t="s">
        <v>4977</v>
      </c>
      <c r="BA260" s="3276"/>
      <c r="BB260" s="3291"/>
      <c r="BC260" s="3276"/>
      <c r="BD260" s="3292"/>
      <c r="BE260" s="3276">
        <v>85301850</v>
      </c>
      <c r="BF260" s="3281"/>
      <c r="BG260" s="3299">
        <v>38687</v>
      </c>
      <c r="BH260" s="3267" t="s">
        <v>2998</v>
      </c>
      <c r="BI260" s="3267" t="s">
        <v>2991</v>
      </c>
      <c r="BJ260" s="3299">
        <v>38797</v>
      </c>
      <c r="BK260" s="3283"/>
      <c r="BL260" s="3267" t="s">
        <v>2998</v>
      </c>
      <c r="BM260" s="3267" t="s">
        <v>3128</v>
      </c>
      <c r="BN260" s="3267" t="s">
        <v>3111</v>
      </c>
      <c r="BO260" s="3267" t="s">
        <v>3146</v>
      </c>
      <c r="BP260" s="3276"/>
      <c r="BQ260" s="3276" t="e">
        <v>#DIV/0!</v>
      </c>
      <c r="BR260" s="3276" t="e">
        <v>#DIV/0!</v>
      </c>
      <c r="BS260" s="3285"/>
      <c r="BT260" s="3285"/>
      <c r="BU260" s="3285"/>
    </row>
    <row r="261" spans="1:73" hidden="1">
      <c r="A261" s="3267" t="s">
        <v>4978</v>
      </c>
      <c r="B261" s="3267" t="s">
        <v>4979</v>
      </c>
      <c r="C261" s="3269" t="s">
        <v>4980</v>
      </c>
      <c r="D261" s="3269">
        <v>13661182881</v>
      </c>
      <c r="E261" s="3268" t="s">
        <v>2985</v>
      </c>
      <c r="F261" s="3268" t="s">
        <v>4968</v>
      </c>
      <c r="G261" s="3267"/>
      <c r="H261" s="3267" t="s">
        <v>3159</v>
      </c>
      <c r="I261" s="3268" t="s">
        <v>3190</v>
      </c>
      <c r="J261" s="3267" t="s">
        <v>4981</v>
      </c>
      <c r="K261" s="3267" t="s">
        <v>4982</v>
      </c>
      <c r="L261" s="3270">
        <v>58.63</v>
      </c>
      <c r="M261" s="3267">
        <v>5</v>
      </c>
      <c r="N261" s="3267" t="s">
        <v>3125</v>
      </c>
      <c r="O261" s="3267"/>
      <c r="P261" s="3267" t="s">
        <v>2963</v>
      </c>
      <c r="Q261" s="3271">
        <v>390000</v>
      </c>
      <c r="R261" s="3267">
        <v>6652</v>
      </c>
      <c r="S261" s="3272">
        <v>29.81</v>
      </c>
      <c r="T261" s="3273">
        <v>298100</v>
      </c>
      <c r="U261" s="3267">
        <v>5085</v>
      </c>
      <c r="V261" s="3289">
        <v>0.05</v>
      </c>
      <c r="W261" s="3272">
        <v>28.31</v>
      </c>
      <c r="X261" s="3275">
        <v>283100</v>
      </c>
      <c r="Y261" s="3276">
        <v>2006</v>
      </c>
      <c r="Z261" s="3276">
        <v>3</v>
      </c>
      <c r="AA261" s="3294">
        <v>24</v>
      </c>
      <c r="AB261" s="3267">
        <v>890</v>
      </c>
      <c r="AC261" s="3267" t="s">
        <v>3227</v>
      </c>
      <c r="AD261" s="3267"/>
      <c r="AE261" s="3279" t="s">
        <v>3344</v>
      </c>
      <c r="AF261" s="3268" t="s">
        <v>2966</v>
      </c>
      <c r="AG261" s="3279" t="s">
        <v>2967</v>
      </c>
      <c r="AH261" s="3267"/>
      <c r="AI261" s="3279" t="s">
        <v>2992</v>
      </c>
      <c r="AJ261" s="3284"/>
      <c r="AK261" s="3278">
        <v>3</v>
      </c>
      <c r="AL261" s="3276">
        <v>67641700</v>
      </c>
      <c r="AM261" s="3276"/>
      <c r="AN261" s="3279" t="s">
        <v>2994</v>
      </c>
      <c r="AO261" s="3267"/>
      <c r="AP261" s="3279" t="s">
        <v>3305</v>
      </c>
      <c r="AQ261" s="3276" t="s">
        <v>3113</v>
      </c>
      <c r="AR261" s="3276"/>
      <c r="AS261" s="3276"/>
      <c r="AT261" s="3276"/>
      <c r="AU261" s="3276"/>
      <c r="AV261" s="3276"/>
      <c r="AW261" s="3276" t="s">
        <v>2997</v>
      </c>
      <c r="AX261" s="3276"/>
      <c r="AY261" s="3291"/>
      <c r="AZ261" s="3267" t="s">
        <v>4982</v>
      </c>
      <c r="BA261" s="3296"/>
      <c r="BB261" s="3297"/>
      <c r="BC261" s="3296"/>
      <c r="BD261" s="3298"/>
      <c r="BE261" s="3276"/>
      <c r="BF261" s="3281"/>
      <c r="BG261" s="3293">
        <v>38738</v>
      </c>
      <c r="BH261" s="3267" t="s">
        <v>2998</v>
      </c>
      <c r="BI261" s="3314" t="s">
        <v>3305</v>
      </c>
      <c r="BJ261" s="3283">
        <v>38796</v>
      </c>
      <c r="BK261" s="3283"/>
      <c r="BL261" s="3267" t="s">
        <v>3249</v>
      </c>
      <c r="BM261" s="3276" t="s">
        <v>2879</v>
      </c>
      <c r="BN261" s="3276" t="s">
        <v>2999</v>
      </c>
      <c r="BO261" s="3276" t="s">
        <v>3146</v>
      </c>
      <c r="BP261" s="3276"/>
      <c r="BQ261" s="3276" t="e">
        <v>#DIV/0!</v>
      </c>
      <c r="BR261" s="3276" t="e">
        <v>#DIV/0!</v>
      </c>
      <c r="BS261" s="3285"/>
      <c r="BT261" s="3285"/>
      <c r="BU261" s="3285"/>
    </row>
    <row r="262" spans="1:73" hidden="1">
      <c r="A262" s="3267" t="s">
        <v>4983</v>
      </c>
      <c r="B262" s="3267" t="s">
        <v>4984</v>
      </c>
      <c r="C262" s="3269" t="s">
        <v>4985</v>
      </c>
      <c r="D262" s="3269" t="s">
        <v>4986</v>
      </c>
      <c r="E262" s="3267" t="s">
        <v>2985</v>
      </c>
      <c r="F262" s="3244" t="s">
        <v>4987</v>
      </c>
      <c r="G262" s="3267"/>
      <c r="H262" s="3267" t="s">
        <v>4988</v>
      </c>
      <c r="I262" s="3267" t="s">
        <v>3458</v>
      </c>
      <c r="J262" s="3269" t="s">
        <v>4989</v>
      </c>
      <c r="K262" s="3267" t="s">
        <v>4990</v>
      </c>
      <c r="L262" s="3267">
        <v>61.82</v>
      </c>
      <c r="M262" s="3267">
        <v>4</v>
      </c>
      <c r="N262" s="3268" t="s">
        <v>3125</v>
      </c>
      <c r="O262" s="3267"/>
      <c r="P262" s="3267" t="s">
        <v>2963</v>
      </c>
      <c r="Q262" s="3271">
        <v>360000</v>
      </c>
      <c r="R262" s="3267">
        <v>5823</v>
      </c>
      <c r="S262" s="3272">
        <v>35.86</v>
      </c>
      <c r="T262" s="3273">
        <v>358600</v>
      </c>
      <c r="U262" s="3267">
        <v>5801</v>
      </c>
      <c r="V262" s="3274">
        <v>0.05</v>
      </c>
      <c r="W262" s="3272">
        <v>34.06</v>
      </c>
      <c r="X262" s="3275">
        <v>340600</v>
      </c>
      <c r="Y262" s="3267">
        <v>2006</v>
      </c>
      <c r="Z262" s="3267">
        <v>3</v>
      </c>
      <c r="AA262" s="3276">
        <v>31</v>
      </c>
      <c r="AB262" s="3267">
        <v>1075</v>
      </c>
      <c r="AC262" s="3267" t="s">
        <v>3480</v>
      </c>
      <c r="AD262" s="3267"/>
      <c r="AE262" s="3276" t="s">
        <v>3304</v>
      </c>
      <c r="AF262" s="3267" t="s">
        <v>2966</v>
      </c>
      <c r="AG262" s="3267" t="s">
        <v>2967</v>
      </c>
      <c r="AH262" s="3267"/>
      <c r="AI262" s="3279" t="s">
        <v>2992</v>
      </c>
      <c r="AJ262" s="3284"/>
      <c r="AK262" s="3278" t="s">
        <v>3114</v>
      </c>
      <c r="AL262" s="3276">
        <v>67641700</v>
      </c>
      <c r="AM262" s="3276"/>
      <c r="AN262" s="3276" t="s">
        <v>3099</v>
      </c>
      <c r="AO262" s="3276"/>
      <c r="AP262" s="3267" t="s">
        <v>3305</v>
      </c>
      <c r="AQ262" s="3267" t="s">
        <v>3228</v>
      </c>
      <c r="AR262" s="3276"/>
      <c r="AS262" s="3276"/>
      <c r="AT262" s="3276"/>
      <c r="AU262" s="3276"/>
      <c r="AV262" s="3276"/>
      <c r="AW262" s="3276" t="s">
        <v>2997</v>
      </c>
      <c r="AX262" s="3276"/>
      <c r="AY262" s="3291"/>
      <c r="AZ262" s="3276" t="s">
        <v>4990</v>
      </c>
      <c r="BA262" s="3276"/>
      <c r="BB262" s="3291"/>
      <c r="BC262" s="3276"/>
      <c r="BD262" s="3292"/>
      <c r="BE262" s="3276"/>
      <c r="BF262" s="3281"/>
      <c r="BG262" s="3299">
        <v>38796</v>
      </c>
      <c r="BH262" s="3267" t="s">
        <v>2998</v>
      </c>
      <c r="BI262" s="3267" t="s">
        <v>2991</v>
      </c>
      <c r="BJ262" s="3299">
        <v>38797</v>
      </c>
      <c r="BK262" s="3283"/>
      <c r="BL262" s="3267" t="s">
        <v>2998</v>
      </c>
      <c r="BM262" s="3267" t="s">
        <v>2879</v>
      </c>
      <c r="BN262" s="3267" t="s">
        <v>2999</v>
      </c>
      <c r="BO262" s="3267" t="s">
        <v>3146</v>
      </c>
      <c r="BP262" s="3276"/>
      <c r="BQ262" s="3276" t="e">
        <v>#DIV/0!</v>
      </c>
      <c r="BR262" s="3276" t="e">
        <v>#DIV/0!</v>
      </c>
      <c r="BS262" s="3285"/>
      <c r="BT262" s="3285"/>
      <c r="BU262" s="3285"/>
    </row>
    <row r="263" spans="1:73" hidden="1">
      <c r="A263" s="3267" t="s">
        <v>4991</v>
      </c>
      <c r="B263" s="3267" t="s">
        <v>4992</v>
      </c>
      <c r="C263" s="3269" t="s">
        <v>4993</v>
      </c>
      <c r="D263" s="3269" t="s">
        <v>4994</v>
      </c>
      <c r="E263" s="3267" t="s">
        <v>2985</v>
      </c>
      <c r="F263" s="3267" t="s">
        <v>4916</v>
      </c>
      <c r="G263" s="3267"/>
      <c r="H263" s="3267" t="s">
        <v>3411</v>
      </c>
      <c r="I263" s="3267" t="s">
        <v>3586</v>
      </c>
      <c r="J263" s="3269" t="s">
        <v>3528</v>
      </c>
      <c r="K263" s="3267" t="s">
        <v>4995</v>
      </c>
      <c r="L263" s="3286">
        <v>60.7</v>
      </c>
      <c r="M263" s="3267">
        <v>6</v>
      </c>
      <c r="N263" s="3268" t="s">
        <v>3122</v>
      </c>
      <c r="O263" s="3267"/>
      <c r="P263" s="3267" t="s">
        <v>2963</v>
      </c>
      <c r="Q263" s="3287">
        <v>368000</v>
      </c>
      <c r="R263" s="3267">
        <v>6063</v>
      </c>
      <c r="S263" s="3272">
        <v>35.04</v>
      </c>
      <c r="T263" s="3273">
        <v>350400</v>
      </c>
      <c r="U263" s="3267">
        <v>5773</v>
      </c>
      <c r="V263" s="3289">
        <v>0.05</v>
      </c>
      <c r="W263" s="3272">
        <v>33.28</v>
      </c>
      <c r="X263" s="3275">
        <v>332800</v>
      </c>
      <c r="Y263" s="3276">
        <v>2006</v>
      </c>
      <c r="Z263" s="3276">
        <v>3</v>
      </c>
      <c r="AA263" s="3276">
        <v>30</v>
      </c>
      <c r="AB263" s="3267">
        <v>1050</v>
      </c>
      <c r="AC263" s="3267" t="s">
        <v>3480</v>
      </c>
      <c r="AD263" s="3267"/>
      <c r="AE263" s="3276" t="s">
        <v>3304</v>
      </c>
      <c r="AF263" s="3267" t="s">
        <v>2966</v>
      </c>
      <c r="AG263" s="3279" t="s">
        <v>2967</v>
      </c>
      <c r="AH263" s="3267"/>
      <c r="AI263" s="3267" t="s">
        <v>3295</v>
      </c>
      <c r="AJ263" s="3284"/>
      <c r="AK263" s="3316" t="s">
        <v>3114</v>
      </c>
      <c r="AL263" s="3267">
        <v>67641700</v>
      </c>
      <c r="AM263" s="3267"/>
      <c r="AN263" s="3279" t="s">
        <v>3099</v>
      </c>
      <c r="AO263" s="3267"/>
      <c r="AP263" s="3267" t="s">
        <v>3342</v>
      </c>
      <c r="AQ263" s="3267" t="s">
        <v>3113</v>
      </c>
      <c r="AR263" s="3276"/>
      <c r="AS263" s="3276"/>
      <c r="AT263" s="3276"/>
      <c r="AU263" s="3276"/>
      <c r="AV263" s="3276"/>
      <c r="AW263" s="3276" t="s">
        <v>2968</v>
      </c>
      <c r="AX263" s="3276"/>
      <c r="AY263" s="3291"/>
      <c r="AZ263" s="3276" t="s">
        <v>4995</v>
      </c>
      <c r="BA263" s="3276"/>
      <c r="BB263" s="3291"/>
      <c r="BC263" s="3276"/>
      <c r="BD263" s="3292"/>
      <c r="BE263" s="3276"/>
      <c r="BF263" s="3281"/>
      <c r="BG263" s="3299">
        <v>38792</v>
      </c>
      <c r="BH263" s="3276"/>
      <c r="BI263" s="3267" t="s">
        <v>3342</v>
      </c>
      <c r="BJ263" s="3283">
        <v>38797</v>
      </c>
      <c r="BK263" s="3283"/>
      <c r="BL263" s="3267" t="s">
        <v>2998</v>
      </c>
      <c r="BM263" s="3276" t="s">
        <v>2879</v>
      </c>
      <c r="BN263" s="3276" t="s">
        <v>2999</v>
      </c>
      <c r="BO263" s="3276" t="s">
        <v>3146</v>
      </c>
      <c r="BP263" s="3276"/>
      <c r="BQ263" s="3276"/>
      <c r="BR263" s="3276"/>
      <c r="BS263" s="3285"/>
      <c r="BT263" s="3285"/>
      <c r="BU263" s="3285"/>
    </row>
    <row r="264" spans="1:73" hidden="1">
      <c r="A264" s="3267" t="s">
        <v>4996</v>
      </c>
      <c r="B264" s="3267" t="s">
        <v>4997</v>
      </c>
      <c r="C264" s="3269" t="s">
        <v>4998</v>
      </c>
      <c r="D264" s="3269" t="s">
        <v>4999</v>
      </c>
      <c r="E264" s="3267" t="s">
        <v>2985</v>
      </c>
      <c r="F264" s="3244" t="s">
        <v>3985</v>
      </c>
      <c r="G264" s="3267"/>
      <c r="H264" s="3267" t="s">
        <v>3402</v>
      </c>
      <c r="I264" s="3267"/>
      <c r="J264" s="3269" t="s">
        <v>5000</v>
      </c>
      <c r="K264" s="3267" t="s">
        <v>4997</v>
      </c>
      <c r="L264" s="3270">
        <v>67.28</v>
      </c>
      <c r="M264" s="3267">
        <v>5</v>
      </c>
      <c r="N264" s="3268" t="s">
        <v>3152</v>
      </c>
      <c r="O264" s="3267"/>
      <c r="P264" s="3267" t="s">
        <v>2963</v>
      </c>
      <c r="Q264" s="3271">
        <v>430000</v>
      </c>
      <c r="R264" s="3267">
        <v>6391</v>
      </c>
      <c r="S264" s="3272">
        <v>38.51</v>
      </c>
      <c r="T264" s="3273">
        <v>385100</v>
      </c>
      <c r="U264" s="3267">
        <v>5724</v>
      </c>
      <c r="V264" s="3274">
        <v>0.05</v>
      </c>
      <c r="W264" s="3272">
        <v>36.58</v>
      </c>
      <c r="X264" s="3275">
        <v>365800</v>
      </c>
      <c r="Y264" s="3267">
        <v>2006</v>
      </c>
      <c r="Z264" s="3267">
        <v>3</v>
      </c>
      <c r="AA264" s="3276">
        <v>23</v>
      </c>
      <c r="AB264" s="3267">
        <v>1155</v>
      </c>
      <c r="AC264" s="3267" t="s">
        <v>3227</v>
      </c>
      <c r="AD264" s="3267"/>
      <c r="AE264" s="3276" t="s">
        <v>3304</v>
      </c>
      <c r="AF264" s="3267" t="s">
        <v>2966</v>
      </c>
      <c r="AG264" s="3267" t="s">
        <v>2967</v>
      </c>
      <c r="AH264" s="3267"/>
      <c r="AI264" s="3279" t="s">
        <v>2992</v>
      </c>
      <c r="AJ264" s="3284"/>
      <c r="AK264" s="3278" t="s">
        <v>3114</v>
      </c>
      <c r="AL264" s="3276">
        <v>67641700</v>
      </c>
      <c r="AM264" s="3276"/>
      <c r="AN264" s="3276" t="s">
        <v>2994</v>
      </c>
      <c r="AO264" s="3276"/>
      <c r="AP264" s="3267" t="s">
        <v>3305</v>
      </c>
      <c r="AQ264" s="3267" t="s">
        <v>3113</v>
      </c>
      <c r="AR264" s="3276"/>
      <c r="AS264" s="3276"/>
      <c r="AT264" s="3276"/>
      <c r="AU264" s="3276"/>
      <c r="AV264" s="3276"/>
      <c r="AW264" s="3276" t="s">
        <v>2997</v>
      </c>
      <c r="AX264" s="3276"/>
      <c r="AY264" s="3291"/>
      <c r="AZ264" s="3276" t="s">
        <v>5001</v>
      </c>
      <c r="BA264" s="3276"/>
      <c r="BB264" s="3291"/>
      <c r="BC264" s="3276"/>
      <c r="BD264" s="3292"/>
      <c r="BE264" s="3276"/>
      <c r="BF264" s="3281"/>
      <c r="BG264" s="3299">
        <v>38789</v>
      </c>
      <c r="BH264" s="3267" t="s">
        <v>2998</v>
      </c>
      <c r="BI264" s="3267" t="s">
        <v>2991</v>
      </c>
      <c r="BJ264" s="3299">
        <v>38798</v>
      </c>
      <c r="BK264" s="3283"/>
      <c r="BL264" s="3267" t="s">
        <v>2998</v>
      </c>
      <c r="BM264" s="3267" t="s">
        <v>2879</v>
      </c>
      <c r="BN264" s="3267" t="s">
        <v>3111</v>
      </c>
      <c r="BO264" s="3267" t="s">
        <v>3146</v>
      </c>
      <c r="BP264" s="3276"/>
      <c r="BQ264" s="3276" t="e">
        <v>#DIV/0!</v>
      </c>
      <c r="BR264" s="3276" t="e">
        <v>#DIV/0!</v>
      </c>
      <c r="BS264" s="3285"/>
      <c r="BT264" s="3285"/>
      <c r="BU264" s="3285"/>
    </row>
    <row r="265" spans="1:73" hidden="1">
      <c r="A265" s="3267" t="s">
        <v>5002</v>
      </c>
      <c r="B265" s="3267" t="s">
        <v>5003</v>
      </c>
      <c r="C265" s="3267" t="s">
        <v>5004</v>
      </c>
      <c r="D265" s="3267" t="s">
        <v>5005</v>
      </c>
      <c r="E265" s="3267" t="s">
        <v>3911</v>
      </c>
      <c r="F265" s="3267" t="s">
        <v>5006</v>
      </c>
      <c r="G265" s="3267"/>
      <c r="H265" s="3267" t="s">
        <v>5007</v>
      </c>
      <c r="I265" s="3267"/>
      <c r="J265" s="3267" t="s">
        <v>5008</v>
      </c>
      <c r="K265" s="3267"/>
      <c r="L265" s="3270">
        <v>49.03</v>
      </c>
      <c r="M265" s="3267">
        <v>1</v>
      </c>
      <c r="N265" s="3267" t="s">
        <v>3152</v>
      </c>
      <c r="O265" s="3267"/>
      <c r="P265" s="3267" t="s">
        <v>2963</v>
      </c>
      <c r="Q265" s="3267">
        <v>280000</v>
      </c>
      <c r="R265" s="3267">
        <v>5711</v>
      </c>
      <c r="S265" s="3272">
        <v>28.89</v>
      </c>
      <c r="T265" s="3273">
        <v>288900</v>
      </c>
      <c r="U265" s="3267">
        <v>5893</v>
      </c>
      <c r="V265" s="3274">
        <v>0.05</v>
      </c>
      <c r="W265" s="3267">
        <v>27.44</v>
      </c>
      <c r="X265" s="3275">
        <v>274400</v>
      </c>
      <c r="Y265" s="3267">
        <v>2006</v>
      </c>
      <c r="Z265" s="3267">
        <v>3</v>
      </c>
      <c r="AA265" s="3267">
        <v>28</v>
      </c>
      <c r="AB265" s="3267">
        <v>865</v>
      </c>
      <c r="AC265" s="3267" t="s">
        <v>3227</v>
      </c>
      <c r="AD265" s="3267"/>
      <c r="AE265" s="3267" t="s">
        <v>3304</v>
      </c>
      <c r="AF265" s="3267"/>
      <c r="AG265" s="3267" t="s">
        <v>2967</v>
      </c>
      <c r="AH265" s="3267"/>
      <c r="AI265" s="3267" t="s">
        <v>3295</v>
      </c>
      <c r="AJ265" s="3267"/>
      <c r="AK265" s="3267">
        <v>3</v>
      </c>
      <c r="AL265" s="3267">
        <v>67641700</v>
      </c>
      <c r="AM265" s="3267"/>
      <c r="AN265" s="3267" t="s">
        <v>2994</v>
      </c>
      <c r="AO265" s="3267"/>
      <c r="AP265" s="3267" t="s">
        <v>3305</v>
      </c>
      <c r="AQ265" s="3267" t="s">
        <v>3113</v>
      </c>
      <c r="AR265" s="3267"/>
      <c r="AS265" s="3267"/>
      <c r="AT265" s="3267"/>
      <c r="AU265" s="3267"/>
      <c r="AV265" s="3267"/>
      <c r="AW265" s="3267" t="s">
        <v>3171</v>
      </c>
      <c r="AX265" s="3267"/>
      <c r="AY265" s="3269"/>
      <c r="AZ265" s="3267"/>
      <c r="BA265" s="3267"/>
      <c r="BB265" s="3269"/>
      <c r="BC265" s="3267"/>
      <c r="BD265" s="3304"/>
      <c r="BE265" s="3267"/>
      <c r="BF265" s="3305"/>
      <c r="BG265" s="3284">
        <v>38779</v>
      </c>
      <c r="BH265" s="3267"/>
      <c r="BI265" s="3267" t="s">
        <v>3487</v>
      </c>
      <c r="BJ265" s="3303">
        <v>38800</v>
      </c>
      <c r="BK265" s="3303"/>
      <c r="BL265" s="3267"/>
      <c r="BM265" s="3267"/>
      <c r="BN265" s="3267"/>
      <c r="BO265" s="3267"/>
      <c r="BP265" s="3267"/>
      <c r="BQ265" s="3294" t="e">
        <v>#DIV/0!</v>
      </c>
      <c r="BR265" s="3276" t="e">
        <v>#DIV/0!</v>
      </c>
      <c r="BS265" s="3285"/>
      <c r="BT265" s="3285"/>
      <c r="BU265" s="3285"/>
    </row>
    <row r="266" spans="1:73" hidden="1">
      <c r="A266" s="3267" t="s">
        <v>5009</v>
      </c>
      <c r="B266" s="3267" t="s">
        <v>5010</v>
      </c>
      <c r="C266" s="3269" t="s">
        <v>5011</v>
      </c>
      <c r="D266" s="3269" t="s">
        <v>5012</v>
      </c>
      <c r="E266" s="3268" t="s">
        <v>2985</v>
      </c>
      <c r="F266" s="3268" t="s">
        <v>3949</v>
      </c>
      <c r="G266" s="3267"/>
      <c r="H266" s="3268" t="s">
        <v>3124</v>
      </c>
      <c r="I266" s="3268" t="s">
        <v>5013</v>
      </c>
      <c r="J266" s="3267" t="s">
        <v>3528</v>
      </c>
      <c r="K266" s="3267" t="s">
        <v>5010</v>
      </c>
      <c r="L266" s="3270">
        <v>59.79</v>
      </c>
      <c r="M266" s="3267">
        <v>6</v>
      </c>
      <c r="N266" s="3267" t="s">
        <v>3122</v>
      </c>
      <c r="O266" s="3267" t="s">
        <v>2968</v>
      </c>
      <c r="P266" s="3267" t="s">
        <v>2963</v>
      </c>
      <c r="Q266" s="3271">
        <v>410000</v>
      </c>
      <c r="R266" s="3267">
        <v>6857</v>
      </c>
      <c r="S266" s="3272">
        <v>36.409999999999997</v>
      </c>
      <c r="T266" s="3273">
        <v>364100</v>
      </c>
      <c r="U266" s="3267">
        <v>6091</v>
      </c>
      <c r="V266" s="3289">
        <v>0.05</v>
      </c>
      <c r="W266" s="3272">
        <v>34.58</v>
      </c>
      <c r="X266" s="3275">
        <v>345800</v>
      </c>
      <c r="Y266" s="3276">
        <v>2006</v>
      </c>
      <c r="Z266" s="3276">
        <v>3</v>
      </c>
      <c r="AA266" s="3294">
        <v>29</v>
      </c>
      <c r="AB266" s="3267">
        <v>1090</v>
      </c>
      <c r="AC266" s="3267" t="s">
        <v>3227</v>
      </c>
      <c r="AD266" s="3267"/>
      <c r="AE266" s="3279" t="s">
        <v>3344</v>
      </c>
      <c r="AF266" s="3268" t="s">
        <v>2966</v>
      </c>
      <c r="AG266" s="3279" t="s">
        <v>2967</v>
      </c>
      <c r="AH266" s="3267"/>
      <c r="AI266" s="3279" t="s">
        <v>2992</v>
      </c>
      <c r="AJ266" s="3284"/>
      <c r="AK266" s="3278">
        <v>3</v>
      </c>
      <c r="AL266" s="3276">
        <v>67641700</v>
      </c>
      <c r="AM266" s="3276"/>
      <c r="AN266" s="3279" t="s">
        <v>3099</v>
      </c>
      <c r="AO266" s="3267"/>
      <c r="AP266" s="3279" t="s">
        <v>3305</v>
      </c>
      <c r="AQ266" s="3276" t="s">
        <v>3113</v>
      </c>
      <c r="AR266" s="3276"/>
      <c r="AS266" s="3276"/>
      <c r="AT266" s="3276"/>
      <c r="AU266" s="3276"/>
      <c r="AV266" s="3276"/>
      <c r="AW266" s="3276" t="s">
        <v>2997</v>
      </c>
      <c r="AX266" s="3276"/>
      <c r="AY266" s="3291"/>
      <c r="AZ266" s="3267" t="s">
        <v>5014</v>
      </c>
      <c r="BA266" s="3296"/>
      <c r="BB266" s="3297"/>
      <c r="BC266" s="3296"/>
      <c r="BD266" s="3298"/>
      <c r="BE266" s="3276"/>
      <c r="BF266" s="3281"/>
      <c r="BG266" s="3293">
        <v>38781</v>
      </c>
      <c r="BH266" s="3267" t="s">
        <v>2998</v>
      </c>
      <c r="BI266" s="3314" t="s">
        <v>3305</v>
      </c>
      <c r="BJ266" s="3283">
        <v>38800</v>
      </c>
      <c r="BK266" s="3283"/>
      <c r="BL266" s="3267" t="s">
        <v>3249</v>
      </c>
      <c r="BM266" s="3276" t="s">
        <v>2879</v>
      </c>
      <c r="BN266" s="3276" t="s">
        <v>2999</v>
      </c>
      <c r="BO266" s="3276" t="s">
        <v>3146</v>
      </c>
      <c r="BP266" s="3276"/>
      <c r="BQ266" s="3276" t="e">
        <v>#VALUE!</v>
      </c>
      <c r="BR266" s="3276" t="e">
        <v>#VALUE!</v>
      </c>
      <c r="BS266" s="3285"/>
      <c r="BT266" s="3285"/>
      <c r="BU266" s="3285"/>
    </row>
    <row r="267" spans="1:73" hidden="1">
      <c r="A267" s="3267" t="s">
        <v>5015</v>
      </c>
      <c r="B267" s="3267" t="s">
        <v>5016</v>
      </c>
      <c r="C267" s="3269" t="s">
        <v>5017</v>
      </c>
      <c r="D267" s="3269" t="s">
        <v>5018</v>
      </c>
      <c r="E267" s="3267" t="s">
        <v>2985</v>
      </c>
      <c r="F267" s="3244" t="s">
        <v>5019</v>
      </c>
      <c r="G267" s="3267"/>
      <c r="H267" s="3267" t="s">
        <v>3263</v>
      </c>
      <c r="I267" s="3267" t="s">
        <v>5020</v>
      </c>
      <c r="J267" s="3269" t="s">
        <v>5021</v>
      </c>
      <c r="K267" s="3267" t="s">
        <v>5022</v>
      </c>
      <c r="L267" s="3267">
        <v>77.38</v>
      </c>
      <c r="M267" s="3267">
        <v>2</v>
      </c>
      <c r="N267" s="3267" t="s">
        <v>3152</v>
      </c>
      <c r="O267" s="3267"/>
      <c r="P267" s="3267" t="s">
        <v>2963</v>
      </c>
      <c r="Q267" s="3271">
        <v>574000</v>
      </c>
      <c r="R267" s="3288">
        <v>7418</v>
      </c>
      <c r="S267" s="3272">
        <v>54.93</v>
      </c>
      <c r="T267" s="3273">
        <v>549300</v>
      </c>
      <c r="U267" s="3267">
        <v>7100</v>
      </c>
      <c r="V267" s="3289">
        <v>0.05</v>
      </c>
      <c r="W267" s="3272">
        <v>52.18</v>
      </c>
      <c r="X267" s="3273">
        <v>521800</v>
      </c>
      <c r="Y267" s="3276">
        <v>2006</v>
      </c>
      <c r="Z267" s="3276">
        <v>3</v>
      </c>
      <c r="AA267" s="3276">
        <v>31</v>
      </c>
      <c r="AB267" s="3276">
        <v>1500</v>
      </c>
      <c r="AC267" s="3267" t="s">
        <v>3227</v>
      </c>
      <c r="AD267" s="3267"/>
      <c r="AE267" s="3276" t="s">
        <v>3238</v>
      </c>
      <c r="AF267" s="3267" t="s">
        <v>2966</v>
      </c>
      <c r="AG267" s="3279" t="s">
        <v>2967</v>
      </c>
      <c r="AH267" s="3267"/>
      <c r="AI267" s="3267" t="s">
        <v>2992</v>
      </c>
      <c r="AJ267" s="3284"/>
      <c r="AK267" s="3316" t="s">
        <v>3114</v>
      </c>
      <c r="AL267" s="3276">
        <v>67641700</v>
      </c>
      <c r="AM267" s="3276"/>
      <c r="AN267" s="3279" t="s">
        <v>3099</v>
      </c>
      <c r="AO267" s="3276"/>
      <c r="AP267" s="3276" t="s">
        <v>3305</v>
      </c>
      <c r="AQ267" s="3276" t="s">
        <v>3113</v>
      </c>
      <c r="AR267" s="3276"/>
      <c r="AS267" s="3276"/>
      <c r="AT267" s="3276"/>
      <c r="AU267" s="3276" t="s">
        <v>2968</v>
      </c>
      <c r="AV267" s="3276" t="s">
        <v>2968</v>
      </c>
      <c r="AW267" s="3276" t="s">
        <v>3112</v>
      </c>
      <c r="AX267" s="3276"/>
      <c r="AY267" s="3291"/>
      <c r="AZ267" s="3276" t="s">
        <v>5022</v>
      </c>
      <c r="BA267" s="3276"/>
      <c r="BB267" s="3291"/>
      <c r="BC267" s="3276"/>
      <c r="BD267" s="3292"/>
      <c r="BE267" s="3276"/>
      <c r="BF267" s="3281"/>
      <c r="BG267" s="3299">
        <v>38799</v>
      </c>
      <c r="BH267" s="3276"/>
      <c r="BI267" s="3267" t="s">
        <v>3238</v>
      </c>
      <c r="BJ267" s="3283">
        <v>38800</v>
      </c>
      <c r="BK267" s="3283"/>
      <c r="BL267" s="3267" t="s">
        <v>3249</v>
      </c>
      <c r="BM267" s="3276" t="s">
        <v>2879</v>
      </c>
      <c r="BN267" s="3276" t="s">
        <v>2999</v>
      </c>
      <c r="BO267" s="3276" t="s">
        <v>3146</v>
      </c>
      <c r="BP267" s="3276" t="s">
        <v>2968</v>
      </c>
      <c r="BQ267" s="3276" t="e">
        <v>#DIV/0!</v>
      </c>
      <c r="BR267" s="3276" t="e">
        <v>#DIV/0!</v>
      </c>
      <c r="BS267" s="3285"/>
      <c r="BT267" s="3285"/>
      <c r="BU267" s="3285"/>
    </row>
    <row r="268" spans="1:73" hidden="1">
      <c r="A268" s="3267" t="s">
        <v>5023</v>
      </c>
      <c r="B268" s="3267" t="s">
        <v>5024</v>
      </c>
      <c r="C268" s="3269" t="s">
        <v>5025</v>
      </c>
      <c r="D268" s="3267" t="s">
        <v>5026</v>
      </c>
      <c r="E268" s="3267" t="s">
        <v>2985</v>
      </c>
      <c r="F268" s="3267" t="s">
        <v>3442</v>
      </c>
      <c r="G268" s="3267"/>
      <c r="H268" s="3267" t="s">
        <v>3130</v>
      </c>
      <c r="I268" s="3267" t="s">
        <v>3188</v>
      </c>
      <c r="J268" s="3267" t="s">
        <v>3185</v>
      </c>
      <c r="K268" s="3268" t="s">
        <v>5024</v>
      </c>
      <c r="L268" s="3270">
        <v>60.85</v>
      </c>
      <c r="M268" s="3267">
        <v>2</v>
      </c>
      <c r="N268" s="3267" t="s">
        <v>3122</v>
      </c>
      <c r="O268" s="3267"/>
      <c r="P268" s="3267" t="s">
        <v>2963</v>
      </c>
      <c r="Q268" s="3267">
        <v>420000</v>
      </c>
      <c r="R268" s="3267">
        <v>6902</v>
      </c>
      <c r="S268" s="3272">
        <v>37.67</v>
      </c>
      <c r="T268" s="3273">
        <v>376700</v>
      </c>
      <c r="U268" s="3267">
        <v>6192</v>
      </c>
      <c r="V268" s="3274">
        <v>0.05</v>
      </c>
      <c r="W268" s="3272">
        <v>35.78</v>
      </c>
      <c r="X268" s="3275">
        <v>357800</v>
      </c>
      <c r="Y268" s="3267">
        <v>2006</v>
      </c>
      <c r="Z268" s="3267">
        <v>3</v>
      </c>
      <c r="AA268" s="3276">
        <v>30</v>
      </c>
      <c r="AB268" s="3267">
        <v>1130</v>
      </c>
      <c r="AC268" s="3267" t="s">
        <v>3227</v>
      </c>
      <c r="AD268" s="3267"/>
      <c r="AE268" s="3294" t="s">
        <v>2991</v>
      </c>
      <c r="AF268" s="3267" t="s">
        <v>2966</v>
      </c>
      <c r="AG268" s="3267" t="s">
        <v>2967</v>
      </c>
      <c r="AH268" s="3267"/>
      <c r="AI268" s="3267" t="s">
        <v>3115</v>
      </c>
      <c r="AJ268" s="3315"/>
      <c r="AK268" s="3267" t="s">
        <v>3114</v>
      </c>
      <c r="AL268" s="3267">
        <v>82253558</v>
      </c>
      <c r="AM268" s="3267"/>
      <c r="AN268" s="3267" t="s">
        <v>3099</v>
      </c>
      <c r="AO268" s="3267" t="s">
        <v>2968</v>
      </c>
      <c r="AP268" s="3267" t="s">
        <v>3180</v>
      </c>
      <c r="AQ268" s="3267" t="s">
        <v>3113</v>
      </c>
      <c r="AR268" s="3267"/>
      <c r="AS268" s="3267"/>
      <c r="AT268" s="3267"/>
      <c r="AU268" s="3267"/>
      <c r="AV268" s="3267"/>
      <c r="AW268" s="3267" t="s">
        <v>2997</v>
      </c>
      <c r="AX268" s="3267"/>
      <c r="AY268" s="3269"/>
      <c r="AZ268" s="3267" t="s">
        <v>5027</v>
      </c>
      <c r="BA268" s="3267"/>
      <c r="BB268" s="3267"/>
      <c r="BC268" s="3267"/>
      <c r="BD268" s="3267"/>
      <c r="BE268" s="3267"/>
      <c r="BF268" s="3267"/>
      <c r="BG268" s="3307">
        <v>38741</v>
      </c>
      <c r="BH268" s="3267"/>
      <c r="BI268" s="3267" t="s">
        <v>2991</v>
      </c>
      <c r="BJ268" s="3283">
        <v>38803</v>
      </c>
      <c r="BK268" s="3283"/>
      <c r="BL268" s="3267" t="s">
        <v>2998</v>
      </c>
      <c r="BM268" s="3267" t="s">
        <v>2879</v>
      </c>
      <c r="BN268" s="3267" t="s">
        <v>3111</v>
      </c>
      <c r="BO268" s="3267" t="s">
        <v>3000</v>
      </c>
      <c r="BP268" s="3267"/>
      <c r="BQ268" s="3276" t="e">
        <v>#DIV/0!</v>
      </c>
      <c r="BR268" s="3276" t="e">
        <v>#DIV/0!</v>
      </c>
      <c r="BS268" s="3285"/>
      <c r="BT268" s="3285"/>
      <c r="BU268" s="3285"/>
    </row>
    <row r="269" spans="1:73" hidden="1">
      <c r="A269" s="3267" t="s">
        <v>5028</v>
      </c>
      <c r="B269" s="3267" t="s">
        <v>5029</v>
      </c>
      <c r="C269" s="3269" t="s">
        <v>5030</v>
      </c>
      <c r="D269" s="3269" t="s">
        <v>5031</v>
      </c>
      <c r="E269" s="3267" t="s">
        <v>2985</v>
      </c>
      <c r="F269" s="3244" t="s">
        <v>3829</v>
      </c>
      <c r="G269" s="3267"/>
      <c r="H269" s="3267" t="s">
        <v>3263</v>
      </c>
      <c r="I269" s="3267" t="s">
        <v>5032</v>
      </c>
      <c r="J269" s="3269" t="s">
        <v>2987</v>
      </c>
      <c r="K269" s="3267" t="s">
        <v>5033</v>
      </c>
      <c r="L269" s="3267">
        <v>61.69</v>
      </c>
      <c r="M269" s="3267">
        <v>3</v>
      </c>
      <c r="N269" s="3267" t="s">
        <v>3125</v>
      </c>
      <c r="O269" s="3267"/>
      <c r="P269" s="3267" t="s">
        <v>2963</v>
      </c>
      <c r="Q269" s="3271">
        <v>480000</v>
      </c>
      <c r="R269" s="3288">
        <v>7781</v>
      </c>
      <c r="S269" s="3272">
        <v>41.05</v>
      </c>
      <c r="T269" s="3273">
        <v>410500</v>
      </c>
      <c r="U269" s="3267">
        <v>6655</v>
      </c>
      <c r="V269" s="3289">
        <v>0.05</v>
      </c>
      <c r="W269" s="3272">
        <v>38.99</v>
      </c>
      <c r="X269" s="3273">
        <v>389900</v>
      </c>
      <c r="Y269" s="3276">
        <v>2006</v>
      </c>
      <c r="Z269" s="3276">
        <v>4</v>
      </c>
      <c r="AA269" s="3276">
        <v>29</v>
      </c>
      <c r="AB269" s="3276">
        <v>1230</v>
      </c>
      <c r="AC269" s="3267" t="s">
        <v>3227</v>
      </c>
      <c r="AD269" s="3267"/>
      <c r="AE269" s="3276" t="s">
        <v>3238</v>
      </c>
      <c r="AF269" s="3267" t="s">
        <v>2966</v>
      </c>
      <c r="AG269" s="3279" t="s">
        <v>2967</v>
      </c>
      <c r="AH269" s="3267"/>
      <c r="AI269" s="3267" t="s">
        <v>2992</v>
      </c>
      <c r="AJ269" s="3284"/>
      <c r="AK269" s="3278">
        <v>4</v>
      </c>
      <c r="AL269" s="3267">
        <v>67641700</v>
      </c>
      <c r="AM269" s="3276"/>
      <c r="AN269" s="3279" t="s">
        <v>2994</v>
      </c>
      <c r="AO269" s="3276"/>
      <c r="AP269" s="3276" t="s">
        <v>3305</v>
      </c>
      <c r="AQ269" s="3267" t="s">
        <v>3228</v>
      </c>
      <c r="AR269" s="3276"/>
      <c r="AS269" s="3276"/>
      <c r="AT269" s="3276"/>
      <c r="AU269" s="3276" t="s">
        <v>2968</v>
      </c>
      <c r="AV269" s="3276" t="s">
        <v>2968</v>
      </c>
      <c r="AW269" s="3276" t="s">
        <v>3112</v>
      </c>
      <c r="AX269" s="3276"/>
      <c r="AY269" s="3291"/>
      <c r="AZ269" s="3276" t="s">
        <v>5033</v>
      </c>
      <c r="BA269" s="3276"/>
      <c r="BB269" s="3291"/>
      <c r="BC269" s="3276"/>
      <c r="BD269" s="3292"/>
      <c r="BE269" s="3276">
        <v>13121690705</v>
      </c>
      <c r="BF269" s="3281"/>
      <c r="BG269" s="3299">
        <v>38799</v>
      </c>
      <c r="BH269" s="3276"/>
      <c r="BI269" s="3267" t="s">
        <v>3238</v>
      </c>
      <c r="BJ269" s="3283">
        <v>38803</v>
      </c>
      <c r="BK269" s="3283"/>
      <c r="BL269" s="3267" t="s">
        <v>2998</v>
      </c>
      <c r="BM269" s="3276" t="s">
        <v>2879</v>
      </c>
      <c r="BN269" s="3276" t="s">
        <v>2999</v>
      </c>
      <c r="BO269" s="3276" t="s">
        <v>3446</v>
      </c>
      <c r="BP269" s="3276" t="s">
        <v>2968</v>
      </c>
      <c r="BQ269" s="3276" t="e">
        <v>#DIV/0!</v>
      </c>
      <c r="BR269" s="3276" t="e">
        <v>#DIV/0!</v>
      </c>
      <c r="BS269" s="3285"/>
      <c r="BT269" s="3285"/>
      <c r="BU269" s="3285"/>
    </row>
    <row r="270" spans="1:73" hidden="1">
      <c r="A270" s="3267" t="s">
        <v>5034</v>
      </c>
      <c r="B270" s="3267" t="s">
        <v>5035</v>
      </c>
      <c r="C270" s="3269" t="s">
        <v>5036</v>
      </c>
      <c r="D270" s="3267">
        <v>13366107575</v>
      </c>
      <c r="E270" s="3267" t="s">
        <v>2985</v>
      </c>
      <c r="F270" s="3267" t="s">
        <v>4675</v>
      </c>
      <c r="G270" s="3267"/>
      <c r="H270" s="3267" t="s">
        <v>3225</v>
      </c>
      <c r="I270" s="3267"/>
      <c r="J270" s="3267">
        <v>2209</v>
      </c>
      <c r="K270" s="3268" t="s">
        <v>5037</v>
      </c>
      <c r="L270" s="3267">
        <v>59.61</v>
      </c>
      <c r="M270" s="3267">
        <v>19</v>
      </c>
      <c r="N270" s="3267" t="s">
        <v>3152</v>
      </c>
      <c r="O270" s="3267"/>
      <c r="P270" s="3267" t="s">
        <v>2963</v>
      </c>
      <c r="Q270" s="3267">
        <v>410000</v>
      </c>
      <c r="R270" s="3267">
        <v>6878</v>
      </c>
      <c r="S270" s="3272">
        <v>34.57</v>
      </c>
      <c r="T270" s="3273">
        <v>345700</v>
      </c>
      <c r="U270" s="3267">
        <v>5801</v>
      </c>
      <c r="V270" s="3274">
        <v>0.05</v>
      </c>
      <c r="W270" s="3272">
        <v>32.840000000000003</v>
      </c>
      <c r="X270" s="3275">
        <v>328400</v>
      </c>
      <c r="Y270" s="3267">
        <v>2006</v>
      </c>
      <c r="Z270" s="3276">
        <v>4</v>
      </c>
      <c r="AA270" s="3276">
        <v>19</v>
      </c>
      <c r="AB270" s="3267">
        <v>1035</v>
      </c>
      <c r="AC270" s="3267" t="s">
        <v>3227</v>
      </c>
      <c r="AD270" s="3267"/>
      <c r="AE270" s="3267" t="s">
        <v>3304</v>
      </c>
      <c r="AF270" s="3267" t="s">
        <v>2966</v>
      </c>
      <c r="AG270" s="3267" t="s">
        <v>2967</v>
      </c>
      <c r="AH270" s="3267"/>
      <c r="AI270" s="3267" t="s">
        <v>3115</v>
      </c>
      <c r="AJ270" s="3284"/>
      <c r="AK270" s="3278" t="s">
        <v>2994</v>
      </c>
      <c r="AL270" s="3267">
        <v>82253558</v>
      </c>
      <c r="AM270" s="3267"/>
      <c r="AN270" s="3279" t="s">
        <v>3114</v>
      </c>
      <c r="AO270" s="3267" t="s">
        <v>2968</v>
      </c>
      <c r="AP270" s="3267" t="s">
        <v>3180</v>
      </c>
      <c r="AQ270" s="3267" t="s">
        <v>3228</v>
      </c>
      <c r="AR270" s="3267"/>
      <c r="AS270" s="3267"/>
      <c r="AT270" s="3267"/>
      <c r="AU270" s="3267"/>
      <c r="AV270" s="3267"/>
      <c r="AW270" s="3267" t="s">
        <v>2997</v>
      </c>
      <c r="AX270" s="3267"/>
      <c r="AY270" s="3269"/>
      <c r="AZ270" s="3267" t="s">
        <v>5037</v>
      </c>
      <c r="BA270" s="3267"/>
      <c r="BB270" s="3267"/>
      <c r="BC270" s="3267"/>
      <c r="BD270" s="3267"/>
      <c r="BE270" s="3267">
        <v>13910534434</v>
      </c>
      <c r="BF270" s="3267"/>
      <c r="BG270" s="3307">
        <v>38797</v>
      </c>
      <c r="BH270" s="3267"/>
      <c r="BI270" s="3267" t="s">
        <v>3537</v>
      </c>
      <c r="BJ270" s="3307">
        <v>38803</v>
      </c>
      <c r="BK270" s="3283"/>
      <c r="BL270" s="3267" t="s">
        <v>2998</v>
      </c>
      <c r="BM270" s="3267" t="s">
        <v>2879</v>
      </c>
      <c r="BN270" s="3267" t="s">
        <v>2999</v>
      </c>
      <c r="BO270" s="3267" t="s">
        <v>3000</v>
      </c>
      <c r="BP270" s="3267"/>
      <c r="BQ270" s="3276" t="e">
        <v>#DIV/0!</v>
      </c>
      <c r="BR270" s="3276" t="e">
        <v>#DIV/0!</v>
      </c>
      <c r="BS270" s="3285"/>
      <c r="BT270" s="3285"/>
      <c r="BU270" s="3285"/>
    </row>
    <row r="271" spans="1:73" hidden="1">
      <c r="A271" s="3267" t="s">
        <v>5038</v>
      </c>
      <c r="B271" s="3267" t="s">
        <v>5039</v>
      </c>
      <c r="C271" s="3269" t="s">
        <v>5040</v>
      </c>
      <c r="D271" s="3267">
        <v>13671122764</v>
      </c>
      <c r="E271" s="3267" t="s">
        <v>2985</v>
      </c>
      <c r="F271" s="3267" t="s">
        <v>5041</v>
      </c>
      <c r="G271" s="3267"/>
      <c r="H271" s="3267" t="s">
        <v>3183</v>
      </c>
      <c r="I271" s="3267"/>
      <c r="J271" s="3267" t="s">
        <v>5042</v>
      </c>
      <c r="K271" s="3268" t="s">
        <v>5039</v>
      </c>
      <c r="L271" s="3270">
        <v>56.75</v>
      </c>
      <c r="M271" s="3267">
        <v>3</v>
      </c>
      <c r="N271" s="3267" t="s">
        <v>3122</v>
      </c>
      <c r="O271" s="3267"/>
      <c r="P271" s="3267" t="s">
        <v>2963</v>
      </c>
      <c r="Q271" s="3267">
        <v>335000</v>
      </c>
      <c r="R271" s="3267">
        <v>5903</v>
      </c>
      <c r="S271" s="3272">
        <v>33.47</v>
      </c>
      <c r="T271" s="3273">
        <v>334700</v>
      </c>
      <c r="U271" s="3267">
        <v>5898</v>
      </c>
      <c r="V271" s="3274">
        <v>0.05</v>
      </c>
      <c r="W271" s="3272">
        <v>31.79</v>
      </c>
      <c r="X271" s="3275">
        <v>317900</v>
      </c>
      <c r="Y271" s="3267">
        <v>2006</v>
      </c>
      <c r="Z271" s="3267">
        <v>3</v>
      </c>
      <c r="AA271" s="3276">
        <v>30</v>
      </c>
      <c r="AB271" s="3267">
        <v>1000</v>
      </c>
      <c r="AC271" s="3267" t="s">
        <v>3227</v>
      </c>
      <c r="AD271" s="3267"/>
      <c r="AE271" s="3294" t="s">
        <v>2991</v>
      </c>
      <c r="AF271" s="3267" t="s">
        <v>2966</v>
      </c>
      <c r="AG271" s="3267" t="s">
        <v>2967</v>
      </c>
      <c r="AH271" s="3267"/>
      <c r="AI271" s="3267" t="s">
        <v>3115</v>
      </c>
      <c r="AJ271" s="3315"/>
      <c r="AK271" s="3267" t="s">
        <v>3114</v>
      </c>
      <c r="AL271" s="3267">
        <v>82253558</v>
      </c>
      <c r="AM271" s="3267"/>
      <c r="AN271" s="3267" t="s">
        <v>3099</v>
      </c>
      <c r="AO271" s="3267" t="s">
        <v>2968</v>
      </c>
      <c r="AP271" s="3267" t="s">
        <v>3180</v>
      </c>
      <c r="AQ271" s="3267" t="s">
        <v>3113</v>
      </c>
      <c r="AR271" s="3267"/>
      <c r="AS271" s="3267"/>
      <c r="AT271" s="3267"/>
      <c r="AU271" s="3267"/>
      <c r="AV271" s="3267"/>
      <c r="AW271" s="3267" t="s">
        <v>2997</v>
      </c>
      <c r="AX271" s="3267"/>
      <c r="AY271" s="3269"/>
      <c r="AZ271" s="3267" t="s">
        <v>5043</v>
      </c>
      <c r="BA271" s="3267"/>
      <c r="BB271" s="3267"/>
      <c r="BC271" s="3267"/>
      <c r="BD271" s="3267"/>
      <c r="BE271" s="3267">
        <v>13301213905</v>
      </c>
      <c r="BF271" s="3267"/>
      <c r="BG271" s="3307">
        <v>38796</v>
      </c>
      <c r="BH271" s="3267"/>
      <c r="BI271" s="3267" t="s">
        <v>2991</v>
      </c>
      <c r="BJ271" s="3283">
        <v>38803</v>
      </c>
      <c r="BK271" s="3283"/>
      <c r="BL271" s="3267" t="s">
        <v>2998</v>
      </c>
      <c r="BM271" s="3267" t="s">
        <v>2879</v>
      </c>
      <c r="BN271" s="3267" t="s">
        <v>3111</v>
      </c>
      <c r="BO271" s="3267" t="s">
        <v>3000</v>
      </c>
      <c r="BP271" s="3267"/>
      <c r="BQ271" s="3276" t="e">
        <v>#DIV/0!</v>
      </c>
      <c r="BR271" s="3276" t="e">
        <v>#DIV/0!</v>
      </c>
      <c r="BS271" s="3285"/>
      <c r="BT271" s="3285"/>
      <c r="BU271" s="3285"/>
    </row>
    <row r="272" spans="1:73">
      <c r="A272" s="3267" t="s">
        <v>5044</v>
      </c>
      <c r="B272" s="3267" t="s">
        <v>5045</v>
      </c>
      <c r="C272" s="3269" t="s">
        <v>5046</v>
      </c>
      <c r="D272" s="3269" t="s">
        <v>5047</v>
      </c>
      <c r="E272" s="3268" t="s">
        <v>2985</v>
      </c>
      <c r="F272" s="3268" t="s">
        <v>4761</v>
      </c>
      <c r="G272" s="3267"/>
      <c r="H272" s="3267" t="s">
        <v>3379</v>
      </c>
      <c r="I272" s="3268"/>
      <c r="J272" s="3267" t="s">
        <v>3704</v>
      </c>
      <c r="K272" s="3267" t="s">
        <v>5045</v>
      </c>
      <c r="L272" s="3267">
        <v>99.41</v>
      </c>
      <c r="M272" s="3267">
        <v>21</v>
      </c>
      <c r="N272" s="3267" t="s">
        <v>3098</v>
      </c>
      <c r="O272" s="3267">
        <v>83.71</v>
      </c>
      <c r="P272" s="3267" t="s">
        <v>2963</v>
      </c>
      <c r="Q272" s="3271">
        <v>500000</v>
      </c>
      <c r="R272" s="3267">
        <v>5030</v>
      </c>
      <c r="S272" s="3272">
        <v>49.72</v>
      </c>
      <c r="T272" s="3273">
        <v>497200</v>
      </c>
      <c r="U272" s="3267">
        <v>5002</v>
      </c>
      <c r="V272" s="3289">
        <v>0.05</v>
      </c>
      <c r="W272" s="3272">
        <v>47.23</v>
      </c>
      <c r="X272" s="3275">
        <v>472299.99999999994</v>
      </c>
      <c r="Y272" s="3276">
        <v>2006</v>
      </c>
      <c r="Z272" s="3276">
        <v>4</v>
      </c>
      <c r="AA272" s="3276">
        <v>3</v>
      </c>
      <c r="AB272" s="3267">
        <v>1490</v>
      </c>
      <c r="AC272" s="3267" t="s">
        <v>3227</v>
      </c>
      <c r="AD272" s="3267"/>
      <c r="AE272" s="3279" t="s">
        <v>3344</v>
      </c>
      <c r="AF272" s="3268" t="s">
        <v>2966</v>
      </c>
      <c r="AG272" s="3279" t="s">
        <v>2967</v>
      </c>
      <c r="AH272" s="3267"/>
      <c r="AI272" s="3279" t="s">
        <v>2992</v>
      </c>
      <c r="AJ272" s="3284"/>
      <c r="AK272" s="3278">
        <v>4</v>
      </c>
      <c r="AL272" s="3276">
        <v>67641700</v>
      </c>
      <c r="AM272" s="3276"/>
      <c r="AN272" s="3279" t="s">
        <v>3131</v>
      </c>
      <c r="AO272" s="3267"/>
      <c r="AP272" s="3279" t="s">
        <v>3305</v>
      </c>
      <c r="AQ272" s="3276" t="s">
        <v>3113</v>
      </c>
      <c r="AR272" s="3276"/>
      <c r="AS272" s="3276"/>
      <c r="AT272" s="3276"/>
      <c r="AU272" s="3276"/>
      <c r="AV272" s="3276"/>
      <c r="AW272" s="3276" t="s">
        <v>2997</v>
      </c>
      <c r="AX272" s="3276"/>
      <c r="AY272" s="3291"/>
      <c r="AZ272" s="3267" t="s">
        <v>5048</v>
      </c>
      <c r="BA272" s="3296"/>
      <c r="BB272" s="3297"/>
      <c r="BC272" s="3296"/>
      <c r="BD272" s="3298"/>
      <c r="BE272" s="3276" t="s">
        <v>5049</v>
      </c>
      <c r="BF272" s="3281"/>
      <c r="BG272" s="3293">
        <v>38785</v>
      </c>
      <c r="BH272" s="3267" t="s">
        <v>2998</v>
      </c>
      <c r="BI272" s="3314" t="s">
        <v>3305</v>
      </c>
      <c r="BJ272" s="3283">
        <v>38791</v>
      </c>
      <c r="BK272" s="3283"/>
      <c r="BL272" s="3267" t="s">
        <v>3249</v>
      </c>
      <c r="BM272" s="3276" t="s">
        <v>2879</v>
      </c>
      <c r="BN272" s="3276" t="s">
        <v>2999</v>
      </c>
      <c r="BO272" s="3276" t="s">
        <v>3146</v>
      </c>
      <c r="BP272" s="3276"/>
      <c r="BQ272" s="3276">
        <v>5940</v>
      </c>
      <c r="BR272" s="3276">
        <v>5973</v>
      </c>
      <c r="BS272" s="3285"/>
      <c r="BT272" s="3285"/>
      <c r="BU272" s="3285"/>
    </row>
    <row r="273" spans="1:243" hidden="1">
      <c r="A273" s="3267" t="s">
        <v>5050</v>
      </c>
      <c r="B273" s="3267" t="s">
        <v>5051</v>
      </c>
      <c r="C273" s="3269" t="s">
        <v>5052</v>
      </c>
      <c r="D273" s="3269">
        <v>13521479851</v>
      </c>
      <c r="E273" s="3268" t="s">
        <v>2985</v>
      </c>
      <c r="F273" s="3268" t="s">
        <v>4786</v>
      </c>
      <c r="G273" s="3267"/>
      <c r="H273" s="3268" t="s">
        <v>3280</v>
      </c>
      <c r="I273" s="3268"/>
      <c r="J273" s="3267" t="s">
        <v>5053</v>
      </c>
      <c r="K273" s="3267" t="s">
        <v>5051</v>
      </c>
      <c r="L273" s="3267">
        <v>101.26</v>
      </c>
      <c r="M273" s="3267">
        <v>13</v>
      </c>
      <c r="N273" s="3267" t="s">
        <v>3125</v>
      </c>
      <c r="O273" s="3267"/>
      <c r="P273" s="3267" t="s">
        <v>2963</v>
      </c>
      <c r="Q273" s="3271">
        <v>600000</v>
      </c>
      <c r="R273" s="3267">
        <v>5925</v>
      </c>
      <c r="S273" s="3272">
        <v>55.89</v>
      </c>
      <c r="T273" s="3273">
        <v>558900</v>
      </c>
      <c r="U273" s="3267">
        <v>5520</v>
      </c>
      <c r="V273" s="3289">
        <v>0.05</v>
      </c>
      <c r="W273" s="3272">
        <v>53.09</v>
      </c>
      <c r="X273" s="3275">
        <v>530900</v>
      </c>
      <c r="Y273" s="3276">
        <v>2006</v>
      </c>
      <c r="Z273" s="3276">
        <v>4</v>
      </c>
      <c r="AA273" s="3276">
        <v>5</v>
      </c>
      <c r="AB273" s="3267">
        <v>1500</v>
      </c>
      <c r="AC273" s="3267" t="s">
        <v>3227</v>
      </c>
      <c r="AD273" s="3267"/>
      <c r="AE273" s="3279" t="s">
        <v>3344</v>
      </c>
      <c r="AF273" s="3267" t="s">
        <v>2966</v>
      </c>
      <c r="AG273" s="3279" t="s">
        <v>2967</v>
      </c>
      <c r="AH273" s="3267"/>
      <c r="AI273" s="3279" t="s">
        <v>2992</v>
      </c>
      <c r="AJ273" s="3284"/>
      <c r="AK273" s="3278">
        <v>4</v>
      </c>
      <c r="AL273" s="3276">
        <v>67641700</v>
      </c>
      <c r="AM273" s="3276"/>
      <c r="AN273" s="3279" t="s">
        <v>3131</v>
      </c>
      <c r="AO273" s="3267"/>
      <c r="AP273" s="3279" t="s">
        <v>3305</v>
      </c>
      <c r="AQ273" s="3276" t="s">
        <v>3113</v>
      </c>
      <c r="AR273" s="3276"/>
      <c r="AS273" s="3276"/>
      <c r="AT273" s="3276"/>
      <c r="AU273" s="3276"/>
      <c r="AV273" s="3276"/>
      <c r="AW273" s="3276" t="s">
        <v>2997</v>
      </c>
      <c r="AX273" s="3276"/>
      <c r="AY273" s="3291"/>
      <c r="AZ273" s="3267" t="s">
        <v>5054</v>
      </c>
      <c r="BA273" s="3296"/>
      <c r="BB273" s="3297"/>
      <c r="BC273" s="3296"/>
      <c r="BD273" s="3298"/>
      <c r="BE273" s="3276">
        <v>13901337498</v>
      </c>
      <c r="BF273" s="3281"/>
      <c r="BG273" s="3293">
        <v>38768</v>
      </c>
      <c r="BH273" s="3267" t="s">
        <v>2998</v>
      </c>
      <c r="BI273" s="3314" t="s">
        <v>3305</v>
      </c>
      <c r="BJ273" s="3283">
        <v>38805</v>
      </c>
      <c r="BK273" s="3283"/>
      <c r="BL273" s="3267" t="s">
        <v>3249</v>
      </c>
      <c r="BM273" s="3276" t="s">
        <v>2879</v>
      </c>
      <c r="BN273" s="3276" t="s">
        <v>2999</v>
      </c>
      <c r="BO273" s="3276" t="s">
        <v>3146</v>
      </c>
      <c r="BP273" s="3276"/>
      <c r="BQ273" s="3276" t="e">
        <v>#DIV/0!</v>
      </c>
      <c r="BR273" s="3276" t="e">
        <v>#DIV/0!</v>
      </c>
      <c r="BS273" s="3285"/>
      <c r="BT273" s="3285"/>
      <c r="BU273" s="3285"/>
    </row>
    <row r="274" spans="1:243" ht="14.25" hidden="1">
      <c r="A274" s="3267" t="s">
        <v>5055</v>
      </c>
      <c r="B274" s="3267" t="s">
        <v>5056</v>
      </c>
      <c r="C274" s="3269" t="s">
        <v>5057</v>
      </c>
      <c r="D274" s="3269" t="s">
        <v>5058</v>
      </c>
      <c r="E274" s="3267" t="s">
        <v>2985</v>
      </c>
      <c r="F274" s="3244" t="s">
        <v>5059</v>
      </c>
      <c r="G274" s="3267"/>
      <c r="H274" s="3267" t="s">
        <v>3225</v>
      </c>
      <c r="I274" s="3267" t="s">
        <v>4615</v>
      </c>
      <c r="J274" s="3269" t="s">
        <v>3126</v>
      </c>
      <c r="K274" s="3267" t="s">
        <v>5060</v>
      </c>
      <c r="L274" s="3270">
        <v>100.75</v>
      </c>
      <c r="M274" s="3267">
        <v>6</v>
      </c>
      <c r="N274" s="3267" t="s">
        <v>3098</v>
      </c>
      <c r="O274" s="3267">
        <v>88.8</v>
      </c>
      <c r="P274" s="3267" t="s">
        <v>2963</v>
      </c>
      <c r="Q274" s="3271">
        <v>440000</v>
      </c>
      <c r="R274" s="3346">
        <v>4367</v>
      </c>
      <c r="S274" s="3272">
        <v>33.340000000000003</v>
      </c>
      <c r="T274" s="3273">
        <v>333400</v>
      </c>
      <c r="U274" s="3267">
        <v>3310</v>
      </c>
      <c r="V274" s="3289">
        <v>0.05</v>
      </c>
      <c r="W274" s="3272">
        <v>31.67</v>
      </c>
      <c r="X274" s="3275">
        <v>316700</v>
      </c>
      <c r="Y274" s="3276">
        <v>2006</v>
      </c>
      <c r="Z274" s="3276">
        <v>3</v>
      </c>
      <c r="AA274" s="3276">
        <v>31</v>
      </c>
      <c r="AB274" s="3346">
        <v>1000</v>
      </c>
      <c r="AC274" s="3267" t="s">
        <v>3227</v>
      </c>
      <c r="AD274" s="3267"/>
      <c r="AE274" s="3295" t="s">
        <v>3396</v>
      </c>
      <c r="AF274" s="3267" t="s">
        <v>2966</v>
      </c>
      <c r="AG274" s="3279" t="s">
        <v>2967</v>
      </c>
      <c r="AH274" s="3267"/>
      <c r="AI274" s="3267" t="s">
        <v>2992</v>
      </c>
      <c r="AJ274" s="3315"/>
      <c r="AK274" s="3278">
        <v>3</v>
      </c>
      <c r="AL274" s="3295">
        <v>67641700</v>
      </c>
      <c r="AM274" s="3276"/>
      <c r="AN274" s="3267" t="s">
        <v>3099</v>
      </c>
      <c r="AO274" s="3276"/>
      <c r="AP274" s="3295" t="s">
        <v>3396</v>
      </c>
      <c r="AQ274" s="3276" t="s">
        <v>3113</v>
      </c>
      <c r="AR274" s="3276"/>
      <c r="AS274" s="3276"/>
      <c r="AT274" s="3276"/>
      <c r="AU274" s="3276"/>
      <c r="AV274" s="3276"/>
      <c r="AW274" s="3276" t="s">
        <v>2997</v>
      </c>
      <c r="AX274" s="3276"/>
      <c r="AY274" s="3291"/>
      <c r="AZ274" s="3276" t="s">
        <v>5056</v>
      </c>
      <c r="BA274" s="3276"/>
      <c r="BB274" s="3291"/>
      <c r="BC274" s="3276"/>
      <c r="BD274" s="3292"/>
      <c r="BE274" s="3276"/>
      <c r="BF274" s="3281"/>
      <c r="BG274" s="3299">
        <v>38785</v>
      </c>
      <c r="BH274" s="3276"/>
      <c r="BI274" s="3294" t="s">
        <v>3396</v>
      </c>
      <c r="BJ274" s="3283">
        <v>38805</v>
      </c>
      <c r="BK274" s="3299"/>
      <c r="BL274" s="3267" t="s">
        <v>2998</v>
      </c>
      <c r="BM274" s="3267" t="s">
        <v>2879</v>
      </c>
      <c r="BN274" s="3276" t="s">
        <v>2999</v>
      </c>
      <c r="BO274" s="3276" t="s">
        <v>5061</v>
      </c>
      <c r="BP274" s="3276"/>
      <c r="BQ274" s="3276">
        <v>3755</v>
      </c>
      <c r="BR274" s="3276">
        <v>4955</v>
      </c>
      <c r="BS274" s="3285"/>
      <c r="BT274" s="3285"/>
      <c r="BU274" s="3285"/>
      <c r="BV274" s="3341"/>
      <c r="BW274" s="3341"/>
      <c r="BX274" s="3341"/>
      <c r="BY274" s="3341"/>
      <c r="BZ274" s="3341"/>
      <c r="CA274" s="3341"/>
      <c r="CB274" s="3341"/>
      <c r="CC274" s="3341"/>
      <c r="CD274" s="3341"/>
      <c r="CE274" s="3341"/>
      <c r="CF274" s="3341"/>
      <c r="CG274" s="3341"/>
      <c r="CH274" s="3341"/>
      <c r="CI274" s="3341"/>
      <c r="CJ274" s="3341"/>
      <c r="CK274" s="3341"/>
      <c r="CL274" s="3341"/>
      <c r="CM274" s="3341"/>
      <c r="CN274" s="3341"/>
      <c r="CO274" s="3341"/>
      <c r="CP274" s="3341"/>
      <c r="CQ274" s="3341"/>
      <c r="CR274" s="3341"/>
      <c r="CS274" s="3341"/>
      <c r="CT274" s="3341"/>
      <c r="CU274" s="3341"/>
      <c r="CV274" s="3341"/>
      <c r="CW274" s="3341"/>
      <c r="CX274" s="3341"/>
      <c r="CY274" s="3341"/>
      <c r="CZ274" s="3341"/>
      <c r="DA274" s="3341"/>
      <c r="DB274" s="3341"/>
      <c r="DC274" s="3341"/>
      <c r="DD274" s="3341"/>
      <c r="DE274" s="3341"/>
      <c r="DF274" s="3341"/>
      <c r="DG274" s="3341"/>
      <c r="DH274" s="3341"/>
      <c r="DI274" s="3341"/>
      <c r="DJ274" s="3341"/>
      <c r="DK274" s="3341"/>
      <c r="DL274" s="3341"/>
      <c r="DM274" s="3341"/>
      <c r="DN274" s="3341"/>
      <c r="DO274" s="3341"/>
      <c r="DP274" s="3341"/>
      <c r="DQ274" s="3341"/>
      <c r="DR274" s="3341"/>
      <c r="DS274" s="3341"/>
      <c r="DT274" s="3341"/>
      <c r="DU274" s="3341"/>
      <c r="DV274" s="3341"/>
      <c r="DW274" s="3341"/>
      <c r="DX274" s="3341"/>
      <c r="DY274" s="3341"/>
      <c r="DZ274" s="3341"/>
      <c r="EA274" s="3341"/>
      <c r="EB274" s="3341"/>
      <c r="EC274" s="3341"/>
      <c r="ED274" s="3341"/>
      <c r="EE274" s="3341"/>
      <c r="EF274" s="3341"/>
      <c r="EG274" s="3341"/>
      <c r="EH274" s="3341"/>
      <c r="EI274" s="3341"/>
      <c r="EJ274" s="3341"/>
      <c r="EK274" s="3341"/>
      <c r="EL274" s="3341"/>
      <c r="EM274" s="3341"/>
      <c r="EN274" s="3341"/>
      <c r="EO274" s="3341"/>
      <c r="EP274" s="3341"/>
      <c r="EQ274" s="3341"/>
      <c r="ER274" s="3341"/>
      <c r="ES274" s="3341"/>
      <c r="ET274" s="3341"/>
      <c r="EU274" s="3341"/>
      <c r="EV274" s="3341"/>
      <c r="EW274" s="3341"/>
      <c r="EX274" s="3341"/>
      <c r="EY274" s="3341"/>
      <c r="EZ274" s="3341"/>
      <c r="FA274" s="3341"/>
      <c r="FB274" s="3341"/>
      <c r="FC274" s="3341"/>
      <c r="FD274" s="3341"/>
      <c r="FE274" s="3341"/>
      <c r="FF274" s="3341"/>
      <c r="FG274" s="3341"/>
      <c r="FH274" s="3341"/>
      <c r="FI274" s="3341"/>
      <c r="FJ274" s="3341"/>
      <c r="FK274" s="3341"/>
      <c r="FL274" s="3341"/>
      <c r="FM274" s="3341"/>
      <c r="FN274" s="3341"/>
      <c r="FO274" s="3341"/>
      <c r="FP274" s="3341"/>
      <c r="FQ274" s="3341"/>
      <c r="FR274" s="3341"/>
      <c r="FS274" s="3341"/>
      <c r="FT274" s="3341"/>
      <c r="FU274" s="3341"/>
      <c r="FV274" s="3341"/>
      <c r="FW274" s="3341"/>
      <c r="FX274" s="3341"/>
      <c r="FY274" s="3341"/>
      <c r="FZ274" s="3341"/>
      <c r="GA274" s="3341"/>
      <c r="GB274" s="3341"/>
      <c r="GC274" s="3341"/>
      <c r="GD274" s="3341"/>
      <c r="GE274" s="3341"/>
      <c r="GF274" s="3341"/>
      <c r="GG274" s="3341"/>
      <c r="GH274" s="3341"/>
      <c r="GI274" s="3341"/>
      <c r="GJ274" s="3341"/>
      <c r="GK274" s="3341"/>
      <c r="GL274" s="3341"/>
      <c r="GM274" s="3341"/>
      <c r="GN274" s="3341"/>
      <c r="GO274" s="3341"/>
      <c r="GP274" s="3341"/>
      <c r="GQ274" s="3341"/>
      <c r="GR274" s="3341"/>
      <c r="GS274" s="3341"/>
      <c r="GT274" s="3341"/>
      <c r="GU274" s="3341"/>
      <c r="GV274" s="3341"/>
      <c r="GW274" s="3341"/>
      <c r="GX274" s="3341"/>
      <c r="GY274" s="3341"/>
      <c r="GZ274" s="3341"/>
      <c r="HA274" s="3341"/>
      <c r="HB274" s="3341"/>
      <c r="HC274" s="3341"/>
      <c r="HD274" s="3341"/>
      <c r="HE274" s="3341"/>
      <c r="HF274" s="3341"/>
      <c r="HG274" s="3341"/>
      <c r="HH274" s="3341"/>
      <c r="HI274" s="3341"/>
      <c r="HJ274" s="3341"/>
      <c r="HK274" s="3341"/>
      <c r="HL274" s="3341"/>
      <c r="HM274" s="3341"/>
      <c r="HN274" s="3341"/>
      <c r="HO274" s="3341"/>
      <c r="HP274" s="3341"/>
      <c r="HQ274" s="3341"/>
      <c r="HR274" s="3341"/>
      <c r="HS274" s="3341"/>
      <c r="HT274" s="3341"/>
      <c r="HU274" s="3341"/>
      <c r="HV274" s="3341"/>
      <c r="HW274" s="3341"/>
      <c r="HX274" s="3341"/>
      <c r="HY274" s="3341"/>
      <c r="HZ274" s="3341"/>
      <c r="IA274" s="3341"/>
      <c r="IB274" s="3341"/>
      <c r="IC274" s="3341"/>
      <c r="ID274" s="3341"/>
      <c r="IE274" s="3341"/>
      <c r="IF274" s="3341"/>
      <c r="IG274" s="3341"/>
      <c r="IH274" s="3341"/>
      <c r="II274" s="3341"/>
    </row>
    <row r="275" spans="1:243" hidden="1">
      <c r="A275" s="3267" t="s">
        <v>5062</v>
      </c>
      <c r="B275" s="3267" t="s">
        <v>5063</v>
      </c>
      <c r="C275" s="3269" t="s">
        <v>5064</v>
      </c>
      <c r="D275" s="3269" t="s">
        <v>5065</v>
      </c>
      <c r="E275" s="3267" t="s">
        <v>2985</v>
      </c>
      <c r="F275" s="3267" t="s">
        <v>5066</v>
      </c>
      <c r="G275" s="3267"/>
      <c r="H275" s="3267" t="s">
        <v>3139</v>
      </c>
      <c r="I275" s="3267" t="s">
        <v>3586</v>
      </c>
      <c r="J275" s="3269" t="s">
        <v>5067</v>
      </c>
      <c r="K275" s="3268" t="s">
        <v>5063</v>
      </c>
      <c r="L275" s="3267">
        <v>66.489999999999995</v>
      </c>
      <c r="M275" s="3267">
        <v>6</v>
      </c>
      <c r="N275" s="3268" t="s">
        <v>3122</v>
      </c>
      <c r="O275" s="3267"/>
      <c r="P275" s="3267" t="s">
        <v>2963</v>
      </c>
      <c r="Q275" s="3271">
        <v>325800</v>
      </c>
      <c r="R275" s="3267">
        <v>4900</v>
      </c>
      <c r="S275" s="3272">
        <v>30.59</v>
      </c>
      <c r="T275" s="3273">
        <v>305900</v>
      </c>
      <c r="U275" s="3267">
        <v>4602</v>
      </c>
      <c r="V275" s="3289">
        <v>0.05</v>
      </c>
      <c r="W275" s="3272">
        <v>29.06</v>
      </c>
      <c r="X275" s="3275">
        <v>290600</v>
      </c>
      <c r="Y275" s="3270">
        <v>2006</v>
      </c>
      <c r="Z275" s="3267">
        <v>3</v>
      </c>
      <c r="AA275" s="3267">
        <v>31</v>
      </c>
      <c r="AB275" s="3267">
        <v>915</v>
      </c>
      <c r="AC275" s="3267" t="s">
        <v>3227</v>
      </c>
      <c r="AD275" s="3267"/>
      <c r="AE275" s="3276" t="s">
        <v>3304</v>
      </c>
      <c r="AF275" s="3267" t="s">
        <v>2966</v>
      </c>
      <c r="AG275" s="3279" t="s">
        <v>2967</v>
      </c>
      <c r="AH275" s="3267" t="s">
        <v>2968</v>
      </c>
      <c r="AI275" s="3267" t="s">
        <v>2992</v>
      </c>
      <c r="AJ275" s="3284" t="s">
        <v>2968</v>
      </c>
      <c r="AK275" s="3278" t="s">
        <v>3114</v>
      </c>
      <c r="AL275" s="3276">
        <v>67641700</v>
      </c>
      <c r="AM275" s="3276"/>
      <c r="AN275" s="3279" t="s">
        <v>3099</v>
      </c>
      <c r="AO275" s="3276" t="s">
        <v>2968</v>
      </c>
      <c r="AP275" s="3276" t="s">
        <v>3342</v>
      </c>
      <c r="AQ275" s="3276" t="s">
        <v>3113</v>
      </c>
      <c r="AR275" s="3276"/>
      <c r="AS275" s="3276"/>
      <c r="AT275" s="3276"/>
      <c r="AU275" s="3276"/>
      <c r="AV275" s="3276" t="s">
        <v>2968</v>
      </c>
      <c r="AW275" s="3276" t="s">
        <v>2997</v>
      </c>
      <c r="AX275" s="3276"/>
      <c r="AY275" s="3291"/>
      <c r="AZ275" s="3276" t="s">
        <v>5068</v>
      </c>
      <c r="BA275" s="3276"/>
      <c r="BB275" s="3291"/>
      <c r="BC275" s="3276"/>
      <c r="BD275" s="3292"/>
      <c r="BE275" s="3276"/>
      <c r="BF275" s="3281"/>
      <c r="BG275" s="3284">
        <v>38791</v>
      </c>
      <c r="BH275" s="3276"/>
      <c r="BI275" s="3267" t="s">
        <v>3537</v>
      </c>
      <c r="BJ275" s="3284">
        <v>38806</v>
      </c>
      <c r="BK275" s="3283"/>
      <c r="BL275" s="3267" t="s">
        <v>2998</v>
      </c>
      <c r="BM275" s="3276" t="s">
        <v>3128</v>
      </c>
      <c r="BN275" s="3276" t="s">
        <v>3111</v>
      </c>
      <c r="BO275" s="3276" t="s">
        <v>3146</v>
      </c>
      <c r="BP275" s="3276"/>
      <c r="BQ275" s="3276" t="e">
        <v>#DIV/0!</v>
      </c>
      <c r="BR275" s="3276" t="e">
        <v>#DIV/0!</v>
      </c>
      <c r="BS275" s="3285"/>
      <c r="BT275" s="3285"/>
      <c r="BU275" s="3285"/>
      <c r="BV275" s="3347"/>
      <c r="BW275" s="3347"/>
      <c r="BX275" s="3347"/>
      <c r="BY275" s="3347"/>
      <c r="BZ275" s="3347"/>
      <c r="CA275" s="3347"/>
      <c r="CB275" s="3347"/>
      <c r="CC275" s="3347"/>
      <c r="CD275" s="3347"/>
      <c r="CE275" s="3347"/>
      <c r="CF275" s="3347"/>
      <c r="CG275" s="3347"/>
      <c r="CH275" s="3347"/>
      <c r="CI275" s="3347"/>
      <c r="CJ275" s="3347"/>
      <c r="CK275" s="3347"/>
      <c r="CL275" s="3347"/>
      <c r="CM275" s="3347"/>
      <c r="CN275" s="3347"/>
      <c r="CO275" s="3347"/>
      <c r="CP275" s="3347"/>
      <c r="CQ275" s="3347"/>
      <c r="CR275" s="3347"/>
      <c r="CS275" s="3347"/>
      <c r="CT275" s="3347"/>
      <c r="CU275" s="3347"/>
      <c r="CV275" s="3347"/>
      <c r="CW275" s="3347"/>
      <c r="CX275" s="3347"/>
      <c r="CY275" s="3347"/>
      <c r="CZ275" s="3347"/>
      <c r="DA275" s="3347"/>
      <c r="DB275" s="3347"/>
      <c r="DC275" s="3347"/>
      <c r="DD275" s="3347"/>
      <c r="DE275" s="3347"/>
      <c r="DF275" s="3347"/>
      <c r="DG275" s="3347"/>
      <c r="DH275" s="3347"/>
      <c r="DI275" s="3347"/>
      <c r="DJ275" s="3347"/>
      <c r="DK275" s="3347"/>
      <c r="DL275" s="3347"/>
      <c r="DM275" s="3347"/>
      <c r="DN275" s="3347"/>
      <c r="DO275" s="3347"/>
      <c r="DP275" s="3347"/>
      <c r="DQ275" s="3347"/>
      <c r="DR275" s="3347"/>
      <c r="DS275" s="3347"/>
      <c r="DT275" s="3347"/>
      <c r="DU275" s="3347"/>
      <c r="DV275" s="3347"/>
      <c r="DW275" s="3347"/>
      <c r="DX275" s="3347"/>
      <c r="DY275" s="3347"/>
      <c r="DZ275" s="3347"/>
      <c r="EA275" s="3347"/>
      <c r="EB275" s="3347"/>
      <c r="EC275" s="3347"/>
      <c r="ED275" s="3347"/>
      <c r="EE275" s="3347"/>
      <c r="EF275" s="3347"/>
      <c r="EG275" s="3347"/>
      <c r="EH275" s="3347"/>
      <c r="EI275" s="3347"/>
      <c r="EJ275" s="3347"/>
      <c r="EK275" s="3347"/>
      <c r="EL275" s="3347"/>
      <c r="EM275" s="3347"/>
      <c r="EN275" s="3347"/>
      <c r="EO275" s="3347"/>
      <c r="EP275" s="3347"/>
      <c r="EQ275" s="3347"/>
      <c r="ER275" s="3347"/>
      <c r="ES275" s="3347"/>
      <c r="ET275" s="3347"/>
      <c r="EU275" s="3347"/>
      <c r="EV275" s="3347"/>
      <c r="EW275" s="3347"/>
      <c r="EX275" s="3347"/>
      <c r="EY275" s="3347"/>
      <c r="EZ275" s="3347"/>
      <c r="FA275" s="3347"/>
      <c r="FB275" s="3347"/>
      <c r="FC275" s="3347"/>
      <c r="FD275" s="3347"/>
      <c r="FE275" s="3347"/>
      <c r="FF275" s="3347"/>
      <c r="FG275" s="3347"/>
      <c r="FH275" s="3347"/>
      <c r="FI275" s="3347"/>
      <c r="FJ275" s="3347"/>
      <c r="FK275" s="3347"/>
      <c r="FL275" s="3347"/>
      <c r="FM275" s="3347"/>
      <c r="FN275" s="3347"/>
      <c r="FO275" s="3347"/>
      <c r="FP275" s="3347"/>
      <c r="FQ275" s="3347"/>
      <c r="FR275" s="3347"/>
      <c r="FS275" s="3347"/>
      <c r="FT275" s="3347"/>
      <c r="FU275" s="3347"/>
      <c r="FV275" s="3347"/>
      <c r="FW275" s="3347"/>
      <c r="FX275" s="3347"/>
      <c r="FY275" s="3347"/>
      <c r="FZ275" s="3347"/>
      <c r="GA275" s="3347"/>
      <c r="GB275" s="3347"/>
      <c r="GC275" s="3347"/>
      <c r="GD275" s="3347"/>
      <c r="GE275" s="3347"/>
      <c r="GF275" s="3347"/>
      <c r="GG275" s="3347"/>
      <c r="GH275" s="3347"/>
      <c r="GI275" s="3347"/>
      <c r="GJ275" s="3347"/>
      <c r="GK275" s="3347"/>
      <c r="GL275" s="3347"/>
      <c r="GM275" s="3347"/>
      <c r="GN275" s="3347"/>
      <c r="GO275" s="3347"/>
      <c r="GP275" s="3347"/>
      <c r="GQ275" s="3347"/>
      <c r="GR275" s="3347"/>
      <c r="GS275" s="3347"/>
      <c r="GT275" s="3347"/>
      <c r="GU275" s="3347"/>
      <c r="GV275" s="3347"/>
      <c r="GW275" s="3347"/>
      <c r="GX275" s="3347"/>
      <c r="GY275" s="3347"/>
      <c r="GZ275" s="3347"/>
      <c r="HA275" s="3347"/>
      <c r="HB275" s="3347"/>
      <c r="HC275" s="3347"/>
      <c r="HD275" s="3347"/>
      <c r="HE275" s="3347"/>
      <c r="HF275" s="3347"/>
      <c r="HG275" s="3347"/>
      <c r="HH275" s="3347"/>
      <c r="HI275" s="3347"/>
      <c r="HJ275" s="3347"/>
      <c r="HK275" s="3347"/>
      <c r="HL275" s="3347"/>
      <c r="HM275" s="3347"/>
      <c r="HN275" s="3347"/>
      <c r="HO275" s="3347"/>
      <c r="HP275" s="3347"/>
      <c r="HQ275" s="3347"/>
      <c r="HR275" s="3347"/>
      <c r="HS275" s="3347"/>
      <c r="HT275" s="3347"/>
      <c r="HU275" s="3347"/>
      <c r="HV275" s="3347"/>
      <c r="HW275" s="3347"/>
      <c r="HX275" s="3347"/>
      <c r="HY275" s="3347"/>
      <c r="HZ275" s="3347"/>
      <c r="IA275" s="3347"/>
      <c r="IB275" s="3347"/>
      <c r="IC275" s="3347"/>
      <c r="ID275" s="3347"/>
      <c r="IE275" s="3347"/>
      <c r="IF275" s="3347"/>
      <c r="IG275" s="3347"/>
      <c r="IH275" s="3347"/>
      <c r="II275" s="3347"/>
    </row>
    <row r="276" spans="1:243" hidden="1">
      <c r="A276" s="3267" t="s">
        <v>5069</v>
      </c>
      <c r="B276" s="3267" t="s">
        <v>5070</v>
      </c>
      <c r="C276" s="3269" t="s">
        <v>5071</v>
      </c>
      <c r="D276" s="3268">
        <v>13366086449</v>
      </c>
      <c r="E276" s="3267" t="s">
        <v>2985</v>
      </c>
      <c r="F276" s="3267" t="s">
        <v>3391</v>
      </c>
      <c r="G276" s="3267"/>
      <c r="H276" s="3267" t="s">
        <v>3169</v>
      </c>
      <c r="I276" s="3267" t="s">
        <v>3586</v>
      </c>
      <c r="J276" s="3267">
        <v>302</v>
      </c>
      <c r="K276" s="3267" t="s">
        <v>5072</v>
      </c>
      <c r="L276" s="3267">
        <v>62.74</v>
      </c>
      <c r="M276" s="3267">
        <v>3</v>
      </c>
      <c r="N276" s="3268" t="s">
        <v>3122</v>
      </c>
      <c r="O276" s="3267"/>
      <c r="P276" s="3267" t="s">
        <v>2963</v>
      </c>
      <c r="Q276" s="3271">
        <v>385000</v>
      </c>
      <c r="R276" s="3271">
        <v>6136</v>
      </c>
      <c r="S276" s="3272">
        <v>33.94</v>
      </c>
      <c r="T276" s="3273">
        <v>339400</v>
      </c>
      <c r="U276" s="3267">
        <v>5411</v>
      </c>
      <c r="V276" s="3289">
        <v>0.05</v>
      </c>
      <c r="W276" s="3272">
        <v>32.24</v>
      </c>
      <c r="X276" s="3273">
        <v>322400</v>
      </c>
      <c r="Y276" s="3270">
        <v>2006</v>
      </c>
      <c r="Z276" s="3267">
        <v>4</v>
      </c>
      <c r="AA276" s="3267">
        <v>27</v>
      </c>
      <c r="AB276" s="3267">
        <v>1015</v>
      </c>
      <c r="AC276" s="3267" t="s">
        <v>3227</v>
      </c>
      <c r="AD276" s="3267"/>
      <c r="AE276" s="3267" t="s">
        <v>3304</v>
      </c>
      <c r="AF276" s="3267" t="s">
        <v>2966</v>
      </c>
      <c r="AG276" s="3279" t="s">
        <v>2967</v>
      </c>
      <c r="AH276" s="3267"/>
      <c r="AI276" s="3267" t="s">
        <v>3295</v>
      </c>
      <c r="AJ276" s="3284"/>
      <c r="AK276" s="3278">
        <v>4</v>
      </c>
      <c r="AL276" s="3267">
        <v>67641700</v>
      </c>
      <c r="AM276" s="3267"/>
      <c r="AN276" s="3279" t="s">
        <v>2994</v>
      </c>
      <c r="AO276" s="3267"/>
      <c r="AP276" s="3267" t="s">
        <v>3305</v>
      </c>
      <c r="AQ276" s="3267" t="s">
        <v>3228</v>
      </c>
      <c r="AR276" s="3267"/>
      <c r="AS276" s="3267"/>
      <c r="AT276" s="3267"/>
      <c r="AU276" s="3267"/>
      <c r="AV276" s="3267"/>
      <c r="AW276" s="3267" t="s">
        <v>2997</v>
      </c>
      <c r="AX276" s="3267"/>
      <c r="AY276" s="3269"/>
      <c r="AZ276" s="3267" t="s">
        <v>5072</v>
      </c>
      <c r="BA276" s="3267"/>
      <c r="BB276" s="3269"/>
      <c r="BC276" s="3267"/>
      <c r="BD276" s="3304"/>
      <c r="BE276" s="3267"/>
      <c r="BF276" s="3305"/>
      <c r="BG276" s="3284">
        <v>38803</v>
      </c>
      <c r="BH276" s="3267"/>
      <c r="BI276" s="3267" t="s">
        <v>3537</v>
      </c>
      <c r="BJ276" s="3284">
        <v>38805</v>
      </c>
      <c r="BK276" s="3303"/>
      <c r="BL276" s="3267" t="s">
        <v>3249</v>
      </c>
      <c r="BM276" s="3276" t="s">
        <v>2879</v>
      </c>
      <c r="BN276" s="3276" t="s">
        <v>3111</v>
      </c>
      <c r="BO276" s="3276" t="s">
        <v>5073</v>
      </c>
      <c r="BP276" s="3276"/>
      <c r="BQ276" s="3276"/>
      <c r="BR276" s="3276"/>
      <c r="BS276" s="3285"/>
      <c r="BT276" s="3285"/>
      <c r="BU276" s="3285"/>
      <c r="BV276" s="3360"/>
      <c r="BW276" s="3360"/>
      <c r="BX276" s="3360"/>
      <c r="BY276" s="3360"/>
      <c r="BZ276" s="3360"/>
      <c r="CA276" s="3360"/>
      <c r="CB276" s="3360"/>
      <c r="CC276" s="3360"/>
      <c r="CD276" s="3360"/>
      <c r="CE276" s="3360"/>
      <c r="CF276" s="3360"/>
      <c r="CG276" s="3360"/>
      <c r="CH276" s="3360"/>
      <c r="CI276" s="3360"/>
      <c r="CJ276" s="3360"/>
      <c r="CK276" s="3360"/>
      <c r="CL276" s="3360"/>
      <c r="CM276" s="3360"/>
      <c r="CN276" s="3360"/>
      <c r="CO276" s="3360"/>
      <c r="CP276" s="3360"/>
      <c r="CQ276" s="3360"/>
      <c r="CR276" s="3360"/>
      <c r="CS276" s="3360"/>
      <c r="CT276" s="3360"/>
      <c r="CU276" s="3360"/>
      <c r="CV276" s="3360"/>
      <c r="CW276" s="3360"/>
      <c r="CX276" s="3360"/>
      <c r="CY276" s="3360"/>
      <c r="CZ276" s="3360"/>
      <c r="DA276" s="3360"/>
      <c r="DB276" s="3360"/>
      <c r="DC276" s="3360"/>
      <c r="DD276" s="3360"/>
      <c r="DE276" s="3360"/>
      <c r="DF276" s="3360"/>
      <c r="DG276" s="3360"/>
      <c r="DH276" s="3360"/>
      <c r="DI276" s="3360"/>
      <c r="DJ276" s="3360"/>
      <c r="DK276" s="3360"/>
      <c r="DL276" s="3360"/>
      <c r="DM276" s="3360"/>
      <c r="DN276" s="3360"/>
      <c r="DO276" s="3360"/>
      <c r="DP276" s="3360"/>
      <c r="DQ276" s="3360"/>
      <c r="DR276" s="3360"/>
      <c r="DS276" s="3360"/>
      <c r="DT276" s="3360"/>
      <c r="DU276" s="3360"/>
      <c r="DV276" s="3360"/>
      <c r="DW276" s="3360"/>
      <c r="DX276" s="3360"/>
      <c r="DY276" s="3360"/>
      <c r="DZ276" s="3360"/>
      <c r="EA276" s="3360"/>
      <c r="EB276" s="3360"/>
      <c r="EC276" s="3360"/>
      <c r="ED276" s="3360"/>
      <c r="EE276" s="3360"/>
      <c r="EF276" s="3360"/>
      <c r="EG276" s="3360"/>
      <c r="EH276" s="3360"/>
      <c r="EI276" s="3360"/>
      <c r="EJ276" s="3360"/>
      <c r="EK276" s="3360"/>
      <c r="EL276" s="3360"/>
      <c r="EM276" s="3360"/>
      <c r="EN276" s="3360"/>
      <c r="EO276" s="3360"/>
      <c r="EP276" s="3360"/>
      <c r="EQ276" s="3360"/>
      <c r="ER276" s="3360"/>
      <c r="ES276" s="3360"/>
      <c r="ET276" s="3360"/>
      <c r="EU276" s="3360"/>
      <c r="EV276" s="3360"/>
      <c r="EW276" s="3360"/>
      <c r="EX276" s="3360"/>
      <c r="EY276" s="3360"/>
      <c r="EZ276" s="3360"/>
      <c r="FA276" s="3360"/>
      <c r="FB276" s="3360"/>
      <c r="FC276" s="3360"/>
      <c r="FD276" s="3360"/>
      <c r="FE276" s="3360"/>
      <c r="FF276" s="3360"/>
      <c r="FG276" s="3360"/>
      <c r="FH276" s="3360"/>
      <c r="FI276" s="3360"/>
      <c r="FJ276" s="3360"/>
      <c r="FK276" s="3360"/>
      <c r="FL276" s="3360"/>
      <c r="FM276" s="3360"/>
      <c r="FN276" s="3360"/>
      <c r="FO276" s="3360"/>
      <c r="FP276" s="3360"/>
      <c r="FQ276" s="3360"/>
      <c r="FR276" s="3360"/>
      <c r="FS276" s="3360"/>
      <c r="FT276" s="3360"/>
      <c r="FU276" s="3360"/>
      <c r="FV276" s="3360"/>
      <c r="FW276" s="3360"/>
      <c r="FX276" s="3360"/>
      <c r="FY276" s="3360"/>
      <c r="FZ276" s="3360"/>
      <c r="GA276" s="3360"/>
      <c r="GB276" s="3360"/>
      <c r="GC276" s="3360"/>
      <c r="GD276" s="3360"/>
      <c r="GE276" s="3360"/>
      <c r="GF276" s="3360"/>
      <c r="GG276" s="3360"/>
      <c r="GH276" s="3360"/>
      <c r="GI276" s="3360"/>
      <c r="GJ276" s="3360"/>
      <c r="GK276" s="3360"/>
      <c r="GL276" s="3360"/>
      <c r="GM276" s="3360"/>
      <c r="GN276" s="3360"/>
      <c r="GO276" s="3360"/>
      <c r="GP276" s="3360"/>
      <c r="GQ276" s="3360"/>
      <c r="GR276" s="3360"/>
      <c r="GS276" s="3360"/>
      <c r="GT276" s="3360"/>
      <c r="GU276" s="3360"/>
      <c r="GV276" s="3360"/>
      <c r="GW276" s="3360"/>
      <c r="GX276" s="3360"/>
      <c r="GY276" s="3360"/>
      <c r="GZ276" s="3360"/>
      <c r="HA276" s="3360"/>
      <c r="HB276" s="3360"/>
      <c r="HC276" s="3360"/>
      <c r="HD276" s="3360"/>
      <c r="HE276" s="3360"/>
      <c r="HF276" s="3360"/>
      <c r="HG276" s="3360"/>
      <c r="HH276" s="3360"/>
      <c r="HI276" s="3360"/>
      <c r="HJ276" s="3360"/>
      <c r="HK276" s="3360"/>
      <c r="HL276" s="3360"/>
      <c r="HM276" s="3360"/>
      <c r="HN276" s="3360"/>
      <c r="HO276" s="3360"/>
      <c r="HP276" s="3360"/>
      <c r="HQ276" s="3360"/>
      <c r="HR276" s="3360"/>
      <c r="HS276" s="3360"/>
      <c r="HT276" s="3360"/>
      <c r="HU276" s="3360"/>
      <c r="HV276" s="3360"/>
      <c r="HW276" s="3360"/>
      <c r="HX276" s="3360"/>
      <c r="HY276" s="3360"/>
      <c r="HZ276" s="3360"/>
      <c r="IA276" s="3360"/>
      <c r="IB276" s="3360"/>
      <c r="IC276" s="3360"/>
      <c r="ID276" s="3360"/>
      <c r="IE276" s="3360"/>
      <c r="IF276" s="3360"/>
      <c r="IG276" s="3360"/>
      <c r="IH276" s="3360"/>
      <c r="II276" s="3360"/>
    </row>
    <row r="277" spans="1:243" hidden="1">
      <c r="A277" s="3267" t="s">
        <v>5074</v>
      </c>
      <c r="B277" s="3268" t="s">
        <v>5075</v>
      </c>
      <c r="C277" s="3269" t="s">
        <v>5076</v>
      </c>
      <c r="D277" s="3267">
        <v>13991279783</v>
      </c>
      <c r="E277" s="3267" t="s">
        <v>2985</v>
      </c>
      <c r="F277" s="3267" t="s">
        <v>5077</v>
      </c>
      <c r="G277" s="3267"/>
      <c r="H277" s="3267" t="s">
        <v>3130</v>
      </c>
      <c r="I277" s="3267" t="s">
        <v>3318</v>
      </c>
      <c r="J277" s="3267" t="s">
        <v>5078</v>
      </c>
      <c r="K277" s="3268" t="s">
        <v>5079</v>
      </c>
      <c r="L277" s="3267">
        <v>59.69</v>
      </c>
      <c r="M277" s="3267">
        <v>6</v>
      </c>
      <c r="N277" s="3267" t="s">
        <v>3122</v>
      </c>
      <c r="O277" s="3267"/>
      <c r="P277" s="3267" t="s">
        <v>2963</v>
      </c>
      <c r="Q277" s="3267">
        <v>450000</v>
      </c>
      <c r="R277" s="3267">
        <v>7539</v>
      </c>
      <c r="S277" s="3272">
        <v>42.28</v>
      </c>
      <c r="T277" s="3273">
        <v>422800</v>
      </c>
      <c r="U277" s="3267">
        <v>7084</v>
      </c>
      <c r="V277" s="3274">
        <v>0.05</v>
      </c>
      <c r="W277" s="3272">
        <v>40.159999999999997</v>
      </c>
      <c r="X277" s="3275">
        <v>401600</v>
      </c>
      <c r="Y277" s="3267">
        <v>2006</v>
      </c>
      <c r="Z277" s="3267">
        <v>5</v>
      </c>
      <c r="AA277" s="3276">
        <v>18</v>
      </c>
      <c r="AB277" s="3267">
        <v>1265</v>
      </c>
      <c r="AC277" s="3267" t="s">
        <v>3227</v>
      </c>
      <c r="AD277" s="3267"/>
      <c r="AE277" s="3276" t="s">
        <v>3304</v>
      </c>
      <c r="AF277" s="3267"/>
      <c r="AG277" s="3267" t="s">
        <v>2967</v>
      </c>
      <c r="AH277" s="3267"/>
      <c r="AI277" s="3267" t="s">
        <v>2992</v>
      </c>
      <c r="AJ277" s="3284"/>
      <c r="AK277" s="3267" t="s">
        <v>3099</v>
      </c>
      <c r="AL277" s="3267">
        <v>67641700</v>
      </c>
      <c r="AM277" s="3267"/>
      <c r="AN277" s="3267" t="s">
        <v>3140</v>
      </c>
      <c r="AO277" s="3267"/>
      <c r="AP277" s="3267" t="s">
        <v>3396</v>
      </c>
      <c r="AQ277" s="3267" t="s">
        <v>3113</v>
      </c>
      <c r="AR277" s="3267"/>
      <c r="AS277" s="3267"/>
      <c r="AT277" s="3267"/>
      <c r="AU277" s="3267"/>
      <c r="AV277" s="3267"/>
      <c r="AW277" s="3267" t="s">
        <v>3171</v>
      </c>
      <c r="AX277" s="3267"/>
      <c r="AY277" s="3269"/>
      <c r="AZ277" s="3268" t="s">
        <v>5079</v>
      </c>
      <c r="BA277" s="3267"/>
      <c r="BB277" s="3267"/>
      <c r="BC277" s="3267"/>
      <c r="BD277" s="3267"/>
      <c r="BE277" s="3267"/>
      <c r="BF277" s="3267"/>
      <c r="BG277" s="3307">
        <v>38768</v>
      </c>
      <c r="BH277" s="3267"/>
      <c r="BI277" s="3276" t="s">
        <v>3396</v>
      </c>
      <c r="BJ277" s="3283">
        <v>38806</v>
      </c>
      <c r="BK277" s="3283"/>
      <c r="BL277" s="3267"/>
      <c r="BM277" s="3267"/>
      <c r="BN277" s="3267"/>
      <c r="BO277" s="3267"/>
      <c r="BP277" s="3267"/>
      <c r="BQ277" s="3276" t="e">
        <v>#DIV/0!</v>
      </c>
      <c r="BR277" s="3276" t="e">
        <v>#DIV/0!</v>
      </c>
      <c r="BS277" s="3285"/>
      <c r="BT277" s="3285"/>
      <c r="BU277" s="3285"/>
      <c r="BV277" s="3360"/>
      <c r="BW277" s="3360"/>
      <c r="BX277" s="3360"/>
      <c r="BY277" s="3360"/>
      <c r="BZ277" s="3360"/>
      <c r="CA277" s="3360"/>
      <c r="CB277" s="3360"/>
      <c r="CC277" s="3360"/>
      <c r="CD277" s="3360"/>
      <c r="CE277" s="3360"/>
      <c r="CF277" s="3360"/>
      <c r="CG277" s="3360"/>
      <c r="CH277" s="3360"/>
      <c r="CI277" s="3360"/>
      <c r="CJ277" s="3360"/>
      <c r="CK277" s="3360"/>
      <c r="CL277" s="3360"/>
      <c r="CM277" s="3360"/>
      <c r="CN277" s="3360"/>
      <c r="CO277" s="3360"/>
      <c r="CP277" s="3360"/>
      <c r="CQ277" s="3360"/>
      <c r="CR277" s="3360"/>
      <c r="CS277" s="3360"/>
      <c r="CT277" s="3360"/>
      <c r="CU277" s="3360"/>
      <c r="CV277" s="3360"/>
      <c r="CW277" s="3360"/>
      <c r="CX277" s="3360"/>
      <c r="CY277" s="3360"/>
      <c r="CZ277" s="3360"/>
      <c r="DA277" s="3360"/>
      <c r="DB277" s="3360"/>
      <c r="DC277" s="3360"/>
      <c r="DD277" s="3360"/>
      <c r="DE277" s="3360"/>
      <c r="DF277" s="3360"/>
      <c r="DG277" s="3360"/>
      <c r="DH277" s="3360"/>
      <c r="DI277" s="3360"/>
      <c r="DJ277" s="3360"/>
      <c r="DK277" s="3360"/>
      <c r="DL277" s="3360"/>
      <c r="DM277" s="3360"/>
      <c r="DN277" s="3360"/>
      <c r="DO277" s="3360"/>
      <c r="DP277" s="3360"/>
      <c r="DQ277" s="3360"/>
      <c r="DR277" s="3360"/>
      <c r="DS277" s="3360"/>
      <c r="DT277" s="3360"/>
      <c r="DU277" s="3360"/>
      <c r="DV277" s="3360"/>
      <c r="DW277" s="3360"/>
      <c r="DX277" s="3360"/>
      <c r="DY277" s="3360"/>
      <c r="DZ277" s="3360"/>
      <c r="EA277" s="3360"/>
      <c r="EB277" s="3360"/>
      <c r="EC277" s="3360"/>
      <c r="ED277" s="3360"/>
      <c r="EE277" s="3360"/>
      <c r="EF277" s="3360"/>
      <c r="EG277" s="3360"/>
      <c r="EH277" s="3360"/>
      <c r="EI277" s="3360"/>
      <c r="EJ277" s="3360"/>
      <c r="EK277" s="3360"/>
      <c r="EL277" s="3360"/>
      <c r="EM277" s="3360"/>
      <c r="EN277" s="3360"/>
      <c r="EO277" s="3360"/>
      <c r="EP277" s="3360"/>
      <c r="EQ277" s="3360"/>
      <c r="ER277" s="3360"/>
      <c r="ES277" s="3360"/>
      <c r="ET277" s="3360"/>
      <c r="EU277" s="3360"/>
      <c r="EV277" s="3360"/>
      <c r="EW277" s="3360"/>
      <c r="EX277" s="3360"/>
      <c r="EY277" s="3360"/>
      <c r="EZ277" s="3360"/>
      <c r="FA277" s="3360"/>
      <c r="FB277" s="3360"/>
      <c r="FC277" s="3360"/>
      <c r="FD277" s="3360"/>
      <c r="FE277" s="3360"/>
      <c r="FF277" s="3360"/>
      <c r="FG277" s="3360"/>
      <c r="FH277" s="3360"/>
      <c r="FI277" s="3360"/>
      <c r="FJ277" s="3360"/>
      <c r="FK277" s="3360"/>
      <c r="FL277" s="3360"/>
      <c r="FM277" s="3360"/>
      <c r="FN277" s="3360"/>
      <c r="FO277" s="3360"/>
      <c r="FP277" s="3360"/>
      <c r="FQ277" s="3360"/>
      <c r="FR277" s="3360"/>
      <c r="FS277" s="3360"/>
      <c r="FT277" s="3360"/>
      <c r="FU277" s="3360"/>
      <c r="FV277" s="3360"/>
      <c r="FW277" s="3360"/>
      <c r="FX277" s="3360"/>
      <c r="FY277" s="3360"/>
      <c r="FZ277" s="3360"/>
      <c r="GA277" s="3360"/>
      <c r="GB277" s="3360"/>
      <c r="GC277" s="3360"/>
      <c r="GD277" s="3360"/>
      <c r="GE277" s="3360"/>
      <c r="GF277" s="3360"/>
      <c r="GG277" s="3360"/>
      <c r="GH277" s="3360"/>
      <c r="GI277" s="3360"/>
      <c r="GJ277" s="3360"/>
      <c r="GK277" s="3360"/>
      <c r="GL277" s="3360"/>
      <c r="GM277" s="3360"/>
      <c r="GN277" s="3360"/>
      <c r="GO277" s="3360"/>
      <c r="GP277" s="3360"/>
      <c r="GQ277" s="3360"/>
      <c r="GR277" s="3360"/>
      <c r="GS277" s="3360"/>
      <c r="GT277" s="3360"/>
      <c r="GU277" s="3360"/>
      <c r="GV277" s="3360"/>
      <c r="GW277" s="3360"/>
      <c r="GX277" s="3360"/>
      <c r="GY277" s="3360"/>
      <c r="GZ277" s="3360"/>
      <c r="HA277" s="3360"/>
      <c r="HB277" s="3360"/>
      <c r="HC277" s="3360"/>
      <c r="HD277" s="3360"/>
      <c r="HE277" s="3360"/>
      <c r="HF277" s="3360"/>
      <c r="HG277" s="3360"/>
      <c r="HH277" s="3360"/>
      <c r="HI277" s="3360"/>
      <c r="HJ277" s="3360"/>
      <c r="HK277" s="3360"/>
      <c r="HL277" s="3360"/>
      <c r="HM277" s="3360"/>
      <c r="HN277" s="3360"/>
      <c r="HO277" s="3360"/>
      <c r="HP277" s="3360"/>
      <c r="HQ277" s="3360"/>
      <c r="HR277" s="3360"/>
      <c r="HS277" s="3360"/>
      <c r="HT277" s="3360"/>
      <c r="HU277" s="3360"/>
      <c r="HV277" s="3360"/>
      <c r="HW277" s="3360"/>
      <c r="HX277" s="3360"/>
      <c r="HY277" s="3360"/>
      <c r="HZ277" s="3360"/>
      <c r="IA277" s="3360"/>
      <c r="IB277" s="3360"/>
      <c r="IC277" s="3360"/>
      <c r="ID277" s="3360"/>
      <c r="IE277" s="3360"/>
      <c r="IF277" s="3360"/>
      <c r="IG277" s="3360"/>
      <c r="IH277" s="3360"/>
      <c r="II277" s="3360"/>
    </row>
    <row r="278" spans="1:243" hidden="1">
      <c r="A278" s="3267" t="s">
        <v>5080</v>
      </c>
      <c r="B278" s="3267" t="s">
        <v>5081</v>
      </c>
      <c r="C278" s="3269" t="s">
        <v>5082</v>
      </c>
      <c r="D278" s="3267">
        <v>13910701092</v>
      </c>
      <c r="E278" s="3267" t="s">
        <v>2985</v>
      </c>
      <c r="F278" s="3267" t="s">
        <v>5083</v>
      </c>
      <c r="G278" s="3267"/>
      <c r="H278" s="3267" t="s">
        <v>3139</v>
      </c>
      <c r="I278" s="3267"/>
      <c r="J278" s="3267" t="s">
        <v>5084</v>
      </c>
      <c r="K278" s="3268" t="s">
        <v>5081</v>
      </c>
      <c r="L278" s="3267">
        <v>57.09</v>
      </c>
      <c r="M278" s="3267">
        <v>6</v>
      </c>
      <c r="N278" s="3267" t="s">
        <v>3122</v>
      </c>
      <c r="O278" s="3267"/>
      <c r="P278" s="3267" t="s">
        <v>2963</v>
      </c>
      <c r="Q278" s="3267">
        <v>360000</v>
      </c>
      <c r="R278" s="3288">
        <v>6306</v>
      </c>
      <c r="S278" s="3272">
        <v>31.01</v>
      </c>
      <c r="T278" s="3273">
        <v>310100</v>
      </c>
      <c r="U278" s="3267">
        <v>5433</v>
      </c>
      <c r="V278" s="3289">
        <v>0.05</v>
      </c>
      <c r="W278" s="3272">
        <v>29.45</v>
      </c>
      <c r="X278" s="3273">
        <v>294500</v>
      </c>
      <c r="Y278" s="3267">
        <v>2006</v>
      </c>
      <c r="Z278" s="3276">
        <v>4</v>
      </c>
      <c r="AA278" s="3276">
        <v>25</v>
      </c>
      <c r="AB278" s="3267">
        <v>930</v>
      </c>
      <c r="AC278" s="3267" t="s">
        <v>3227</v>
      </c>
      <c r="AD278" s="3267"/>
      <c r="AE278" s="3267" t="s">
        <v>3304</v>
      </c>
      <c r="AF278" s="3267" t="s">
        <v>2966</v>
      </c>
      <c r="AG278" s="3267" t="s">
        <v>2967</v>
      </c>
      <c r="AH278" s="3267"/>
      <c r="AI278" s="3267" t="s">
        <v>3115</v>
      </c>
      <c r="AJ278" s="3267"/>
      <c r="AK278" s="3278" t="s">
        <v>2994</v>
      </c>
      <c r="AL278" s="3267">
        <v>82253558</v>
      </c>
      <c r="AM278" s="3267"/>
      <c r="AN278" s="3279" t="s">
        <v>2994</v>
      </c>
      <c r="AO278" s="3267"/>
      <c r="AP278" s="3267" t="s">
        <v>3180</v>
      </c>
      <c r="AQ278" s="3267" t="s">
        <v>3228</v>
      </c>
      <c r="AR278" s="3267"/>
      <c r="AS278" s="3267"/>
      <c r="AT278" s="3267"/>
      <c r="AU278" s="3267"/>
      <c r="AV278" s="3267"/>
      <c r="AW278" s="3267" t="s">
        <v>3119</v>
      </c>
      <c r="AX278" s="3267"/>
      <c r="AY278" s="3267"/>
      <c r="AZ278" s="3267" t="s">
        <v>5085</v>
      </c>
      <c r="BA278" s="3267"/>
      <c r="BB278" s="3267"/>
      <c r="BC278" s="3267"/>
      <c r="BD278" s="3267"/>
      <c r="BE278" s="3267">
        <v>13683074850</v>
      </c>
      <c r="BF278" s="3267"/>
      <c r="BG278" s="3307">
        <v>38797</v>
      </c>
      <c r="BH278" s="3267" t="s">
        <v>3054</v>
      </c>
      <c r="BI278" s="3267" t="s">
        <v>3537</v>
      </c>
      <c r="BJ278" s="3307">
        <v>38806</v>
      </c>
      <c r="BK278" s="3267"/>
      <c r="BL278" s="3267" t="s">
        <v>2998</v>
      </c>
      <c r="BM278" s="3267" t="s">
        <v>2879</v>
      </c>
      <c r="BN278" s="3267" t="s">
        <v>3111</v>
      </c>
      <c r="BO278" s="3267" t="s">
        <v>3616</v>
      </c>
      <c r="BP278" s="3267"/>
      <c r="BQ278" s="3276" t="e">
        <v>#DIV/0!</v>
      </c>
      <c r="BR278" s="3276" t="e">
        <v>#DIV/0!</v>
      </c>
      <c r="BS278" s="3285"/>
      <c r="BT278" s="3285"/>
      <c r="BU278" s="3285"/>
      <c r="BV278" s="3347"/>
      <c r="BW278" s="3347"/>
      <c r="BX278" s="3347"/>
      <c r="BY278" s="3347"/>
      <c r="BZ278" s="3347"/>
      <c r="CA278" s="3347"/>
      <c r="CB278" s="3347"/>
      <c r="CC278" s="3347"/>
      <c r="CD278" s="3347"/>
      <c r="CE278" s="3347"/>
      <c r="CF278" s="3347"/>
      <c r="CG278" s="3347"/>
      <c r="CH278" s="3347"/>
      <c r="CI278" s="3347"/>
      <c r="CJ278" s="3347"/>
      <c r="CK278" s="3347"/>
      <c r="CL278" s="3347"/>
      <c r="CM278" s="3347"/>
      <c r="CN278" s="3347"/>
      <c r="CO278" s="3347"/>
      <c r="CP278" s="3347"/>
      <c r="CQ278" s="3347"/>
      <c r="CR278" s="3347"/>
      <c r="CS278" s="3347"/>
      <c r="CT278" s="3347"/>
      <c r="CU278" s="3347"/>
      <c r="CV278" s="3347"/>
      <c r="CW278" s="3347"/>
      <c r="CX278" s="3347"/>
      <c r="CY278" s="3347"/>
      <c r="CZ278" s="3347"/>
      <c r="DA278" s="3347"/>
      <c r="DB278" s="3347"/>
      <c r="DC278" s="3347"/>
      <c r="DD278" s="3347"/>
      <c r="DE278" s="3347"/>
      <c r="DF278" s="3347"/>
      <c r="DG278" s="3347"/>
      <c r="DH278" s="3347"/>
      <c r="DI278" s="3347"/>
      <c r="DJ278" s="3347"/>
      <c r="DK278" s="3347"/>
      <c r="DL278" s="3347"/>
      <c r="DM278" s="3347"/>
      <c r="DN278" s="3347"/>
      <c r="DO278" s="3347"/>
      <c r="DP278" s="3347"/>
      <c r="DQ278" s="3347"/>
      <c r="DR278" s="3347"/>
      <c r="DS278" s="3347"/>
      <c r="DT278" s="3347"/>
      <c r="DU278" s="3347"/>
      <c r="DV278" s="3347"/>
      <c r="DW278" s="3347"/>
      <c r="DX278" s="3347"/>
      <c r="DY278" s="3347"/>
      <c r="DZ278" s="3347"/>
      <c r="EA278" s="3347"/>
      <c r="EB278" s="3347"/>
      <c r="EC278" s="3347"/>
      <c r="ED278" s="3347"/>
      <c r="EE278" s="3347"/>
      <c r="EF278" s="3347"/>
      <c r="EG278" s="3347"/>
      <c r="EH278" s="3347"/>
      <c r="EI278" s="3347"/>
      <c r="EJ278" s="3347"/>
      <c r="EK278" s="3347"/>
      <c r="EL278" s="3347"/>
      <c r="EM278" s="3347"/>
      <c r="EN278" s="3347"/>
      <c r="EO278" s="3347"/>
      <c r="EP278" s="3347"/>
      <c r="EQ278" s="3347"/>
      <c r="ER278" s="3347"/>
      <c r="ES278" s="3347"/>
      <c r="ET278" s="3347"/>
      <c r="EU278" s="3347"/>
      <c r="EV278" s="3347"/>
      <c r="EW278" s="3347"/>
      <c r="EX278" s="3347"/>
      <c r="EY278" s="3347"/>
      <c r="EZ278" s="3347"/>
      <c r="FA278" s="3347"/>
      <c r="FB278" s="3347"/>
      <c r="FC278" s="3347"/>
      <c r="FD278" s="3347"/>
      <c r="FE278" s="3347"/>
      <c r="FF278" s="3347"/>
      <c r="FG278" s="3347"/>
      <c r="FH278" s="3347"/>
      <c r="FI278" s="3347"/>
      <c r="FJ278" s="3347"/>
      <c r="FK278" s="3347"/>
      <c r="FL278" s="3347"/>
      <c r="FM278" s="3347"/>
      <c r="FN278" s="3347"/>
      <c r="FO278" s="3347"/>
      <c r="FP278" s="3347"/>
      <c r="FQ278" s="3347"/>
      <c r="FR278" s="3347"/>
      <c r="FS278" s="3347"/>
      <c r="FT278" s="3347"/>
      <c r="FU278" s="3347"/>
      <c r="FV278" s="3347"/>
      <c r="FW278" s="3347"/>
      <c r="FX278" s="3347"/>
      <c r="FY278" s="3347"/>
      <c r="FZ278" s="3347"/>
      <c r="GA278" s="3347"/>
      <c r="GB278" s="3347"/>
      <c r="GC278" s="3347"/>
      <c r="GD278" s="3347"/>
      <c r="GE278" s="3347"/>
      <c r="GF278" s="3347"/>
      <c r="GG278" s="3347"/>
      <c r="GH278" s="3347"/>
      <c r="GI278" s="3347"/>
      <c r="GJ278" s="3347"/>
      <c r="GK278" s="3347"/>
      <c r="GL278" s="3347"/>
      <c r="GM278" s="3347"/>
      <c r="GN278" s="3347"/>
      <c r="GO278" s="3347"/>
      <c r="GP278" s="3347"/>
      <c r="GQ278" s="3347"/>
      <c r="GR278" s="3347"/>
      <c r="GS278" s="3347"/>
      <c r="GT278" s="3347"/>
      <c r="GU278" s="3347"/>
      <c r="GV278" s="3347"/>
      <c r="GW278" s="3347"/>
      <c r="GX278" s="3347"/>
      <c r="GY278" s="3347"/>
      <c r="GZ278" s="3347"/>
      <c r="HA278" s="3347"/>
      <c r="HB278" s="3347"/>
      <c r="HC278" s="3347"/>
      <c r="HD278" s="3347"/>
      <c r="HE278" s="3347"/>
      <c r="HF278" s="3347"/>
      <c r="HG278" s="3347"/>
      <c r="HH278" s="3347"/>
      <c r="HI278" s="3347"/>
      <c r="HJ278" s="3347"/>
      <c r="HK278" s="3347"/>
      <c r="HL278" s="3347"/>
      <c r="HM278" s="3347"/>
      <c r="HN278" s="3347"/>
      <c r="HO278" s="3347"/>
      <c r="HP278" s="3347"/>
      <c r="HQ278" s="3347"/>
      <c r="HR278" s="3347"/>
      <c r="HS278" s="3347"/>
      <c r="HT278" s="3347"/>
      <c r="HU278" s="3347"/>
      <c r="HV278" s="3347"/>
      <c r="HW278" s="3347"/>
      <c r="HX278" s="3347"/>
      <c r="HY278" s="3347"/>
      <c r="HZ278" s="3347"/>
      <c r="IA278" s="3347"/>
      <c r="IB278" s="3347"/>
      <c r="IC278" s="3347"/>
      <c r="ID278" s="3347"/>
      <c r="IE278" s="3347"/>
      <c r="IF278" s="3347"/>
      <c r="IG278" s="3347"/>
      <c r="IH278" s="3347"/>
      <c r="II278" s="3347"/>
    </row>
    <row r="279" spans="1:243" hidden="1">
      <c r="A279" s="3267" t="s">
        <v>5086</v>
      </c>
      <c r="B279" s="3267" t="s">
        <v>5087</v>
      </c>
      <c r="C279" s="3269" t="s">
        <v>5088</v>
      </c>
      <c r="D279" s="3269" t="s">
        <v>5089</v>
      </c>
      <c r="E279" s="3267" t="s">
        <v>2985</v>
      </c>
      <c r="F279" s="3244" t="s">
        <v>3741</v>
      </c>
      <c r="G279" s="3267"/>
      <c r="H279" s="3267" t="s">
        <v>3194</v>
      </c>
      <c r="I279" s="3267" t="s">
        <v>3254</v>
      </c>
      <c r="J279" s="3267" t="s">
        <v>4144</v>
      </c>
      <c r="K279" s="3267" t="s">
        <v>5087</v>
      </c>
      <c r="L279" s="3267">
        <v>68.77</v>
      </c>
      <c r="M279" s="3267">
        <v>7</v>
      </c>
      <c r="N279" s="3267" t="s">
        <v>3125</v>
      </c>
      <c r="O279" s="3267"/>
      <c r="P279" s="3267" t="s">
        <v>2963</v>
      </c>
      <c r="Q279" s="3271">
        <v>400000</v>
      </c>
      <c r="R279" s="3288">
        <v>5816</v>
      </c>
      <c r="S279" s="3272">
        <v>45.29</v>
      </c>
      <c r="T279" s="3273">
        <v>452900</v>
      </c>
      <c r="U279" s="3267">
        <v>6587</v>
      </c>
      <c r="V279" s="3289">
        <v>0.05</v>
      </c>
      <c r="W279" s="3272">
        <v>43.02</v>
      </c>
      <c r="X279" s="3273">
        <v>430200.00000000006</v>
      </c>
      <c r="Y279" s="3276">
        <v>2006</v>
      </c>
      <c r="Z279" s="3276">
        <v>4</v>
      </c>
      <c r="AA279" s="3276">
        <v>5</v>
      </c>
      <c r="AB279" s="3276">
        <v>1355</v>
      </c>
      <c r="AC279" s="3267" t="s">
        <v>3227</v>
      </c>
      <c r="AD279" s="3267"/>
      <c r="AE279" s="3276" t="s">
        <v>3238</v>
      </c>
      <c r="AF279" s="3267" t="s">
        <v>2966</v>
      </c>
      <c r="AG279" s="3279" t="s">
        <v>2967</v>
      </c>
      <c r="AH279" s="3267"/>
      <c r="AI279" s="3267" t="s">
        <v>2992</v>
      </c>
      <c r="AJ279" s="3284"/>
      <c r="AK279" s="3316" t="s">
        <v>2994</v>
      </c>
      <c r="AL279" s="3276">
        <v>67641700</v>
      </c>
      <c r="AM279" s="3276"/>
      <c r="AN279" s="3276" t="s">
        <v>3131</v>
      </c>
      <c r="AO279" s="3276"/>
      <c r="AP279" s="3276" t="s">
        <v>3305</v>
      </c>
      <c r="AQ279" s="3276" t="s">
        <v>3113</v>
      </c>
      <c r="AR279" s="3276"/>
      <c r="AS279" s="3276"/>
      <c r="AT279" s="3276"/>
      <c r="AU279" s="3276" t="s">
        <v>2968</v>
      </c>
      <c r="AV279" s="3276" t="s">
        <v>2968</v>
      </c>
      <c r="AW279" s="3276" t="s">
        <v>3112</v>
      </c>
      <c r="AX279" s="3276"/>
      <c r="AY279" s="3291"/>
      <c r="AZ279" s="3276" t="s">
        <v>5090</v>
      </c>
      <c r="BA279" s="3276"/>
      <c r="BB279" s="3291"/>
      <c r="BC279" s="3276"/>
      <c r="BD279" s="3292"/>
      <c r="BE279" s="3276"/>
      <c r="BF279" s="3281"/>
      <c r="BG279" s="3299">
        <v>38740</v>
      </c>
      <c r="BH279" s="3276"/>
      <c r="BI279" s="3267" t="s">
        <v>3238</v>
      </c>
      <c r="BJ279" s="3283">
        <v>38807</v>
      </c>
      <c r="BK279" s="3283"/>
      <c r="BL279" s="3267" t="s">
        <v>3249</v>
      </c>
      <c r="BM279" s="3276" t="s">
        <v>2879</v>
      </c>
      <c r="BN279" s="3276" t="s">
        <v>2999</v>
      </c>
      <c r="BO279" s="3276" t="s">
        <v>3146</v>
      </c>
      <c r="BP279" s="3276" t="s">
        <v>2968</v>
      </c>
      <c r="BQ279" s="3276" t="e">
        <v>#DIV/0!</v>
      </c>
      <c r="BR279" s="3276" t="e">
        <v>#DIV/0!</v>
      </c>
      <c r="BS279" s="3285"/>
      <c r="BT279" s="3285"/>
      <c r="BU279" s="3285"/>
      <c r="BV279" s="3347"/>
      <c r="BW279" s="3347"/>
      <c r="BX279" s="3347"/>
      <c r="BY279" s="3347"/>
      <c r="BZ279" s="3347"/>
      <c r="CA279" s="3347"/>
      <c r="CB279" s="3347"/>
      <c r="CC279" s="3347"/>
      <c r="CD279" s="3347"/>
      <c r="CE279" s="3347"/>
      <c r="CF279" s="3347"/>
      <c r="CG279" s="3347"/>
      <c r="CH279" s="3347"/>
      <c r="CI279" s="3347"/>
      <c r="CJ279" s="3347"/>
      <c r="CK279" s="3347"/>
      <c r="CL279" s="3347"/>
      <c r="CM279" s="3347"/>
      <c r="CN279" s="3347"/>
      <c r="CO279" s="3347"/>
      <c r="CP279" s="3347"/>
      <c r="CQ279" s="3347"/>
      <c r="CR279" s="3347"/>
      <c r="CS279" s="3347"/>
      <c r="CT279" s="3347"/>
      <c r="CU279" s="3347"/>
      <c r="CV279" s="3347"/>
      <c r="CW279" s="3347"/>
      <c r="CX279" s="3347"/>
      <c r="CY279" s="3347"/>
      <c r="CZ279" s="3347"/>
      <c r="DA279" s="3347"/>
      <c r="DB279" s="3347"/>
      <c r="DC279" s="3347"/>
      <c r="DD279" s="3347"/>
      <c r="DE279" s="3347"/>
      <c r="DF279" s="3347"/>
      <c r="DG279" s="3347"/>
      <c r="DH279" s="3347"/>
      <c r="DI279" s="3347"/>
      <c r="DJ279" s="3347"/>
      <c r="DK279" s="3347"/>
      <c r="DL279" s="3347"/>
      <c r="DM279" s="3347"/>
      <c r="DN279" s="3347"/>
      <c r="DO279" s="3347"/>
      <c r="DP279" s="3347"/>
      <c r="DQ279" s="3347"/>
      <c r="DR279" s="3347"/>
      <c r="DS279" s="3347"/>
      <c r="DT279" s="3347"/>
      <c r="DU279" s="3347"/>
      <c r="DV279" s="3347"/>
      <c r="DW279" s="3347"/>
      <c r="DX279" s="3347"/>
      <c r="DY279" s="3347"/>
      <c r="DZ279" s="3347"/>
      <c r="EA279" s="3347"/>
      <c r="EB279" s="3347"/>
      <c r="EC279" s="3347"/>
      <c r="ED279" s="3347"/>
      <c r="EE279" s="3347"/>
      <c r="EF279" s="3347"/>
      <c r="EG279" s="3347"/>
      <c r="EH279" s="3347"/>
      <c r="EI279" s="3347"/>
      <c r="EJ279" s="3347"/>
      <c r="EK279" s="3347"/>
      <c r="EL279" s="3347"/>
      <c r="EM279" s="3347"/>
      <c r="EN279" s="3347"/>
      <c r="EO279" s="3347"/>
      <c r="EP279" s="3347"/>
      <c r="EQ279" s="3347"/>
      <c r="ER279" s="3347"/>
      <c r="ES279" s="3347"/>
      <c r="ET279" s="3347"/>
      <c r="EU279" s="3347"/>
      <c r="EV279" s="3347"/>
      <c r="EW279" s="3347"/>
      <c r="EX279" s="3347"/>
      <c r="EY279" s="3347"/>
      <c r="EZ279" s="3347"/>
      <c r="FA279" s="3347"/>
      <c r="FB279" s="3347"/>
      <c r="FC279" s="3347"/>
      <c r="FD279" s="3347"/>
      <c r="FE279" s="3347"/>
      <c r="FF279" s="3347"/>
      <c r="FG279" s="3347"/>
      <c r="FH279" s="3347"/>
      <c r="FI279" s="3347"/>
      <c r="FJ279" s="3347"/>
      <c r="FK279" s="3347"/>
      <c r="FL279" s="3347"/>
      <c r="FM279" s="3347"/>
      <c r="FN279" s="3347"/>
      <c r="FO279" s="3347"/>
      <c r="FP279" s="3347"/>
      <c r="FQ279" s="3347"/>
      <c r="FR279" s="3347"/>
      <c r="FS279" s="3347"/>
      <c r="FT279" s="3347"/>
      <c r="FU279" s="3347"/>
      <c r="FV279" s="3347"/>
      <c r="FW279" s="3347"/>
      <c r="FX279" s="3347"/>
      <c r="FY279" s="3347"/>
      <c r="FZ279" s="3347"/>
      <c r="GA279" s="3347"/>
      <c r="GB279" s="3347"/>
      <c r="GC279" s="3347"/>
      <c r="GD279" s="3347"/>
      <c r="GE279" s="3347"/>
      <c r="GF279" s="3347"/>
      <c r="GG279" s="3347"/>
      <c r="GH279" s="3347"/>
      <c r="GI279" s="3347"/>
      <c r="GJ279" s="3347"/>
      <c r="GK279" s="3347"/>
      <c r="GL279" s="3347"/>
      <c r="GM279" s="3347"/>
      <c r="GN279" s="3347"/>
      <c r="GO279" s="3347"/>
      <c r="GP279" s="3347"/>
      <c r="GQ279" s="3347"/>
      <c r="GR279" s="3347"/>
      <c r="GS279" s="3347"/>
      <c r="GT279" s="3347"/>
      <c r="GU279" s="3347"/>
      <c r="GV279" s="3347"/>
      <c r="GW279" s="3347"/>
      <c r="GX279" s="3347"/>
      <c r="GY279" s="3347"/>
      <c r="GZ279" s="3347"/>
      <c r="HA279" s="3347"/>
      <c r="HB279" s="3347"/>
      <c r="HC279" s="3347"/>
      <c r="HD279" s="3347"/>
      <c r="HE279" s="3347"/>
      <c r="HF279" s="3347"/>
      <c r="HG279" s="3347"/>
      <c r="HH279" s="3347"/>
      <c r="HI279" s="3347"/>
      <c r="HJ279" s="3347"/>
      <c r="HK279" s="3347"/>
      <c r="HL279" s="3347"/>
      <c r="HM279" s="3347"/>
      <c r="HN279" s="3347"/>
      <c r="HO279" s="3347"/>
      <c r="HP279" s="3347"/>
      <c r="HQ279" s="3347"/>
      <c r="HR279" s="3347"/>
      <c r="HS279" s="3347"/>
      <c r="HT279" s="3347"/>
      <c r="HU279" s="3347"/>
      <c r="HV279" s="3347"/>
      <c r="HW279" s="3347"/>
      <c r="HX279" s="3347"/>
      <c r="HY279" s="3347"/>
      <c r="HZ279" s="3347"/>
      <c r="IA279" s="3347"/>
      <c r="IB279" s="3347"/>
      <c r="IC279" s="3347"/>
      <c r="ID279" s="3347"/>
      <c r="IE279" s="3347"/>
      <c r="IF279" s="3347"/>
      <c r="IG279" s="3347"/>
      <c r="IH279" s="3347"/>
      <c r="II279" s="3347"/>
    </row>
    <row r="280" spans="1:243" hidden="1">
      <c r="A280" s="3267" t="s">
        <v>5091</v>
      </c>
      <c r="B280" s="3267" t="s">
        <v>5092</v>
      </c>
      <c r="C280" s="3269" t="s">
        <v>5093</v>
      </c>
      <c r="D280" s="3267">
        <v>13341062020</v>
      </c>
      <c r="E280" s="3267" t="s">
        <v>2985</v>
      </c>
      <c r="F280" s="3267" t="s">
        <v>3613</v>
      </c>
      <c r="G280" s="3267"/>
      <c r="H280" s="3267" t="s">
        <v>3169</v>
      </c>
      <c r="I280" s="3267"/>
      <c r="J280" s="3267">
        <v>1006</v>
      </c>
      <c r="K280" s="3267" t="s">
        <v>5094</v>
      </c>
      <c r="L280" s="3267">
        <v>84.9</v>
      </c>
      <c r="M280" s="3267">
        <v>10</v>
      </c>
      <c r="N280" s="3267" t="s">
        <v>3122</v>
      </c>
      <c r="O280" s="3267"/>
      <c r="P280" s="3267" t="s">
        <v>2963</v>
      </c>
      <c r="Q280" s="3267">
        <v>684000</v>
      </c>
      <c r="R280" s="3288">
        <v>8057</v>
      </c>
      <c r="S280" s="3272">
        <v>53.53</v>
      </c>
      <c r="T280" s="3273">
        <v>535300</v>
      </c>
      <c r="U280" s="3267">
        <v>6306</v>
      </c>
      <c r="V280" s="3289">
        <v>0.05</v>
      </c>
      <c r="W280" s="3272">
        <v>50.85</v>
      </c>
      <c r="X280" s="3273">
        <v>508500</v>
      </c>
      <c r="Y280" s="3267">
        <v>2006</v>
      </c>
      <c r="Z280" s="3276">
        <v>4</v>
      </c>
      <c r="AA280" s="3276">
        <v>28</v>
      </c>
      <c r="AB280" s="3267">
        <v>1500</v>
      </c>
      <c r="AC280" s="3267" t="s">
        <v>3227</v>
      </c>
      <c r="AD280" s="3267"/>
      <c r="AE280" s="3267" t="s">
        <v>3304</v>
      </c>
      <c r="AF280" s="3267" t="s">
        <v>2966</v>
      </c>
      <c r="AG280" s="3267" t="s">
        <v>2967</v>
      </c>
      <c r="AH280" s="3267"/>
      <c r="AI280" s="3267" t="s">
        <v>3115</v>
      </c>
      <c r="AJ280" s="3267"/>
      <c r="AK280" s="3278" t="s">
        <v>2994</v>
      </c>
      <c r="AL280" s="3276">
        <v>67641700</v>
      </c>
      <c r="AM280" s="3267"/>
      <c r="AN280" s="3279" t="s">
        <v>2994</v>
      </c>
      <c r="AO280" s="3267"/>
      <c r="AP280" s="3267" t="s">
        <v>3342</v>
      </c>
      <c r="AQ280" s="3267" t="s">
        <v>3228</v>
      </c>
      <c r="AR280" s="3267"/>
      <c r="AS280" s="3267"/>
      <c r="AT280" s="3267"/>
      <c r="AU280" s="3267"/>
      <c r="AV280" s="3267"/>
      <c r="AW280" s="3267" t="s">
        <v>2997</v>
      </c>
      <c r="AX280" s="3267"/>
      <c r="AY280" s="3267"/>
      <c r="AZ280" s="3267" t="s">
        <v>5094</v>
      </c>
      <c r="BA280" s="3267"/>
      <c r="BB280" s="3267"/>
      <c r="BC280" s="3267"/>
      <c r="BD280" s="3267"/>
      <c r="BE280" s="3267">
        <v>13601271440</v>
      </c>
      <c r="BF280" s="3267"/>
      <c r="BG280" s="3307">
        <v>38794</v>
      </c>
      <c r="BH280" s="3267" t="s">
        <v>3054</v>
      </c>
      <c r="BI280" s="3267" t="s">
        <v>3537</v>
      </c>
      <c r="BJ280" s="3307">
        <v>38807</v>
      </c>
      <c r="BK280" s="3267"/>
      <c r="BL280" s="3267" t="s">
        <v>2998</v>
      </c>
      <c r="BM280" s="3267" t="s">
        <v>2879</v>
      </c>
      <c r="BN280" s="3267" t="s">
        <v>3111</v>
      </c>
      <c r="BO280" s="3267" t="s">
        <v>3616</v>
      </c>
      <c r="BP280" s="3267"/>
      <c r="BQ280" s="3276" t="e">
        <v>#DIV/0!</v>
      </c>
      <c r="BR280" s="3276" t="e">
        <v>#DIV/0!</v>
      </c>
      <c r="BS280" s="3285"/>
      <c r="BT280" s="3285"/>
      <c r="BU280" s="3285"/>
      <c r="BV280" s="3262"/>
      <c r="BW280" s="3262"/>
      <c r="BX280" s="3262"/>
      <c r="BY280" s="3262"/>
      <c r="BZ280" s="3262"/>
      <c r="CA280" s="3262"/>
      <c r="CB280" s="3262"/>
      <c r="CC280" s="3262"/>
      <c r="CD280" s="3262"/>
      <c r="CE280" s="3262"/>
      <c r="CF280" s="3262"/>
      <c r="CG280" s="3262"/>
      <c r="CH280" s="3262"/>
      <c r="CI280" s="3262"/>
      <c r="CJ280" s="3262"/>
      <c r="CK280" s="3262"/>
      <c r="CL280" s="3262"/>
      <c r="CM280" s="3262"/>
      <c r="CN280" s="3262"/>
      <c r="CO280" s="3262"/>
      <c r="CP280" s="3262"/>
      <c r="CQ280" s="3262"/>
      <c r="CR280" s="3262"/>
      <c r="CS280" s="3262"/>
      <c r="CT280" s="3262"/>
      <c r="CU280" s="3262"/>
      <c r="CV280" s="3262"/>
      <c r="CW280" s="3262"/>
      <c r="CX280" s="3262"/>
      <c r="CY280" s="3262"/>
      <c r="CZ280" s="3262"/>
      <c r="DA280" s="3262"/>
      <c r="DB280" s="3262"/>
      <c r="DC280" s="3262"/>
      <c r="DD280" s="3262"/>
      <c r="DE280" s="3262"/>
      <c r="DF280" s="3262"/>
      <c r="DG280" s="3262"/>
      <c r="DH280" s="3262"/>
      <c r="DI280" s="3262"/>
      <c r="DJ280" s="3262"/>
      <c r="DK280" s="3262"/>
      <c r="DL280" s="3262"/>
      <c r="DM280" s="3262"/>
      <c r="DN280" s="3262"/>
      <c r="DO280" s="3262"/>
      <c r="DP280" s="3262"/>
      <c r="DQ280" s="3262"/>
      <c r="DR280" s="3262"/>
      <c r="DS280" s="3262"/>
      <c r="DT280" s="3262"/>
      <c r="DU280" s="3262"/>
      <c r="DV280" s="3262"/>
      <c r="DW280" s="3262"/>
      <c r="DX280" s="3262"/>
      <c r="DY280" s="3262"/>
      <c r="DZ280" s="3262"/>
      <c r="EA280" s="3262"/>
      <c r="EB280" s="3262"/>
      <c r="EC280" s="3262"/>
      <c r="ED280" s="3262"/>
      <c r="EE280" s="3262"/>
      <c r="EF280" s="3262"/>
      <c r="EG280" s="3262"/>
      <c r="EH280" s="3262"/>
      <c r="EI280" s="3262"/>
      <c r="EJ280" s="3262"/>
      <c r="EK280" s="3262"/>
      <c r="EL280" s="3262"/>
      <c r="EM280" s="3262"/>
      <c r="EN280" s="3262"/>
      <c r="EO280" s="3262"/>
      <c r="EP280" s="3262"/>
      <c r="EQ280" s="3262"/>
      <c r="ER280" s="3262"/>
      <c r="ES280" s="3262"/>
      <c r="ET280" s="3262"/>
      <c r="EU280" s="3262"/>
      <c r="EV280" s="3262"/>
      <c r="EW280" s="3262"/>
      <c r="EX280" s="3262"/>
      <c r="EY280" s="3262"/>
      <c r="EZ280" s="3262"/>
      <c r="FA280" s="3262"/>
      <c r="FB280" s="3262"/>
      <c r="FC280" s="3262"/>
      <c r="FD280" s="3262"/>
      <c r="FE280" s="3262"/>
      <c r="FF280" s="3262"/>
      <c r="FG280" s="3262"/>
      <c r="FH280" s="3262"/>
      <c r="FI280" s="3262"/>
      <c r="FJ280" s="3262"/>
      <c r="FK280" s="3262"/>
      <c r="FL280" s="3262"/>
      <c r="FM280" s="3262"/>
      <c r="FN280" s="3262"/>
      <c r="FO280" s="3262"/>
      <c r="FP280" s="3262"/>
      <c r="FQ280" s="3262"/>
      <c r="FR280" s="3262"/>
      <c r="FS280" s="3262"/>
      <c r="FT280" s="3262"/>
      <c r="FU280" s="3262"/>
      <c r="FV280" s="3262"/>
      <c r="FW280" s="3262"/>
      <c r="FX280" s="3262"/>
      <c r="FY280" s="3262"/>
      <c r="FZ280" s="3262"/>
      <c r="GA280" s="3262"/>
      <c r="GB280" s="3262"/>
      <c r="GC280" s="3262"/>
      <c r="GD280" s="3262"/>
      <c r="GE280" s="3262"/>
      <c r="GF280" s="3262"/>
      <c r="GG280" s="3262"/>
      <c r="GH280" s="3262"/>
      <c r="GI280" s="3262"/>
      <c r="GJ280" s="3262"/>
      <c r="GK280" s="3262"/>
      <c r="GL280" s="3262"/>
      <c r="GM280" s="3262"/>
      <c r="GN280" s="3262"/>
      <c r="GO280" s="3262"/>
      <c r="GP280" s="3262"/>
      <c r="GQ280" s="3262"/>
      <c r="GR280" s="3262"/>
      <c r="GS280" s="3262"/>
      <c r="GT280" s="3262"/>
      <c r="GU280" s="3262"/>
      <c r="GV280" s="3262"/>
      <c r="GW280" s="3262"/>
      <c r="GX280" s="3262"/>
      <c r="GY280" s="3262"/>
      <c r="GZ280" s="3262"/>
      <c r="HA280" s="3262"/>
      <c r="HB280" s="3262"/>
      <c r="HC280" s="3262"/>
      <c r="HD280" s="3262"/>
      <c r="HE280" s="3262"/>
      <c r="HF280" s="3262"/>
      <c r="HG280" s="3262"/>
      <c r="HH280" s="3262"/>
      <c r="HI280" s="3262"/>
      <c r="HJ280" s="3262"/>
      <c r="HK280" s="3262"/>
      <c r="HL280" s="3262"/>
      <c r="HM280" s="3262"/>
      <c r="HN280" s="3262"/>
      <c r="HO280" s="3262"/>
      <c r="HP280" s="3262"/>
      <c r="HQ280" s="3262"/>
      <c r="HR280" s="3262"/>
      <c r="HS280" s="3262"/>
      <c r="HT280" s="3262"/>
      <c r="HU280" s="3262"/>
      <c r="HV280" s="3262"/>
      <c r="HW280" s="3262"/>
      <c r="HX280" s="3262"/>
      <c r="HY280" s="3262"/>
      <c r="HZ280" s="3262"/>
      <c r="IA280" s="3262"/>
      <c r="IB280" s="3262"/>
      <c r="IC280" s="3262"/>
      <c r="ID280" s="3262"/>
      <c r="IE280" s="3262"/>
      <c r="IF280" s="3262"/>
      <c r="IG280" s="3262"/>
      <c r="IH280" s="3262"/>
      <c r="II280" s="3262"/>
    </row>
    <row r="281" spans="1:243" hidden="1">
      <c r="A281" s="3267" t="s">
        <v>5095</v>
      </c>
      <c r="B281" s="3267" t="s">
        <v>5096</v>
      </c>
      <c r="C281" s="3269" t="s">
        <v>5097</v>
      </c>
      <c r="D281" s="3269" t="s">
        <v>5098</v>
      </c>
      <c r="E281" s="3267" t="s">
        <v>2985</v>
      </c>
      <c r="F281" s="3244" t="s">
        <v>5099</v>
      </c>
      <c r="G281" s="3267"/>
      <c r="H281" s="3267" t="s">
        <v>3124</v>
      </c>
      <c r="I281" s="3267"/>
      <c r="J281" s="3267" t="s">
        <v>5100</v>
      </c>
      <c r="K281" s="3267" t="s">
        <v>5096</v>
      </c>
      <c r="L281" s="3267">
        <v>58.79</v>
      </c>
      <c r="M281" s="3267">
        <v>18</v>
      </c>
      <c r="N281" s="3267" t="s">
        <v>3535</v>
      </c>
      <c r="O281" s="3267"/>
      <c r="P281" s="3267" t="s">
        <v>2963</v>
      </c>
      <c r="Q281" s="3271">
        <v>375000</v>
      </c>
      <c r="R281" s="3288">
        <v>6379</v>
      </c>
      <c r="S281" s="3272">
        <v>48.71</v>
      </c>
      <c r="T281" s="3273">
        <v>487100</v>
      </c>
      <c r="U281" s="3267">
        <v>8287</v>
      </c>
      <c r="V281" s="3289">
        <v>0.05</v>
      </c>
      <c r="W281" s="3272">
        <v>46.27</v>
      </c>
      <c r="X281" s="3273">
        <v>462700.00000000006</v>
      </c>
      <c r="Y281" s="3276">
        <v>2006</v>
      </c>
      <c r="Z281" s="3276">
        <v>4</v>
      </c>
      <c r="AA281" s="3276">
        <v>4</v>
      </c>
      <c r="AB281" s="3276">
        <v>1460</v>
      </c>
      <c r="AC281" s="3267" t="s">
        <v>3227</v>
      </c>
      <c r="AD281" s="3267"/>
      <c r="AE281" s="3276" t="s">
        <v>3238</v>
      </c>
      <c r="AF281" s="3267" t="s">
        <v>2966</v>
      </c>
      <c r="AG281" s="3279" t="s">
        <v>2967</v>
      </c>
      <c r="AH281" s="3267"/>
      <c r="AI281" s="3267" t="s">
        <v>2992</v>
      </c>
      <c r="AJ281" s="3284"/>
      <c r="AK281" s="3316" t="s">
        <v>2994</v>
      </c>
      <c r="AL281" s="3276">
        <v>67641700</v>
      </c>
      <c r="AM281" s="3276"/>
      <c r="AN281" s="3276" t="s">
        <v>3131</v>
      </c>
      <c r="AO281" s="3276"/>
      <c r="AP281" s="3276" t="s">
        <v>3305</v>
      </c>
      <c r="AQ281" s="3276" t="s">
        <v>3113</v>
      </c>
      <c r="AR281" s="3276"/>
      <c r="AS281" s="3276"/>
      <c r="AT281" s="3276"/>
      <c r="AU281" s="3276" t="s">
        <v>2968</v>
      </c>
      <c r="AV281" s="3276" t="s">
        <v>2968</v>
      </c>
      <c r="AW281" s="3276" t="s">
        <v>3112</v>
      </c>
      <c r="AX281" s="3276"/>
      <c r="AY281" s="3291"/>
      <c r="AZ281" s="3276" t="s">
        <v>5101</v>
      </c>
      <c r="BA281" s="3276"/>
      <c r="BB281" s="3291"/>
      <c r="BC281" s="3276"/>
      <c r="BD281" s="3292"/>
      <c r="BE281" s="3276"/>
      <c r="BF281" s="3281"/>
      <c r="BG281" s="3299">
        <v>38773</v>
      </c>
      <c r="BH281" s="3276"/>
      <c r="BI281" s="3267" t="s">
        <v>3238</v>
      </c>
      <c r="BJ281" s="3283">
        <v>38807</v>
      </c>
      <c r="BK281" s="3283"/>
      <c r="BL281" s="3267" t="s">
        <v>3249</v>
      </c>
      <c r="BM281" s="3276" t="s">
        <v>5102</v>
      </c>
      <c r="BN281" s="3276" t="s">
        <v>3111</v>
      </c>
      <c r="BO281" s="3276" t="s">
        <v>3146</v>
      </c>
      <c r="BP281" s="3276" t="s">
        <v>2968</v>
      </c>
      <c r="BQ281" s="3276" t="e">
        <v>#DIV/0!</v>
      </c>
      <c r="BR281" s="3276" t="e">
        <v>#DIV/0!</v>
      </c>
      <c r="BS281" s="3285"/>
      <c r="BT281" s="3285"/>
      <c r="BU281" s="3285"/>
      <c r="BV281" s="3347"/>
      <c r="BW281" s="3347"/>
      <c r="BX281" s="3347"/>
      <c r="BY281" s="3347"/>
      <c r="BZ281" s="3347"/>
      <c r="CA281" s="3347"/>
      <c r="CB281" s="3347"/>
      <c r="CC281" s="3347"/>
      <c r="CD281" s="3347"/>
      <c r="CE281" s="3347"/>
      <c r="CF281" s="3347"/>
      <c r="CG281" s="3347"/>
      <c r="CH281" s="3347"/>
      <c r="CI281" s="3347"/>
      <c r="CJ281" s="3347"/>
      <c r="CK281" s="3347"/>
      <c r="CL281" s="3347"/>
      <c r="CM281" s="3347"/>
      <c r="CN281" s="3347"/>
      <c r="CO281" s="3347"/>
      <c r="CP281" s="3347"/>
      <c r="CQ281" s="3347"/>
      <c r="CR281" s="3347"/>
      <c r="CS281" s="3347"/>
      <c r="CT281" s="3347"/>
      <c r="CU281" s="3347"/>
      <c r="CV281" s="3347"/>
      <c r="CW281" s="3347"/>
      <c r="CX281" s="3347"/>
      <c r="CY281" s="3347"/>
      <c r="CZ281" s="3347"/>
      <c r="DA281" s="3347"/>
      <c r="DB281" s="3347"/>
      <c r="DC281" s="3347"/>
      <c r="DD281" s="3347"/>
      <c r="DE281" s="3347"/>
      <c r="DF281" s="3347"/>
      <c r="DG281" s="3347"/>
      <c r="DH281" s="3347"/>
      <c r="DI281" s="3347"/>
      <c r="DJ281" s="3347"/>
      <c r="DK281" s="3347"/>
      <c r="DL281" s="3347"/>
      <c r="DM281" s="3347"/>
      <c r="DN281" s="3347"/>
      <c r="DO281" s="3347"/>
      <c r="DP281" s="3347"/>
      <c r="DQ281" s="3347"/>
      <c r="DR281" s="3347"/>
      <c r="DS281" s="3347"/>
      <c r="DT281" s="3347"/>
      <c r="DU281" s="3347"/>
      <c r="DV281" s="3347"/>
      <c r="DW281" s="3347"/>
      <c r="DX281" s="3347"/>
      <c r="DY281" s="3347"/>
      <c r="DZ281" s="3347"/>
      <c r="EA281" s="3347"/>
      <c r="EB281" s="3347"/>
      <c r="EC281" s="3347"/>
      <c r="ED281" s="3347"/>
      <c r="EE281" s="3347"/>
      <c r="EF281" s="3347"/>
      <c r="EG281" s="3347"/>
      <c r="EH281" s="3347"/>
      <c r="EI281" s="3347"/>
      <c r="EJ281" s="3347"/>
      <c r="EK281" s="3347"/>
      <c r="EL281" s="3347"/>
      <c r="EM281" s="3347"/>
      <c r="EN281" s="3347"/>
      <c r="EO281" s="3347"/>
      <c r="EP281" s="3347"/>
      <c r="EQ281" s="3347"/>
      <c r="ER281" s="3347"/>
      <c r="ES281" s="3347"/>
      <c r="ET281" s="3347"/>
      <c r="EU281" s="3347"/>
      <c r="EV281" s="3347"/>
      <c r="EW281" s="3347"/>
      <c r="EX281" s="3347"/>
      <c r="EY281" s="3347"/>
      <c r="EZ281" s="3347"/>
      <c r="FA281" s="3347"/>
      <c r="FB281" s="3347"/>
      <c r="FC281" s="3347"/>
      <c r="FD281" s="3347"/>
      <c r="FE281" s="3347"/>
      <c r="FF281" s="3347"/>
      <c r="FG281" s="3347"/>
      <c r="FH281" s="3347"/>
      <c r="FI281" s="3347"/>
      <c r="FJ281" s="3347"/>
      <c r="FK281" s="3347"/>
      <c r="FL281" s="3347"/>
      <c r="FM281" s="3347"/>
      <c r="FN281" s="3347"/>
      <c r="FO281" s="3347"/>
      <c r="FP281" s="3347"/>
      <c r="FQ281" s="3347"/>
      <c r="FR281" s="3347"/>
      <c r="FS281" s="3347"/>
      <c r="FT281" s="3347"/>
      <c r="FU281" s="3347"/>
      <c r="FV281" s="3347"/>
      <c r="FW281" s="3347"/>
      <c r="FX281" s="3347"/>
      <c r="FY281" s="3347"/>
      <c r="FZ281" s="3347"/>
      <c r="GA281" s="3347"/>
      <c r="GB281" s="3347"/>
      <c r="GC281" s="3347"/>
      <c r="GD281" s="3347"/>
      <c r="GE281" s="3347"/>
      <c r="GF281" s="3347"/>
      <c r="GG281" s="3347"/>
      <c r="GH281" s="3347"/>
      <c r="GI281" s="3347"/>
      <c r="GJ281" s="3347"/>
      <c r="GK281" s="3347"/>
      <c r="GL281" s="3347"/>
      <c r="GM281" s="3347"/>
      <c r="GN281" s="3347"/>
      <c r="GO281" s="3347"/>
      <c r="GP281" s="3347"/>
      <c r="GQ281" s="3347"/>
      <c r="GR281" s="3347"/>
      <c r="GS281" s="3347"/>
      <c r="GT281" s="3347"/>
      <c r="GU281" s="3347"/>
      <c r="GV281" s="3347"/>
      <c r="GW281" s="3347"/>
      <c r="GX281" s="3347"/>
      <c r="GY281" s="3347"/>
      <c r="GZ281" s="3347"/>
      <c r="HA281" s="3347"/>
      <c r="HB281" s="3347"/>
      <c r="HC281" s="3347"/>
      <c r="HD281" s="3347"/>
      <c r="HE281" s="3347"/>
      <c r="HF281" s="3347"/>
      <c r="HG281" s="3347"/>
      <c r="HH281" s="3347"/>
      <c r="HI281" s="3347"/>
      <c r="HJ281" s="3347"/>
      <c r="HK281" s="3347"/>
      <c r="HL281" s="3347"/>
      <c r="HM281" s="3347"/>
      <c r="HN281" s="3347"/>
      <c r="HO281" s="3347"/>
      <c r="HP281" s="3347"/>
      <c r="HQ281" s="3347"/>
      <c r="HR281" s="3347"/>
      <c r="HS281" s="3347"/>
      <c r="HT281" s="3347"/>
      <c r="HU281" s="3347"/>
      <c r="HV281" s="3347"/>
      <c r="HW281" s="3347"/>
      <c r="HX281" s="3347"/>
      <c r="HY281" s="3347"/>
      <c r="HZ281" s="3347"/>
      <c r="IA281" s="3347"/>
      <c r="IB281" s="3347"/>
      <c r="IC281" s="3347"/>
      <c r="ID281" s="3347"/>
      <c r="IE281" s="3347"/>
      <c r="IF281" s="3347"/>
      <c r="IG281" s="3347"/>
      <c r="IH281" s="3347"/>
      <c r="II281" s="3347"/>
    </row>
    <row r="282" spans="1:243" hidden="1">
      <c r="A282" s="3267" t="s">
        <v>5103</v>
      </c>
      <c r="B282" s="3267" t="s">
        <v>5104</v>
      </c>
      <c r="C282" s="3269" t="s">
        <v>5105</v>
      </c>
      <c r="D282" s="3269" t="s">
        <v>5106</v>
      </c>
      <c r="E282" s="3267" t="s">
        <v>2985</v>
      </c>
      <c r="F282" s="3244" t="s">
        <v>3261</v>
      </c>
      <c r="G282" s="3267"/>
      <c r="H282" s="3267" t="s">
        <v>3950</v>
      </c>
      <c r="I282" s="3267" t="s">
        <v>5107</v>
      </c>
      <c r="J282" s="3267" t="s">
        <v>3815</v>
      </c>
      <c r="K282" s="3267" t="s">
        <v>5104</v>
      </c>
      <c r="L282" s="3267">
        <v>43.14</v>
      </c>
      <c r="M282" s="3267">
        <v>3</v>
      </c>
      <c r="N282" s="3267" t="s">
        <v>3152</v>
      </c>
      <c r="O282" s="3267"/>
      <c r="P282" s="3267" t="s">
        <v>2963</v>
      </c>
      <c r="Q282" s="3271">
        <v>320000</v>
      </c>
      <c r="R282" s="3288">
        <v>7418</v>
      </c>
      <c r="S282" s="3272">
        <v>27.78</v>
      </c>
      <c r="T282" s="3273">
        <v>277800</v>
      </c>
      <c r="U282" s="3267">
        <v>6441</v>
      </c>
      <c r="V282" s="3289">
        <v>0.2</v>
      </c>
      <c r="W282" s="3272">
        <v>22.22</v>
      </c>
      <c r="X282" s="3273">
        <v>222200</v>
      </c>
      <c r="Y282" s="3276">
        <v>2006</v>
      </c>
      <c r="Z282" s="3276">
        <v>4</v>
      </c>
      <c r="AA282" s="3276">
        <v>6</v>
      </c>
      <c r="AB282" s="3276">
        <v>830</v>
      </c>
      <c r="AC282" s="3267" t="s">
        <v>3227</v>
      </c>
      <c r="AD282" s="3267"/>
      <c r="AE282" s="3276" t="s">
        <v>3238</v>
      </c>
      <c r="AF282" s="3267" t="s">
        <v>2966</v>
      </c>
      <c r="AG282" s="3279" t="s">
        <v>2967</v>
      </c>
      <c r="AH282" s="3267"/>
      <c r="AI282" s="3267" t="s">
        <v>2992</v>
      </c>
      <c r="AJ282" s="3284"/>
      <c r="AK282" s="3316" t="s">
        <v>2994</v>
      </c>
      <c r="AL282" s="3276">
        <v>67641700</v>
      </c>
      <c r="AM282" s="3276"/>
      <c r="AN282" s="3276" t="s">
        <v>3131</v>
      </c>
      <c r="AO282" s="3276"/>
      <c r="AP282" s="3276" t="s">
        <v>3305</v>
      </c>
      <c r="AQ282" s="3276" t="s">
        <v>3113</v>
      </c>
      <c r="AR282" s="3276"/>
      <c r="AS282" s="3276"/>
      <c r="AT282" s="3276"/>
      <c r="AU282" s="3276" t="s">
        <v>2968</v>
      </c>
      <c r="AV282" s="3276" t="s">
        <v>2968</v>
      </c>
      <c r="AW282" s="3276" t="s">
        <v>3112</v>
      </c>
      <c r="AX282" s="3276"/>
      <c r="AY282" s="3291"/>
      <c r="AZ282" s="3276" t="s">
        <v>5108</v>
      </c>
      <c r="BA282" s="3276"/>
      <c r="BB282" s="3291"/>
      <c r="BC282" s="3276"/>
      <c r="BD282" s="3292"/>
      <c r="BE282" s="3276">
        <v>13691165376</v>
      </c>
      <c r="BF282" s="3281"/>
      <c r="BG282" s="3299">
        <v>38758</v>
      </c>
      <c r="BH282" s="3276"/>
      <c r="BI282" s="3267" t="s">
        <v>3238</v>
      </c>
      <c r="BJ282" s="3283">
        <v>38811</v>
      </c>
      <c r="BK282" s="3283"/>
      <c r="BL282" s="3267" t="s">
        <v>3249</v>
      </c>
      <c r="BM282" s="3276" t="s">
        <v>2879</v>
      </c>
      <c r="BN282" s="3276" t="s">
        <v>2999</v>
      </c>
      <c r="BO282" s="3276" t="s">
        <v>3146</v>
      </c>
      <c r="BP282" s="3276" t="s">
        <v>2968</v>
      </c>
      <c r="BQ282" s="3276" t="e">
        <v>#DIV/0!</v>
      </c>
      <c r="BR282" s="3276" t="e">
        <v>#DIV/0!</v>
      </c>
      <c r="BS282" s="3285"/>
      <c r="BT282" s="3285"/>
      <c r="BU282" s="3285"/>
      <c r="BV282" s="3347"/>
      <c r="BW282" s="3347"/>
      <c r="BX282" s="3347"/>
      <c r="BY282" s="3347"/>
      <c r="BZ282" s="3347"/>
      <c r="CA282" s="3347"/>
      <c r="CB282" s="3347"/>
      <c r="CC282" s="3347"/>
      <c r="CD282" s="3347"/>
      <c r="CE282" s="3347"/>
      <c r="CF282" s="3347"/>
      <c r="CG282" s="3347"/>
      <c r="CH282" s="3347"/>
      <c r="CI282" s="3347"/>
      <c r="CJ282" s="3347"/>
      <c r="CK282" s="3347"/>
      <c r="CL282" s="3347"/>
      <c r="CM282" s="3347"/>
      <c r="CN282" s="3347"/>
      <c r="CO282" s="3347"/>
      <c r="CP282" s="3347"/>
      <c r="CQ282" s="3347"/>
      <c r="CR282" s="3347"/>
      <c r="CS282" s="3347"/>
      <c r="CT282" s="3347"/>
      <c r="CU282" s="3347"/>
      <c r="CV282" s="3347"/>
      <c r="CW282" s="3347"/>
      <c r="CX282" s="3347"/>
      <c r="CY282" s="3347"/>
      <c r="CZ282" s="3347"/>
      <c r="DA282" s="3347"/>
      <c r="DB282" s="3347"/>
      <c r="DC282" s="3347"/>
      <c r="DD282" s="3347"/>
      <c r="DE282" s="3347"/>
      <c r="DF282" s="3347"/>
      <c r="DG282" s="3347"/>
      <c r="DH282" s="3347"/>
      <c r="DI282" s="3347"/>
      <c r="DJ282" s="3347"/>
      <c r="DK282" s="3347"/>
      <c r="DL282" s="3347"/>
      <c r="DM282" s="3347"/>
      <c r="DN282" s="3347"/>
      <c r="DO282" s="3347"/>
      <c r="DP282" s="3347"/>
      <c r="DQ282" s="3347"/>
      <c r="DR282" s="3347"/>
      <c r="DS282" s="3347"/>
      <c r="DT282" s="3347"/>
      <c r="DU282" s="3347"/>
      <c r="DV282" s="3347"/>
      <c r="DW282" s="3347"/>
      <c r="DX282" s="3347"/>
      <c r="DY282" s="3347"/>
      <c r="DZ282" s="3347"/>
      <c r="EA282" s="3347"/>
      <c r="EB282" s="3347"/>
      <c r="EC282" s="3347"/>
      <c r="ED282" s="3347"/>
      <c r="EE282" s="3347"/>
      <c r="EF282" s="3347"/>
      <c r="EG282" s="3347"/>
      <c r="EH282" s="3347"/>
      <c r="EI282" s="3347"/>
      <c r="EJ282" s="3347"/>
      <c r="EK282" s="3347"/>
      <c r="EL282" s="3347"/>
      <c r="EM282" s="3347"/>
      <c r="EN282" s="3347"/>
      <c r="EO282" s="3347"/>
      <c r="EP282" s="3347"/>
      <c r="EQ282" s="3347"/>
      <c r="ER282" s="3347"/>
      <c r="ES282" s="3347"/>
      <c r="ET282" s="3347"/>
      <c r="EU282" s="3347"/>
      <c r="EV282" s="3347"/>
      <c r="EW282" s="3347"/>
      <c r="EX282" s="3347"/>
      <c r="EY282" s="3347"/>
      <c r="EZ282" s="3347"/>
      <c r="FA282" s="3347"/>
      <c r="FB282" s="3347"/>
      <c r="FC282" s="3347"/>
      <c r="FD282" s="3347"/>
      <c r="FE282" s="3347"/>
      <c r="FF282" s="3347"/>
      <c r="FG282" s="3347"/>
      <c r="FH282" s="3347"/>
      <c r="FI282" s="3347"/>
      <c r="FJ282" s="3347"/>
      <c r="FK282" s="3347"/>
      <c r="FL282" s="3347"/>
      <c r="FM282" s="3347"/>
      <c r="FN282" s="3347"/>
      <c r="FO282" s="3347"/>
      <c r="FP282" s="3347"/>
      <c r="FQ282" s="3347"/>
      <c r="FR282" s="3347"/>
      <c r="FS282" s="3347"/>
      <c r="FT282" s="3347"/>
      <c r="FU282" s="3347"/>
      <c r="FV282" s="3347"/>
      <c r="FW282" s="3347"/>
      <c r="FX282" s="3347"/>
      <c r="FY282" s="3347"/>
      <c r="FZ282" s="3347"/>
      <c r="GA282" s="3347"/>
      <c r="GB282" s="3347"/>
      <c r="GC282" s="3347"/>
      <c r="GD282" s="3347"/>
      <c r="GE282" s="3347"/>
      <c r="GF282" s="3347"/>
      <c r="GG282" s="3347"/>
      <c r="GH282" s="3347"/>
      <c r="GI282" s="3347"/>
      <c r="GJ282" s="3347"/>
      <c r="GK282" s="3347"/>
      <c r="GL282" s="3347"/>
      <c r="GM282" s="3347"/>
      <c r="GN282" s="3347"/>
      <c r="GO282" s="3347"/>
      <c r="GP282" s="3347"/>
      <c r="GQ282" s="3347"/>
      <c r="GR282" s="3347"/>
      <c r="GS282" s="3347"/>
      <c r="GT282" s="3347"/>
      <c r="GU282" s="3347"/>
      <c r="GV282" s="3347"/>
      <c r="GW282" s="3347"/>
      <c r="GX282" s="3347"/>
      <c r="GY282" s="3347"/>
      <c r="GZ282" s="3347"/>
      <c r="HA282" s="3347"/>
      <c r="HB282" s="3347"/>
      <c r="HC282" s="3347"/>
      <c r="HD282" s="3347"/>
      <c r="HE282" s="3347"/>
      <c r="HF282" s="3347"/>
      <c r="HG282" s="3347"/>
      <c r="HH282" s="3347"/>
      <c r="HI282" s="3347"/>
      <c r="HJ282" s="3347"/>
      <c r="HK282" s="3347"/>
      <c r="HL282" s="3347"/>
      <c r="HM282" s="3347"/>
      <c r="HN282" s="3347"/>
      <c r="HO282" s="3347"/>
      <c r="HP282" s="3347"/>
      <c r="HQ282" s="3347"/>
      <c r="HR282" s="3347"/>
      <c r="HS282" s="3347"/>
      <c r="HT282" s="3347"/>
      <c r="HU282" s="3347"/>
      <c r="HV282" s="3347"/>
      <c r="HW282" s="3347"/>
      <c r="HX282" s="3347"/>
      <c r="HY282" s="3347"/>
      <c r="HZ282" s="3347"/>
      <c r="IA282" s="3347"/>
      <c r="IB282" s="3347"/>
      <c r="IC282" s="3347"/>
      <c r="ID282" s="3347"/>
      <c r="IE282" s="3347"/>
      <c r="IF282" s="3347"/>
      <c r="IG282" s="3347"/>
      <c r="IH282" s="3347"/>
      <c r="II282" s="3347"/>
    </row>
    <row r="283" spans="1:243">
      <c r="A283" s="3267" t="s">
        <v>5109</v>
      </c>
      <c r="B283" s="3267" t="s">
        <v>5110</v>
      </c>
      <c r="C283" s="3269" t="s">
        <v>5111</v>
      </c>
      <c r="D283" s="3269">
        <v>13601312805</v>
      </c>
      <c r="E283" s="3268" t="s">
        <v>2985</v>
      </c>
      <c r="F283" s="3268" t="s">
        <v>4729</v>
      </c>
      <c r="G283" s="3267"/>
      <c r="H283" s="3267" t="s">
        <v>3138</v>
      </c>
      <c r="I283" s="3268"/>
      <c r="J283" s="3267" t="s">
        <v>5112</v>
      </c>
      <c r="K283" s="3267"/>
      <c r="L283" s="3267">
        <v>129.06</v>
      </c>
      <c r="M283" s="3267">
        <v>16</v>
      </c>
      <c r="N283" s="3267" t="s">
        <v>3129</v>
      </c>
      <c r="O283" s="3267"/>
      <c r="P283" s="3267" t="s">
        <v>2963</v>
      </c>
      <c r="Q283" s="3271">
        <v>970000</v>
      </c>
      <c r="R283" s="3267">
        <v>7516</v>
      </c>
      <c r="S283" s="3272">
        <v>80.39</v>
      </c>
      <c r="T283" s="3273">
        <v>803900</v>
      </c>
      <c r="U283" s="3267">
        <v>6229</v>
      </c>
      <c r="V283" s="3289">
        <v>0.2</v>
      </c>
      <c r="W283" s="3272">
        <v>64.31</v>
      </c>
      <c r="X283" s="3275">
        <v>643100</v>
      </c>
      <c r="Y283" s="3276">
        <v>2006</v>
      </c>
      <c r="Z283" s="3276">
        <v>4</v>
      </c>
      <c r="AA283" s="3276">
        <v>17</v>
      </c>
      <c r="AB283" s="3267">
        <v>1500</v>
      </c>
      <c r="AC283" s="3267" t="s">
        <v>3480</v>
      </c>
      <c r="AD283" s="3267"/>
      <c r="AE283" s="3279" t="s">
        <v>3304</v>
      </c>
      <c r="AF283" s="3268" t="s">
        <v>2966</v>
      </c>
      <c r="AG283" s="3279" t="s">
        <v>2967</v>
      </c>
      <c r="AH283" s="3267"/>
      <c r="AI283" s="3279" t="s">
        <v>2992</v>
      </c>
      <c r="AJ283" s="3284"/>
      <c r="AK283" s="3278">
        <v>4</v>
      </c>
      <c r="AL283" s="3276">
        <v>67641700</v>
      </c>
      <c r="AM283" s="3276"/>
      <c r="AN283" s="3279" t="s">
        <v>3114</v>
      </c>
      <c r="AO283" s="3267"/>
      <c r="AP283" s="3279" t="s">
        <v>3305</v>
      </c>
      <c r="AQ283" s="3267" t="s">
        <v>3228</v>
      </c>
      <c r="AR283" s="3276"/>
      <c r="AS283" s="3276"/>
      <c r="AT283" s="3276"/>
      <c r="AU283" s="3276"/>
      <c r="AV283" s="3276"/>
      <c r="AW283" s="3276" t="s">
        <v>3119</v>
      </c>
      <c r="AX283" s="3276"/>
      <c r="AY283" s="3291"/>
      <c r="AZ283" s="3267" t="s">
        <v>5113</v>
      </c>
      <c r="BA283" s="3296"/>
      <c r="BB283" s="3297"/>
      <c r="BC283" s="3296"/>
      <c r="BD283" s="3298"/>
      <c r="BE283" s="3276"/>
      <c r="BF283" s="3281"/>
      <c r="BG283" s="3293">
        <v>38810</v>
      </c>
      <c r="BH283" s="3267" t="s">
        <v>2998</v>
      </c>
      <c r="BI283" s="3268" t="s">
        <v>4395</v>
      </c>
      <c r="BJ283" s="3283">
        <v>38812</v>
      </c>
      <c r="BK283" s="3283"/>
      <c r="BL283" s="3267" t="s">
        <v>3249</v>
      </c>
      <c r="BM283" s="3276" t="s">
        <v>2879</v>
      </c>
      <c r="BN283" s="3276" t="s">
        <v>2999</v>
      </c>
      <c r="BO283" s="3276" t="s">
        <v>3146</v>
      </c>
      <c r="BP283" s="3276"/>
      <c r="BQ283" s="3276" t="e">
        <v>#DIV/0!</v>
      </c>
      <c r="BR283" s="3276" t="e">
        <v>#DIV/0!</v>
      </c>
      <c r="BS283" s="3285"/>
      <c r="BT283" s="3285"/>
      <c r="BU283" s="3285"/>
      <c r="BV283" s="3347"/>
      <c r="BW283" s="3347"/>
      <c r="BX283" s="3347"/>
      <c r="BY283" s="3347"/>
      <c r="BZ283" s="3347"/>
      <c r="CA283" s="3347"/>
      <c r="CB283" s="3347"/>
      <c r="CC283" s="3347"/>
      <c r="CD283" s="3347"/>
      <c r="CE283" s="3347"/>
      <c r="CF283" s="3347"/>
      <c r="CG283" s="3347"/>
      <c r="CH283" s="3347"/>
      <c r="CI283" s="3347"/>
      <c r="CJ283" s="3347"/>
      <c r="CK283" s="3347"/>
      <c r="CL283" s="3347"/>
      <c r="CM283" s="3347"/>
      <c r="CN283" s="3347"/>
      <c r="CO283" s="3347"/>
      <c r="CP283" s="3347"/>
      <c r="CQ283" s="3347"/>
      <c r="CR283" s="3347"/>
      <c r="CS283" s="3347"/>
      <c r="CT283" s="3347"/>
      <c r="CU283" s="3347"/>
      <c r="CV283" s="3347"/>
      <c r="CW283" s="3347"/>
      <c r="CX283" s="3347"/>
      <c r="CY283" s="3347"/>
      <c r="CZ283" s="3347"/>
      <c r="DA283" s="3347"/>
      <c r="DB283" s="3347"/>
      <c r="DC283" s="3347"/>
      <c r="DD283" s="3347"/>
      <c r="DE283" s="3347"/>
      <c r="DF283" s="3347"/>
      <c r="DG283" s="3347"/>
      <c r="DH283" s="3347"/>
      <c r="DI283" s="3347"/>
      <c r="DJ283" s="3347"/>
      <c r="DK283" s="3347"/>
      <c r="DL283" s="3347"/>
      <c r="DM283" s="3347"/>
      <c r="DN283" s="3347"/>
      <c r="DO283" s="3347"/>
      <c r="DP283" s="3347"/>
      <c r="DQ283" s="3347"/>
      <c r="DR283" s="3347"/>
      <c r="DS283" s="3347"/>
      <c r="DT283" s="3347"/>
      <c r="DU283" s="3347"/>
      <c r="DV283" s="3347"/>
      <c r="DW283" s="3347"/>
      <c r="DX283" s="3347"/>
      <c r="DY283" s="3347"/>
      <c r="DZ283" s="3347"/>
      <c r="EA283" s="3347"/>
      <c r="EB283" s="3347"/>
      <c r="EC283" s="3347"/>
      <c r="ED283" s="3347"/>
      <c r="EE283" s="3347"/>
      <c r="EF283" s="3347"/>
      <c r="EG283" s="3347"/>
      <c r="EH283" s="3347"/>
      <c r="EI283" s="3347"/>
      <c r="EJ283" s="3347"/>
      <c r="EK283" s="3347"/>
      <c r="EL283" s="3347"/>
      <c r="EM283" s="3347"/>
      <c r="EN283" s="3347"/>
      <c r="EO283" s="3347"/>
      <c r="EP283" s="3347"/>
      <c r="EQ283" s="3347"/>
      <c r="ER283" s="3347"/>
      <c r="ES283" s="3347"/>
      <c r="ET283" s="3347"/>
      <c r="EU283" s="3347"/>
      <c r="EV283" s="3347"/>
      <c r="EW283" s="3347"/>
      <c r="EX283" s="3347"/>
      <c r="EY283" s="3347"/>
      <c r="EZ283" s="3347"/>
      <c r="FA283" s="3347"/>
      <c r="FB283" s="3347"/>
      <c r="FC283" s="3347"/>
      <c r="FD283" s="3347"/>
      <c r="FE283" s="3347"/>
      <c r="FF283" s="3347"/>
      <c r="FG283" s="3347"/>
      <c r="FH283" s="3347"/>
      <c r="FI283" s="3347"/>
      <c r="FJ283" s="3347"/>
      <c r="FK283" s="3347"/>
      <c r="FL283" s="3347"/>
      <c r="FM283" s="3347"/>
      <c r="FN283" s="3347"/>
      <c r="FO283" s="3347"/>
      <c r="FP283" s="3347"/>
      <c r="FQ283" s="3347"/>
      <c r="FR283" s="3347"/>
      <c r="FS283" s="3347"/>
      <c r="FT283" s="3347"/>
      <c r="FU283" s="3347"/>
      <c r="FV283" s="3347"/>
      <c r="FW283" s="3347"/>
      <c r="FX283" s="3347"/>
      <c r="FY283" s="3347"/>
      <c r="FZ283" s="3347"/>
      <c r="GA283" s="3347"/>
      <c r="GB283" s="3347"/>
      <c r="GC283" s="3347"/>
      <c r="GD283" s="3347"/>
      <c r="GE283" s="3347"/>
      <c r="GF283" s="3347"/>
      <c r="GG283" s="3347"/>
      <c r="GH283" s="3347"/>
      <c r="GI283" s="3347"/>
      <c r="GJ283" s="3347"/>
      <c r="GK283" s="3347"/>
      <c r="GL283" s="3347"/>
      <c r="GM283" s="3347"/>
      <c r="GN283" s="3347"/>
      <c r="GO283" s="3347"/>
      <c r="GP283" s="3347"/>
      <c r="GQ283" s="3347"/>
      <c r="GR283" s="3347"/>
      <c r="GS283" s="3347"/>
      <c r="GT283" s="3347"/>
      <c r="GU283" s="3347"/>
      <c r="GV283" s="3347"/>
      <c r="GW283" s="3347"/>
      <c r="GX283" s="3347"/>
      <c r="GY283" s="3347"/>
      <c r="GZ283" s="3347"/>
      <c r="HA283" s="3347"/>
      <c r="HB283" s="3347"/>
      <c r="HC283" s="3347"/>
      <c r="HD283" s="3347"/>
      <c r="HE283" s="3347"/>
      <c r="HF283" s="3347"/>
      <c r="HG283" s="3347"/>
      <c r="HH283" s="3347"/>
      <c r="HI283" s="3347"/>
      <c r="HJ283" s="3347"/>
      <c r="HK283" s="3347"/>
      <c r="HL283" s="3347"/>
      <c r="HM283" s="3347"/>
      <c r="HN283" s="3347"/>
      <c r="HO283" s="3347"/>
      <c r="HP283" s="3347"/>
      <c r="HQ283" s="3347"/>
      <c r="HR283" s="3347"/>
      <c r="HS283" s="3347"/>
      <c r="HT283" s="3347"/>
      <c r="HU283" s="3347"/>
      <c r="HV283" s="3347"/>
      <c r="HW283" s="3347"/>
      <c r="HX283" s="3347"/>
      <c r="HY283" s="3347"/>
      <c r="HZ283" s="3347"/>
      <c r="IA283" s="3347"/>
      <c r="IB283" s="3347"/>
      <c r="IC283" s="3347"/>
      <c r="ID283" s="3347"/>
      <c r="IE283" s="3347"/>
      <c r="IF283" s="3347"/>
      <c r="IG283" s="3347"/>
      <c r="IH283" s="3347"/>
      <c r="II283" s="3347"/>
    </row>
    <row r="284" spans="1:243" hidden="1">
      <c r="A284" s="3268" t="s">
        <v>5114</v>
      </c>
      <c r="B284" s="3268" t="s">
        <v>5115</v>
      </c>
      <c r="C284" s="3269" t="s">
        <v>5116</v>
      </c>
      <c r="D284" s="3268">
        <v>13811655729</v>
      </c>
      <c r="E284" s="3268" t="s">
        <v>2985</v>
      </c>
      <c r="F284" s="3268" t="s">
        <v>5117</v>
      </c>
      <c r="G284" s="3268"/>
      <c r="H284" s="3268" t="s">
        <v>5118</v>
      </c>
      <c r="I284" s="3268" t="s">
        <v>2968</v>
      </c>
      <c r="J284" s="3268" t="s">
        <v>4598</v>
      </c>
      <c r="K284" s="3268" t="s">
        <v>5115</v>
      </c>
      <c r="L284" s="3270">
        <v>47.38</v>
      </c>
      <c r="M284" s="3270">
        <v>11</v>
      </c>
      <c r="N284" s="3267" t="s">
        <v>3535</v>
      </c>
      <c r="O284" s="3270" t="s">
        <v>2968</v>
      </c>
      <c r="P284" s="3268" t="s">
        <v>2963</v>
      </c>
      <c r="Q284" s="3271">
        <v>300000</v>
      </c>
      <c r="R284" s="3267">
        <v>6332</v>
      </c>
      <c r="S284" s="3272">
        <v>29.79</v>
      </c>
      <c r="T284" s="3273">
        <v>297900</v>
      </c>
      <c r="U284" s="3267">
        <v>6288</v>
      </c>
      <c r="V284" s="3289">
        <v>0.05</v>
      </c>
      <c r="W284" s="3272">
        <v>28.3</v>
      </c>
      <c r="X284" s="3275">
        <v>283000</v>
      </c>
      <c r="Y284" s="3276">
        <v>2006</v>
      </c>
      <c r="Z284" s="3276">
        <v>4</v>
      </c>
      <c r="AA284" s="3276">
        <v>12</v>
      </c>
      <c r="AB284" s="3267">
        <v>890</v>
      </c>
      <c r="AC284" s="3267" t="s">
        <v>3227</v>
      </c>
      <c r="AD284" s="3268"/>
      <c r="AE284" s="3268" t="s">
        <v>3304</v>
      </c>
      <c r="AF284" s="3268"/>
      <c r="AG284" s="3268" t="s">
        <v>2967</v>
      </c>
      <c r="AH284" s="3268"/>
      <c r="AI284" s="3268" t="s">
        <v>3424</v>
      </c>
      <c r="AJ284" s="3290"/>
      <c r="AK284" s="3278">
        <v>4</v>
      </c>
      <c r="AL284" s="3276">
        <v>67641700</v>
      </c>
      <c r="AM284" s="3276"/>
      <c r="AN284" s="3279" t="s">
        <v>3140</v>
      </c>
      <c r="AO284" s="3267"/>
      <c r="AP284" s="3279" t="s">
        <v>3305</v>
      </c>
      <c r="AQ284" s="3276" t="s">
        <v>3113</v>
      </c>
      <c r="AR284" s="3267"/>
      <c r="AS284" s="3267"/>
      <c r="AT284" s="3267"/>
      <c r="AU284" s="3267"/>
      <c r="AV284" s="3277"/>
      <c r="AW284" s="3276" t="s">
        <v>2997</v>
      </c>
      <c r="AX284" s="3276"/>
      <c r="AY284" s="3291" t="s">
        <v>2968</v>
      </c>
      <c r="AZ284" s="3267"/>
      <c r="BA284" s="3296" t="s">
        <v>2968</v>
      </c>
      <c r="BB284" s="3297" t="s">
        <v>2968</v>
      </c>
      <c r="BC284" s="3296" t="s">
        <v>2968</v>
      </c>
      <c r="BD284" s="3298" t="s">
        <v>2968</v>
      </c>
      <c r="BE284" s="3276"/>
      <c r="BF284" s="3281" t="s">
        <v>2968</v>
      </c>
      <c r="BG284" s="3361">
        <v>38829</v>
      </c>
      <c r="BH284" s="3267" t="s">
        <v>2998</v>
      </c>
      <c r="BI284" s="3276" t="s">
        <v>2991</v>
      </c>
      <c r="BJ284" s="3299">
        <v>38806</v>
      </c>
      <c r="BK284" s="3284"/>
      <c r="BL284" s="3276" t="s">
        <v>3249</v>
      </c>
      <c r="BM284" s="3267" t="s">
        <v>2879</v>
      </c>
      <c r="BN284" s="3267" t="s">
        <v>2999</v>
      </c>
      <c r="BO284" s="3267" t="s">
        <v>3146</v>
      </c>
      <c r="BP284" s="3276"/>
      <c r="BQ284" s="3276" t="e">
        <v>#VALUE!</v>
      </c>
      <c r="BR284" s="3276" t="e">
        <v>#VALUE!</v>
      </c>
      <c r="BS284" s="3285"/>
      <c r="BT284" s="3285"/>
      <c r="BU284" s="3285"/>
      <c r="BV284" s="3347"/>
      <c r="BW284" s="3347"/>
      <c r="BX284" s="3347"/>
      <c r="BY284" s="3347"/>
      <c r="BZ284" s="3347"/>
      <c r="CA284" s="3347"/>
      <c r="CB284" s="3347"/>
      <c r="CC284" s="3347"/>
      <c r="CD284" s="3347"/>
      <c r="CE284" s="3347"/>
      <c r="CF284" s="3347"/>
      <c r="CG284" s="3347"/>
      <c r="CH284" s="3347"/>
      <c r="CI284" s="3347"/>
      <c r="CJ284" s="3347"/>
      <c r="CK284" s="3347"/>
      <c r="CL284" s="3347"/>
      <c r="CM284" s="3347"/>
      <c r="CN284" s="3347"/>
      <c r="CO284" s="3347"/>
      <c r="CP284" s="3347"/>
      <c r="CQ284" s="3347"/>
      <c r="CR284" s="3347"/>
      <c r="CS284" s="3347"/>
      <c r="CT284" s="3347"/>
      <c r="CU284" s="3347"/>
      <c r="CV284" s="3347"/>
      <c r="CW284" s="3347"/>
      <c r="CX284" s="3347"/>
      <c r="CY284" s="3347"/>
      <c r="CZ284" s="3347"/>
      <c r="DA284" s="3347"/>
      <c r="DB284" s="3347"/>
      <c r="DC284" s="3347"/>
      <c r="DD284" s="3347"/>
      <c r="DE284" s="3347"/>
      <c r="DF284" s="3347"/>
      <c r="DG284" s="3347"/>
      <c r="DH284" s="3347"/>
      <c r="DI284" s="3347"/>
      <c r="DJ284" s="3347"/>
      <c r="DK284" s="3347"/>
      <c r="DL284" s="3347"/>
      <c r="DM284" s="3347"/>
      <c r="DN284" s="3347"/>
      <c r="DO284" s="3347"/>
      <c r="DP284" s="3347"/>
      <c r="DQ284" s="3347"/>
      <c r="DR284" s="3347"/>
      <c r="DS284" s="3347"/>
      <c r="DT284" s="3347"/>
      <c r="DU284" s="3347"/>
      <c r="DV284" s="3347"/>
      <c r="DW284" s="3347"/>
      <c r="DX284" s="3347"/>
      <c r="DY284" s="3347"/>
      <c r="DZ284" s="3347"/>
      <c r="EA284" s="3347"/>
      <c r="EB284" s="3347"/>
      <c r="EC284" s="3347"/>
      <c r="ED284" s="3347"/>
      <c r="EE284" s="3347"/>
      <c r="EF284" s="3347"/>
      <c r="EG284" s="3347"/>
      <c r="EH284" s="3347"/>
      <c r="EI284" s="3347"/>
      <c r="EJ284" s="3347"/>
      <c r="EK284" s="3347"/>
      <c r="EL284" s="3347"/>
      <c r="EM284" s="3347"/>
      <c r="EN284" s="3347"/>
      <c r="EO284" s="3347"/>
      <c r="EP284" s="3347"/>
      <c r="EQ284" s="3347"/>
      <c r="ER284" s="3347"/>
      <c r="ES284" s="3347"/>
      <c r="ET284" s="3347"/>
      <c r="EU284" s="3347"/>
      <c r="EV284" s="3347"/>
      <c r="EW284" s="3347"/>
      <c r="EX284" s="3347"/>
      <c r="EY284" s="3347"/>
      <c r="EZ284" s="3347"/>
      <c r="FA284" s="3347"/>
      <c r="FB284" s="3347"/>
      <c r="FC284" s="3347"/>
      <c r="FD284" s="3347"/>
      <c r="FE284" s="3347"/>
      <c r="FF284" s="3347"/>
      <c r="FG284" s="3347"/>
      <c r="FH284" s="3347"/>
      <c r="FI284" s="3347"/>
      <c r="FJ284" s="3347"/>
      <c r="FK284" s="3347"/>
      <c r="FL284" s="3347"/>
      <c r="FM284" s="3347"/>
      <c r="FN284" s="3347"/>
      <c r="FO284" s="3347"/>
      <c r="FP284" s="3347"/>
      <c r="FQ284" s="3347"/>
      <c r="FR284" s="3347"/>
      <c r="FS284" s="3347"/>
      <c r="FT284" s="3347"/>
      <c r="FU284" s="3347"/>
      <c r="FV284" s="3347"/>
      <c r="FW284" s="3347"/>
      <c r="FX284" s="3347"/>
      <c r="FY284" s="3347"/>
      <c r="FZ284" s="3347"/>
      <c r="GA284" s="3347"/>
      <c r="GB284" s="3347"/>
      <c r="GC284" s="3347"/>
      <c r="GD284" s="3347"/>
      <c r="GE284" s="3347"/>
      <c r="GF284" s="3347"/>
      <c r="GG284" s="3347"/>
      <c r="GH284" s="3347"/>
      <c r="GI284" s="3347"/>
      <c r="GJ284" s="3347"/>
      <c r="GK284" s="3347"/>
      <c r="GL284" s="3347"/>
      <c r="GM284" s="3347"/>
      <c r="GN284" s="3347"/>
      <c r="GO284" s="3347"/>
      <c r="GP284" s="3347"/>
      <c r="GQ284" s="3347"/>
      <c r="GR284" s="3347"/>
      <c r="GS284" s="3347"/>
      <c r="GT284" s="3347"/>
      <c r="GU284" s="3347"/>
      <c r="GV284" s="3347"/>
      <c r="GW284" s="3347"/>
      <c r="GX284" s="3347"/>
      <c r="GY284" s="3347"/>
      <c r="GZ284" s="3347"/>
      <c r="HA284" s="3347"/>
      <c r="HB284" s="3347"/>
      <c r="HC284" s="3347"/>
      <c r="HD284" s="3347"/>
      <c r="HE284" s="3347"/>
      <c r="HF284" s="3347"/>
      <c r="HG284" s="3347"/>
      <c r="HH284" s="3347"/>
      <c r="HI284" s="3347"/>
      <c r="HJ284" s="3347"/>
      <c r="HK284" s="3347"/>
      <c r="HL284" s="3347"/>
      <c r="HM284" s="3347"/>
      <c r="HN284" s="3347"/>
      <c r="HO284" s="3347"/>
      <c r="HP284" s="3347"/>
      <c r="HQ284" s="3347"/>
      <c r="HR284" s="3347"/>
      <c r="HS284" s="3347"/>
      <c r="HT284" s="3347"/>
      <c r="HU284" s="3347"/>
      <c r="HV284" s="3347"/>
      <c r="HW284" s="3347"/>
      <c r="HX284" s="3347"/>
      <c r="HY284" s="3347"/>
      <c r="HZ284" s="3347"/>
      <c r="IA284" s="3347"/>
      <c r="IB284" s="3347"/>
      <c r="IC284" s="3347"/>
      <c r="ID284" s="3347"/>
      <c r="IE284" s="3347"/>
      <c r="IF284" s="3347"/>
      <c r="IG284" s="3347"/>
      <c r="IH284" s="3347"/>
      <c r="II284" s="3347"/>
    </row>
    <row r="285" spans="1:243" hidden="1">
      <c r="A285" s="3267" t="s">
        <v>5119</v>
      </c>
      <c r="B285" s="3267" t="s">
        <v>5120</v>
      </c>
      <c r="C285" s="3269" t="s">
        <v>5121</v>
      </c>
      <c r="D285" s="3269" t="s">
        <v>5122</v>
      </c>
      <c r="E285" s="3268" t="s">
        <v>2985</v>
      </c>
      <c r="F285" s="3268" t="s">
        <v>4884</v>
      </c>
      <c r="G285" s="3267"/>
      <c r="H285" s="3268" t="s">
        <v>5123</v>
      </c>
      <c r="I285" s="3268" t="s">
        <v>3254</v>
      </c>
      <c r="J285" s="3267" t="s">
        <v>3528</v>
      </c>
      <c r="K285" s="3267" t="s">
        <v>5120</v>
      </c>
      <c r="L285" s="3267">
        <v>93.04</v>
      </c>
      <c r="M285" s="3267">
        <v>6</v>
      </c>
      <c r="N285" s="3267" t="s">
        <v>3122</v>
      </c>
      <c r="O285" s="3267">
        <v>83.43</v>
      </c>
      <c r="P285" s="3267" t="s">
        <v>2963</v>
      </c>
      <c r="Q285" s="3271">
        <v>590000</v>
      </c>
      <c r="R285" s="3267">
        <v>6341</v>
      </c>
      <c r="S285" s="3272">
        <v>52.1</v>
      </c>
      <c r="T285" s="3273">
        <v>521000</v>
      </c>
      <c r="U285" s="3267">
        <v>5600</v>
      </c>
      <c r="V285" s="3289">
        <v>0.05</v>
      </c>
      <c r="W285" s="3272">
        <v>49.49</v>
      </c>
      <c r="X285" s="3275">
        <v>494900</v>
      </c>
      <c r="Y285" s="3276">
        <v>2006</v>
      </c>
      <c r="Z285" s="3276">
        <v>4</v>
      </c>
      <c r="AA285" s="3276">
        <v>19</v>
      </c>
      <c r="AB285" s="3267">
        <v>1500</v>
      </c>
      <c r="AC285" s="3267" t="s">
        <v>3227</v>
      </c>
      <c r="AD285" s="3267"/>
      <c r="AE285" s="3279" t="s">
        <v>3344</v>
      </c>
      <c r="AF285" s="3267" t="s">
        <v>2966</v>
      </c>
      <c r="AG285" s="3279" t="s">
        <v>2967</v>
      </c>
      <c r="AH285" s="3267"/>
      <c r="AI285" s="3279" t="s">
        <v>2992</v>
      </c>
      <c r="AJ285" s="3284"/>
      <c r="AK285" s="3278">
        <v>4</v>
      </c>
      <c r="AL285" s="3276">
        <v>67641700</v>
      </c>
      <c r="AM285" s="3276"/>
      <c r="AN285" s="3279" t="s">
        <v>3114</v>
      </c>
      <c r="AO285" s="3267"/>
      <c r="AP285" s="3279" t="s">
        <v>3305</v>
      </c>
      <c r="AQ285" s="3276" t="s">
        <v>3113</v>
      </c>
      <c r="AR285" s="3276"/>
      <c r="AS285" s="3276"/>
      <c r="AT285" s="3276"/>
      <c r="AU285" s="3276"/>
      <c r="AV285" s="3276"/>
      <c r="AW285" s="3276" t="s">
        <v>3119</v>
      </c>
      <c r="AX285" s="3276"/>
      <c r="AY285" s="3291"/>
      <c r="AZ285" s="3267" t="s">
        <v>5124</v>
      </c>
      <c r="BA285" s="3296"/>
      <c r="BB285" s="3297"/>
      <c r="BC285" s="3296"/>
      <c r="BD285" s="3298"/>
      <c r="BE285" s="3276">
        <v>13910071085</v>
      </c>
      <c r="BF285" s="3281"/>
      <c r="BG285" s="3293">
        <v>38796</v>
      </c>
      <c r="BH285" s="3267" t="s">
        <v>2998</v>
      </c>
      <c r="BI285" s="3314" t="s">
        <v>3305</v>
      </c>
      <c r="BJ285" s="3283">
        <v>38796</v>
      </c>
      <c r="BK285" s="3283"/>
      <c r="BL285" s="3267" t="s">
        <v>3249</v>
      </c>
      <c r="BM285" s="3276" t="s">
        <v>2879</v>
      </c>
      <c r="BN285" s="3276" t="s">
        <v>3111</v>
      </c>
      <c r="BO285" s="3276" t="s">
        <v>3146</v>
      </c>
      <c r="BP285" s="3276"/>
      <c r="BQ285" s="3276">
        <v>6245</v>
      </c>
      <c r="BR285" s="3276">
        <v>7072</v>
      </c>
      <c r="BS285" s="3285"/>
      <c r="BT285" s="3285"/>
      <c r="BU285" s="3285"/>
      <c r="BV285" s="3262"/>
      <c r="BW285" s="3262"/>
      <c r="BX285" s="3262"/>
      <c r="BY285" s="3262"/>
      <c r="BZ285" s="3262"/>
      <c r="CA285" s="3262"/>
      <c r="CB285" s="3262"/>
      <c r="CC285" s="3262"/>
      <c r="CD285" s="3262"/>
      <c r="CE285" s="3262"/>
      <c r="CF285" s="3262"/>
      <c r="CG285" s="3262"/>
      <c r="CH285" s="3262"/>
      <c r="CI285" s="3262"/>
      <c r="CJ285" s="3262"/>
      <c r="CK285" s="3262"/>
      <c r="CL285" s="3262"/>
      <c r="CM285" s="3262"/>
      <c r="CN285" s="3262"/>
      <c r="CO285" s="3262"/>
      <c r="CP285" s="3262"/>
      <c r="CQ285" s="3262"/>
      <c r="CR285" s="3262"/>
      <c r="CS285" s="3262"/>
      <c r="CT285" s="3262"/>
      <c r="CU285" s="3262"/>
      <c r="CV285" s="3262"/>
      <c r="CW285" s="3262"/>
      <c r="CX285" s="3262"/>
      <c r="CY285" s="3262"/>
      <c r="CZ285" s="3262"/>
      <c r="DA285" s="3262"/>
      <c r="DB285" s="3262"/>
      <c r="DC285" s="3262"/>
      <c r="DD285" s="3262"/>
      <c r="DE285" s="3262"/>
      <c r="DF285" s="3262"/>
      <c r="DG285" s="3262"/>
      <c r="DH285" s="3262"/>
      <c r="DI285" s="3262"/>
      <c r="DJ285" s="3262"/>
      <c r="DK285" s="3262"/>
      <c r="DL285" s="3262"/>
      <c r="DM285" s="3262"/>
      <c r="DN285" s="3262"/>
      <c r="DO285" s="3262"/>
      <c r="DP285" s="3262"/>
      <c r="DQ285" s="3262"/>
      <c r="DR285" s="3262"/>
      <c r="DS285" s="3262"/>
      <c r="DT285" s="3262"/>
      <c r="DU285" s="3262"/>
      <c r="DV285" s="3262"/>
      <c r="DW285" s="3262"/>
      <c r="DX285" s="3262"/>
      <c r="DY285" s="3262"/>
      <c r="DZ285" s="3262"/>
      <c r="EA285" s="3262"/>
      <c r="EB285" s="3262"/>
      <c r="EC285" s="3262"/>
      <c r="ED285" s="3262"/>
      <c r="EE285" s="3262"/>
      <c r="EF285" s="3262"/>
      <c r="EG285" s="3262"/>
      <c r="EH285" s="3262"/>
      <c r="EI285" s="3262"/>
      <c r="EJ285" s="3262"/>
      <c r="EK285" s="3262"/>
      <c r="EL285" s="3262"/>
      <c r="EM285" s="3262"/>
      <c r="EN285" s="3262"/>
      <c r="EO285" s="3262"/>
      <c r="EP285" s="3262"/>
      <c r="EQ285" s="3262"/>
      <c r="ER285" s="3262"/>
      <c r="ES285" s="3262"/>
      <c r="ET285" s="3262"/>
      <c r="EU285" s="3262"/>
      <c r="EV285" s="3262"/>
      <c r="EW285" s="3262"/>
      <c r="EX285" s="3262"/>
      <c r="EY285" s="3262"/>
      <c r="EZ285" s="3262"/>
      <c r="FA285" s="3262"/>
      <c r="FB285" s="3262"/>
      <c r="FC285" s="3262"/>
      <c r="FD285" s="3262"/>
      <c r="FE285" s="3262"/>
      <c r="FF285" s="3262"/>
      <c r="FG285" s="3262"/>
      <c r="FH285" s="3262"/>
      <c r="FI285" s="3262"/>
      <c r="FJ285" s="3262"/>
      <c r="FK285" s="3262"/>
      <c r="FL285" s="3262"/>
      <c r="FM285" s="3262"/>
      <c r="FN285" s="3262"/>
      <c r="FO285" s="3262"/>
      <c r="FP285" s="3262"/>
      <c r="FQ285" s="3262"/>
      <c r="FR285" s="3262"/>
      <c r="FS285" s="3262"/>
      <c r="FT285" s="3262"/>
      <c r="FU285" s="3262"/>
      <c r="FV285" s="3262"/>
      <c r="FW285" s="3262"/>
      <c r="FX285" s="3262"/>
      <c r="FY285" s="3262"/>
      <c r="FZ285" s="3262"/>
      <c r="GA285" s="3262"/>
      <c r="GB285" s="3262"/>
      <c r="GC285" s="3262"/>
      <c r="GD285" s="3262"/>
      <c r="GE285" s="3262"/>
      <c r="GF285" s="3262"/>
      <c r="GG285" s="3262"/>
      <c r="GH285" s="3262"/>
      <c r="GI285" s="3262"/>
      <c r="GJ285" s="3262"/>
      <c r="GK285" s="3262"/>
      <c r="GL285" s="3262"/>
      <c r="GM285" s="3262"/>
      <c r="GN285" s="3262"/>
      <c r="GO285" s="3262"/>
      <c r="GP285" s="3262"/>
      <c r="GQ285" s="3262"/>
      <c r="GR285" s="3262"/>
      <c r="GS285" s="3262"/>
      <c r="GT285" s="3262"/>
      <c r="GU285" s="3262"/>
      <c r="GV285" s="3262"/>
      <c r="GW285" s="3262"/>
      <c r="GX285" s="3262"/>
      <c r="GY285" s="3262"/>
      <c r="GZ285" s="3262"/>
      <c r="HA285" s="3262"/>
      <c r="HB285" s="3262"/>
      <c r="HC285" s="3262"/>
      <c r="HD285" s="3262"/>
      <c r="HE285" s="3262"/>
      <c r="HF285" s="3262"/>
      <c r="HG285" s="3262"/>
      <c r="HH285" s="3262"/>
      <c r="HI285" s="3262"/>
      <c r="HJ285" s="3262"/>
      <c r="HK285" s="3262"/>
      <c r="HL285" s="3262"/>
      <c r="HM285" s="3262"/>
      <c r="HN285" s="3262"/>
      <c r="HO285" s="3262"/>
      <c r="HP285" s="3262"/>
      <c r="HQ285" s="3262"/>
      <c r="HR285" s="3262"/>
      <c r="HS285" s="3262"/>
      <c r="HT285" s="3262"/>
      <c r="HU285" s="3262"/>
      <c r="HV285" s="3262"/>
      <c r="HW285" s="3262"/>
      <c r="HX285" s="3262"/>
      <c r="HY285" s="3262"/>
      <c r="HZ285" s="3262"/>
      <c r="IA285" s="3262"/>
      <c r="IB285" s="3262"/>
      <c r="IC285" s="3262"/>
      <c r="ID285" s="3262"/>
      <c r="IE285" s="3262"/>
      <c r="IF285" s="3262"/>
      <c r="IG285" s="3262"/>
      <c r="IH285" s="3262"/>
      <c r="II285" s="3262"/>
    </row>
    <row r="286" spans="1:243" hidden="1">
      <c r="A286" s="3267" t="s">
        <v>5125</v>
      </c>
      <c r="B286" s="3267" t="s">
        <v>5126</v>
      </c>
      <c r="C286" s="3269" t="s">
        <v>5127</v>
      </c>
      <c r="D286" s="3269" t="s">
        <v>5128</v>
      </c>
      <c r="E286" s="3268" t="s">
        <v>2985</v>
      </c>
      <c r="F286" s="3268" t="s">
        <v>3821</v>
      </c>
      <c r="G286" s="3267" t="s">
        <v>3262</v>
      </c>
      <c r="H286" s="3268" t="s">
        <v>3822</v>
      </c>
      <c r="I286" s="3268"/>
      <c r="J286" s="3267" t="s">
        <v>5129</v>
      </c>
      <c r="K286" s="3267" t="s">
        <v>5130</v>
      </c>
      <c r="L286" s="3267">
        <v>84.49</v>
      </c>
      <c r="M286" s="3267">
        <v>9</v>
      </c>
      <c r="N286" s="3267" t="s">
        <v>3122</v>
      </c>
      <c r="O286" s="3267"/>
      <c r="P286" s="3267" t="s">
        <v>2963</v>
      </c>
      <c r="Q286" s="3271">
        <v>660000</v>
      </c>
      <c r="R286" s="3267">
        <v>7812</v>
      </c>
      <c r="S286" s="3272">
        <v>50.01</v>
      </c>
      <c r="T286" s="3273">
        <v>500100</v>
      </c>
      <c r="U286" s="3267">
        <v>5920</v>
      </c>
      <c r="V286" s="3289">
        <v>0.2</v>
      </c>
      <c r="W286" s="3272">
        <v>40</v>
      </c>
      <c r="X286" s="3275">
        <v>400000</v>
      </c>
      <c r="Y286" s="3276">
        <v>2006</v>
      </c>
      <c r="Z286" s="3276">
        <v>4</v>
      </c>
      <c r="AA286" s="3276">
        <v>28</v>
      </c>
      <c r="AB286" s="3267">
        <v>1500</v>
      </c>
      <c r="AC286" s="3267" t="s">
        <v>3480</v>
      </c>
      <c r="AD286" s="3267"/>
      <c r="AE286" s="3279" t="s">
        <v>3344</v>
      </c>
      <c r="AF286" s="3268" t="s">
        <v>2966</v>
      </c>
      <c r="AG286" s="3279" t="s">
        <v>2967</v>
      </c>
      <c r="AH286" s="3267" t="s">
        <v>3262</v>
      </c>
      <c r="AI286" s="3279" t="s">
        <v>2992</v>
      </c>
      <c r="AJ286" s="3284" t="s">
        <v>3262</v>
      </c>
      <c r="AK286" s="3278">
        <v>4</v>
      </c>
      <c r="AL286" s="3276">
        <v>67641700</v>
      </c>
      <c r="AM286" s="3276"/>
      <c r="AN286" s="3316" t="s">
        <v>2994</v>
      </c>
      <c r="AO286" s="3267"/>
      <c r="AP286" s="3279" t="s">
        <v>3305</v>
      </c>
      <c r="AQ286" s="3267" t="s">
        <v>3228</v>
      </c>
      <c r="AR286" s="3276"/>
      <c r="AS286" s="3276"/>
      <c r="AT286" s="3276"/>
      <c r="AU286" s="3276" t="s">
        <v>3262</v>
      </c>
      <c r="AV286" s="3276" t="s">
        <v>3262</v>
      </c>
      <c r="AW286" s="3276" t="s">
        <v>2997</v>
      </c>
      <c r="AX286" s="3276" t="s">
        <v>3262</v>
      </c>
      <c r="AY286" s="3291" t="s">
        <v>3262</v>
      </c>
      <c r="AZ286" s="3267" t="s">
        <v>5130</v>
      </c>
      <c r="BA286" s="3296" t="s">
        <v>3262</v>
      </c>
      <c r="BB286" s="3297" t="s">
        <v>3262</v>
      </c>
      <c r="BC286" s="3296" t="s">
        <v>3262</v>
      </c>
      <c r="BD286" s="3298" t="s">
        <v>3262</v>
      </c>
      <c r="BE286" s="3276">
        <v>13601018801</v>
      </c>
      <c r="BF286" s="3281" t="s">
        <v>3262</v>
      </c>
      <c r="BG286" s="3293">
        <v>38820</v>
      </c>
      <c r="BH286" s="3267" t="s">
        <v>2998</v>
      </c>
      <c r="BI286" s="3314" t="s">
        <v>5131</v>
      </c>
      <c r="BJ286" s="3283">
        <v>38821</v>
      </c>
      <c r="BK286" s="3283" t="s">
        <v>3262</v>
      </c>
      <c r="BL286" s="3267" t="s">
        <v>3249</v>
      </c>
      <c r="BM286" s="3276" t="s">
        <v>2879</v>
      </c>
      <c r="BN286" s="3276" t="s">
        <v>3111</v>
      </c>
      <c r="BO286" s="3276" t="s">
        <v>3146</v>
      </c>
      <c r="BP286" s="3276"/>
      <c r="BQ286" s="3276" t="e">
        <v>#DIV/0!</v>
      </c>
      <c r="BR286" s="3276" t="e">
        <v>#DIV/0!</v>
      </c>
      <c r="BS286" s="3285"/>
      <c r="BT286" s="3285"/>
      <c r="BU286" s="3285"/>
      <c r="BV286" s="3347"/>
      <c r="BW286" s="3347"/>
      <c r="BX286" s="3347"/>
      <c r="BY286" s="3347"/>
      <c r="BZ286" s="3347"/>
      <c r="CA286" s="3347"/>
      <c r="CB286" s="3347"/>
      <c r="CC286" s="3347"/>
      <c r="CD286" s="3347"/>
      <c r="CE286" s="3347"/>
      <c r="CF286" s="3347"/>
      <c r="CG286" s="3347"/>
      <c r="CH286" s="3347"/>
      <c r="CI286" s="3347"/>
      <c r="CJ286" s="3347"/>
      <c r="CK286" s="3347"/>
      <c r="CL286" s="3347"/>
      <c r="CM286" s="3347"/>
      <c r="CN286" s="3347"/>
      <c r="CO286" s="3347"/>
      <c r="CP286" s="3347"/>
      <c r="CQ286" s="3347"/>
      <c r="CR286" s="3347"/>
      <c r="CS286" s="3347"/>
      <c r="CT286" s="3347"/>
      <c r="CU286" s="3347"/>
      <c r="CV286" s="3347"/>
      <c r="CW286" s="3347"/>
      <c r="CX286" s="3347"/>
      <c r="CY286" s="3347"/>
      <c r="CZ286" s="3347"/>
      <c r="DA286" s="3347"/>
      <c r="DB286" s="3347"/>
      <c r="DC286" s="3347"/>
      <c r="DD286" s="3347"/>
      <c r="DE286" s="3347"/>
      <c r="DF286" s="3347"/>
      <c r="DG286" s="3347"/>
      <c r="DH286" s="3347"/>
      <c r="DI286" s="3347"/>
      <c r="DJ286" s="3347"/>
      <c r="DK286" s="3347"/>
      <c r="DL286" s="3347"/>
      <c r="DM286" s="3347"/>
      <c r="DN286" s="3347"/>
      <c r="DO286" s="3347"/>
      <c r="DP286" s="3347"/>
      <c r="DQ286" s="3347"/>
      <c r="DR286" s="3347"/>
      <c r="DS286" s="3347"/>
      <c r="DT286" s="3347"/>
      <c r="DU286" s="3347"/>
      <c r="DV286" s="3347"/>
      <c r="DW286" s="3347"/>
      <c r="DX286" s="3347"/>
      <c r="DY286" s="3347"/>
      <c r="DZ286" s="3347"/>
      <c r="EA286" s="3347"/>
      <c r="EB286" s="3347"/>
      <c r="EC286" s="3347"/>
      <c r="ED286" s="3347"/>
      <c r="EE286" s="3347"/>
      <c r="EF286" s="3347"/>
      <c r="EG286" s="3347"/>
      <c r="EH286" s="3347"/>
      <c r="EI286" s="3347"/>
      <c r="EJ286" s="3347"/>
      <c r="EK286" s="3347"/>
      <c r="EL286" s="3347"/>
      <c r="EM286" s="3347"/>
      <c r="EN286" s="3347"/>
      <c r="EO286" s="3347"/>
      <c r="EP286" s="3347"/>
      <c r="EQ286" s="3347"/>
      <c r="ER286" s="3347"/>
      <c r="ES286" s="3347"/>
      <c r="ET286" s="3347"/>
      <c r="EU286" s="3347"/>
      <c r="EV286" s="3347"/>
      <c r="EW286" s="3347"/>
      <c r="EX286" s="3347"/>
      <c r="EY286" s="3347"/>
      <c r="EZ286" s="3347"/>
      <c r="FA286" s="3347"/>
      <c r="FB286" s="3347"/>
      <c r="FC286" s="3347"/>
      <c r="FD286" s="3347"/>
      <c r="FE286" s="3347"/>
      <c r="FF286" s="3347"/>
      <c r="FG286" s="3347"/>
      <c r="FH286" s="3347"/>
      <c r="FI286" s="3347"/>
      <c r="FJ286" s="3347"/>
      <c r="FK286" s="3347"/>
      <c r="FL286" s="3347"/>
      <c r="FM286" s="3347"/>
      <c r="FN286" s="3347"/>
      <c r="FO286" s="3347"/>
      <c r="FP286" s="3347"/>
      <c r="FQ286" s="3347"/>
      <c r="FR286" s="3347"/>
      <c r="FS286" s="3347"/>
      <c r="FT286" s="3347"/>
      <c r="FU286" s="3347"/>
      <c r="FV286" s="3347"/>
      <c r="FW286" s="3347"/>
      <c r="FX286" s="3347"/>
      <c r="FY286" s="3347"/>
      <c r="FZ286" s="3347"/>
      <c r="GA286" s="3347"/>
      <c r="GB286" s="3347"/>
      <c r="GC286" s="3347"/>
      <c r="GD286" s="3347"/>
      <c r="GE286" s="3347"/>
      <c r="GF286" s="3347"/>
      <c r="GG286" s="3347"/>
      <c r="GH286" s="3347"/>
      <c r="GI286" s="3347"/>
      <c r="GJ286" s="3347"/>
      <c r="GK286" s="3347"/>
      <c r="GL286" s="3347"/>
      <c r="GM286" s="3347"/>
      <c r="GN286" s="3347"/>
      <c r="GO286" s="3347"/>
      <c r="GP286" s="3347"/>
      <c r="GQ286" s="3347"/>
      <c r="GR286" s="3347"/>
      <c r="GS286" s="3347"/>
      <c r="GT286" s="3347"/>
      <c r="GU286" s="3347"/>
      <c r="GV286" s="3347"/>
      <c r="GW286" s="3347"/>
      <c r="GX286" s="3347"/>
      <c r="GY286" s="3347"/>
      <c r="GZ286" s="3347"/>
      <c r="HA286" s="3347"/>
      <c r="HB286" s="3347"/>
      <c r="HC286" s="3347"/>
      <c r="HD286" s="3347"/>
      <c r="HE286" s="3347"/>
      <c r="HF286" s="3347"/>
      <c r="HG286" s="3347"/>
      <c r="HH286" s="3347"/>
      <c r="HI286" s="3347"/>
      <c r="HJ286" s="3347"/>
      <c r="HK286" s="3347"/>
      <c r="HL286" s="3347"/>
      <c r="HM286" s="3347"/>
      <c r="HN286" s="3347"/>
      <c r="HO286" s="3347"/>
      <c r="HP286" s="3347"/>
      <c r="HQ286" s="3347"/>
      <c r="HR286" s="3347"/>
      <c r="HS286" s="3347"/>
      <c r="HT286" s="3347"/>
      <c r="HU286" s="3347"/>
      <c r="HV286" s="3347"/>
      <c r="HW286" s="3347"/>
      <c r="HX286" s="3347"/>
      <c r="HY286" s="3347"/>
      <c r="HZ286" s="3347"/>
      <c r="IA286" s="3347"/>
      <c r="IB286" s="3347"/>
      <c r="IC286" s="3347"/>
      <c r="ID286" s="3347"/>
      <c r="IE286" s="3347"/>
      <c r="IF286" s="3347"/>
      <c r="IG286" s="3347"/>
      <c r="IH286" s="3347"/>
      <c r="II286" s="3347"/>
    </row>
    <row r="287" spans="1:243" hidden="1">
      <c r="A287" s="3267" t="s">
        <v>5132</v>
      </c>
      <c r="B287" s="3268" t="s">
        <v>5133</v>
      </c>
      <c r="C287" s="3280" t="s">
        <v>5134</v>
      </c>
      <c r="D287" s="3269" t="s">
        <v>5135</v>
      </c>
      <c r="E287" s="3268" t="s">
        <v>2985</v>
      </c>
      <c r="F287" s="3267" t="s">
        <v>3442</v>
      </c>
      <c r="G287" s="3267"/>
      <c r="H287" s="3270" t="s">
        <v>3402</v>
      </c>
      <c r="I287" s="3268" t="s">
        <v>3642</v>
      </c>
      <c r="J287" s="3269" t="s">
        <v>5136</v>
      </c>
      <c r="K287" s="3267" t="s">
        <v>5137</v>
      </c>
      <c r="L287" s="3267">
        <v>55.99</v>
      </c>
      <c r="M287" s="3267">
        <v>1</v>
      </c>
      <c r="N287" s="3267" t="s">
        <v>3152</v>
      </c>
      <c r="O287" s="3267"/>
      <c r="P287" s="3267" t="s">
        <v>2963</v>
      </c>
      <c r="Q287" s="3271">
        <v>430000</v>
      </c>
      <c r="R287" s="3267">
        <v>7680</v>
      </c>
      <c r="S287" s="3272">
        <v>35.11</v>
      </c>
      <c r="T287" s="3273">
        <v>351100</v>
      </c>
      <c r="U287" s="3267">
        <v>6271</v>
      </c>
      <c r="V287" s="3289">
        <v>0.2</v>
      </c>
      <c r="W287" s="3272">
        <v>28.08</v>
      </c>
      <c r="X287" s="3273">
        <v>280800</v>
      </c>
      <c r="Y287" s="3276">
        <v>2006</v>
      </c>
      <c r="Z287" s="3276">
        <v>4</v>
      </c>
      <c r="AA287" s="3276">
        <v>28</v>
      </c>
      <c r="AB287" s="3267">
        <v>1050</v>
      </c>
      <c r="AC287" s="3267" t="s">
        <v>3480</v>
      </c>
      <c r="AD287" s="3267"/>
      <c r="AE287" s="3268" t="s">
        <v>3304</v>
      </c>
      <c r="AF287" s="3268" t="s">
        <v>2966</v>
      </c>
      <c r="AG287" s="3279" t="s">
        <v>2967</v>
      </c>
      <c r="AH287" s="3267" t="s">
        <v>2968</v>
      </c>
      <c r="AI287" s="3268" t="s">
        <v>3295</v>
      </c>
      <c r="AJ287" s="3284"/>
      <c r="AK287" s="3278">
        <v>4</v>
      </c>
      <c r="AL287" s="3276">
        <v>67641700</v>
      </c>
      <c r="AM287" s="3276"/>
      <c r="AN287" s="3279" t="s">
        <v>2994</v>
      </c>
      <c r="AO287" s="3268"/>
      <c r="AP287" s="3268" t="s">
        <v>3305</v>
      </c>
      <c r="AQ287" s="3267" t="s">
        <v>3228</v>
      </c>
      <c r="AR287" s="3267"/>
      <c r="AS287" s="3267"/>
      <c r="AT287" s="3267"/>
      <c r="AU287" s="3267"/>
      <c r="AV287" s="3267" t="s">
        <v>2968</v>
      </c>
      <c r="AW287" s="3267" t="s">
        <v>3112</v>
      </c>
      <c r="AX287" s="3267"/>
      <c r="AY287" s="3269"/>
      <c r="AZ287" s="3267" t="s">
        <v>5137</v>
      </c>
      <c r="BA287" s="3267"/>
      <c r="BB287" s="3269"/>
      <c r="BC287" s="3267"/>
      <c r="BD287" s="3304"/>
      <c r="BE287" s="3267"/>
      <c r="BF287" s="3305"/>
      <c r="BG287" s="3293">
        <v>38797</v>
      </c>
      <c r="BH287" s="3356"/>
      <c r="BI287" s="3268" t="s">
        <v>3537</v>
      </c>
      <c r="BJ287" s="3293">
        <v>38821</v>
      </c>
      <c r="BK287" s="3303"/>
      <c r="BL287" s="3276" t="s">
        <v>2998</v>
      </c>
      <c r="BM287" s="3276" t="s">
        <v>2879</v>
      </c>
      <c r="BN287" s="3276" t="s">
        <v>3111</v>
      </c>
      <c r="BO287" s="3276" t="s">
        <v>3146</v>
      </c>
      <c r="BP287" s="3276"/>
      <c r="BQ287" s="3267" t="e">
        <v>#DIV/0!</v>
      </c>
      <c r="BR287" s="3267" t="e">
        <v>#DIV/0!</v>
      </c>
      <c r="BS287" s="3285"/>
      <c r="BT287" s="3285"/>
      <c r="BU287" s="3285"/>
      <c r="BV287" s="3262"/>
      <c r="BW287" s="3262"/>
      <c r="BX287" s="3262"/>
      <c r="BY287" s="3262"/>
      <c r="BZ287" s="3262"/>
      <c r="CA287" s="3262"/>
      <c r="CB287" s="3262"/>
      <c r="CC287" s="3262"/>
      <c r="CD287" s="3262"/>
      <c r="CE287" s="3262"/>
      <c r="CF287" s="3262"/>
      <c r="CG287" s="3262"/>
      <c r="CH287" s="3262"/>
      <c r="CI287" s="3262"/>
      <c r="CJ287" s="3262"/>
      <c r="CK287" s="3262"/>
      <c r="CL287" s="3262"/>
      <c r="CM287" s="3262"/>
      <c r="CN287" s="3262"/>
      <c r="CO287" s="3262"/>
      <c r="CP287" s="3262"/>
      <c r="CQ287" s="3262"/>
      <c r="CR287" s="3262"/>
      <c r="CS287" s="3262"/>
      <c r="CT287" s="3262"/>
      <c r="CU287" s="3262"/>
      <c r="CV287" s="3262"/>
      <c r="CW287" s="3262"/>
      <c r="CX287" s="3262"/>
      <c r="CY287" s="3262"/>
      <c r="CZ287" s="3262"/>
      <c r="DA287" s="3262"/>
      <c r="DB287" s="3262"/>
      <c r="DC287" s="3262"/>
      <c r="DD287" s="3262"/>
      <c r="DE287" s="3262"/>
      <c r="DF287" s="3262"/>
      <c r="DG287" s="3262"/>
      <c r="DH287" s="3262"/>
      <c r="DI287" s="3262"/>
      <c r="DJ287" s="3262"/>
      <c r="DK287" s="3262"/>
      <c r="DL287" s="3262"/>
      <c r="DM287" s="3262"/>
      <c r="DN287" s="3262"/>
      <c r="DO287" s="3262"/>
      <c r="DP287" s="3262"/>
      <c r="DQ287" s="3262"/>
      <c r="DR287" s="3262"/>
      <c r="DS287" s="3262"/>
      <c r="DT287" s="3262"/>
      <c r="DU287" s="3262"/>
      <c r="DV287" s="3262"/>
      <c r="DW287" s="3262"/>
      <c r="DX287" s="3262"/>
      <c r="DY287" s="3262"/>
      <c r="DZ287" s="3262"/>
      <c r="EA287" s="3262"/>
      <c r="EB287" s="3262"/>
      <c r="EC287" s="3262"/>
      <c r="ED287" s="3262"/>
      <c r="EE287" s="3262"/>
      <c r="EF287" s="3262"/>
      <c r="EG287" s="3262"/>
      <c r="EH287" s="3262"/>
      <c r="EI287" s="3262"/>
      <c r="EJ287" s="3262"/>
      <c r="EK287" s="3262"/>
      <c r="EL287" s="3262"/>
      <c r="EM287" s="3262"/>
      <c r="EN287" s="3262"/>
      <c r="EO287" s="3262"/>
      <c r="EP287" s="3262"/>
      <c r="EQ287" s="3262"/>
      <c r="ER287" s="3262"/>
      <c r="ES287" s="3262"/>
      <c r="ET287" s="3262"/>
      <c r="EU287" s="3262"/>
      <c r="EV287" s="3262"/>
      <c r="EW287" s="3262"/>
      <c r="EX287" s="3262"/>
      <c r="EY287" s="3262"/>
      <c r="EZ287" s="3262"/>
      <c r="FA287" s="3262"/>
      <c r="FB287" s="3262"/>
      <c r="FC287" s="3262"/>
      <c r="FD287" s="3262"/>
      <c r="FE287" s="3262"/>
      <c r="FF287" s="3262"/>
      <c r="FG287" s="3262"/>
      <c r="FH287" s="3262"/>
      <c r="FI287" s="3262"/>
      <c r="FJ287" s="3262"/>
      <c r="FK287" s="3262"/>
      <c r="FL287" s="3262"/>
      <c r="FM287" s="3262"/>
      <c r="FN287" s="3262"/>
      <c r="FO287" s="3262"/>
      <c r="FP287" s="3262"/>
      <c r="FQ287" s="3262"/>
      <c r="FR287" s="3262"/>
      <c r="FS287" s="3262"/>
      <c r="FT287" s="3262"/>
      <c r="FU287" s="3262"/>
      <c r="FV287" s="3262"/>
      <c r="FW287" s="3262"/>
      <c r="FX287" s="3262"/>
      <c r="FY287" s="3262"/>
      <c r="FZ287" s="3262"/>
      <c r="GA287" s="3262"/>
      <c r="GB287" s="3262"/>
      <c r="GC287" s="3262"/>
      <c r="GD287" s="3262"/>
      <c r="GE287" s="3262"/>
      <c r="GF287" s="3262"/>
      <c r="GG287" s="3262"/>
      <c r="GH287" s="3262"/>
      <c r="GI287" s="3262"/>
      <c r="GJ287" s="3262"/>
      <c r="GK287" s="3262"/>
      <c r="GL287" s="3262"/>
      <c r="GM287" s="3262"/>
      <c r="GN287" s="3262"/>
      <c r="GO287" s="3262"/>
      <c r="GP287" s="3262"/>
      <c r="GQ287" s="3262"/>
      <c r="GR287" s="3262"/>
      <c r="GS287" s="3262"/>
      <c r="GT287" s="3262"/>
      <c r="GU287" s="3262"/>
      <c r="GV287" s="3262"/>
      <c r="GW287" s="3262"/>
      <c r="GX287" s="3262"/>
      <c r="GY287" s="3262"/>
      <c r="GZ287" s="3262"/>
      <c r="HA287" s="3262"/>
      <c r="HB287" s="3262"/>
      <c r="HC287" s="3262"/>
      <c r="HD287" s="3262"/>
      <c r="HE287" s="3262"/>
      <c r="HF287" s="3262"/>
      <c r="HG287" s="3262"/>
      <c r="HH287" s="3262"/>
      <c r="HI287" s="3262"/>
      <c r="HJ287" s="3262"/>
      <c r="HK287" s="3262"/>
      <c r="HL287" s="3262"/>
      <c r="HM287" s="3262"/>
      <c r="HN287" s="3262"/>
      <c r="HO287" s="3262"/>
      <c r="HP287" s="3262"/>
      <c r="HQ287" s="3262"/>
      <c r="HR287" s="3262"/>
      <c r="HS287" s="3262"/>
      <c r="HT287" s="3262"/>
      <c r="HU287" s="3262"/>
      <c r="HV287" s="3262"/>
      <c r="HW287" s="3262"/>
      <c r="HX287" s="3262"/>
      <c r="HY287" s="3262"/>
      <c r="HZ287" s="3262"/>
      <c r="IA287" s="3262"/>
      <c r="IB287" s="3262"/>
      <c r="IC287" s="3262"/>
      <c r="ID287" s="3262"/>
      <c r="IE287" s="3262"/>
      <c r="IF287" s="3262"/>
      <c r="IG287" s="3262"/>
      <c r="IH287" s="3262"/>
      <c r="II287" s="3262"/>
    </row>
    <row r="288" spans="1:243" hidden="1">
      <c r="A288" s="3267" t="s">
        <v>5138</v>
      </c>
      <c r="B288" s="3267" t="s">
        <v>5139</v>
      </c>
      <c r="C288" s="3269" t="s">
        <v>5140</v>
      </c>
      <c r="D288" s="3269" t="s">
        <v>5141</v>
      </c>
      <c r="E288" s="3268" t="s">
        <v>2985</v>
      </c>
      <c r="F288" s="3268" t="s">
        <v>5142</v>
      </c>
      <c r="G288" s="3267"/>
      <c r="H288" s="3267" t="s">
        <v>3178</v>
      </c>
      <c r="I288" s="3268"/>
      <c r="J288" s="3267" t="s">
        <v>5143</v>
      </c>
      <c r="K288" s="3267" t="s">
        <v>5139</v>
      </c>
      <c r="L288" s="3267">
        <v>108.2</v>
      </c>
      <c r="M288" s="3267">
        <v>14</v>
      </c>
      <c r="N288" s="3267" t="s">
        <v>3098</v>
      </c>
      <c r="O288" s="3267"/>
      <c r="P288" s="3267" t="s">
        <v>2963</v>
      </c>
      <c r="Q288" s="3271">
        <v>550000</v>
      </c>
      <c r="R288" s="3267">
        <v>5083</v>
      </c>
      <c r="S288" s="3272">
        <v>63.49</v>
      </c>
      <c r="T288" s="3273">
        <v>634900</v>
      </c>
      <c r="U288" s="3267">
        <v>5868</v>
      </c>
      <c r="V288" s="3289">
        <v>0.2</v>
      </c>
      <c r="W288" s="3272">
        <v>50.79</v>
      </c>
      <c r="X288" s="3275">
        <v>507900</v>
      </c>
      <c r="Y288" s="3276">
        <v>2006</v>
      </c>
      <c r="Z288" s="3276">
        <v>5</v>
      </c>
      <c r="AA288" s="3276">
        <v>24</v>
      </c>
      <c r="AB288" s="3267">
        <v>1500</v>
      </c>
      <c r="AC288" s="3267" t="s">
        <v>3444</v>
      </c>
      <c r="AD288" s="3267"/>
      <c r="AE288" s="3279" t="s">
        <v>3344</v>
      </c>
      <c r="AF288" s="3268" t="s">
        <v>2966</v>
      </c>
      <c r="AG288" s="3279" t="s">
        <v>2967</v>
      </c>
      <c r="AH288" s="3267" t="s">
        <v>2968</v>
      </c>
      <c r="AI288" s="3279" t="s">
        <v>2992</v>
      </c>
      <c r="AJ288" s="3284"/>
      <c r="AK288" s="3278">
        <v>5</v>
      </c>
      <c r="AL288" s="3276">
        <v>67641700</v>
      </c>
      <c r="AM288" s="3276"/>
      <c r="AN288" s="3279" t="s">
        <v>3114</v>
      </c>
      <c r="AO288" s="3267"/>
      <c r="AP288" s="3279" t="s">
        <v>3305</v>
      </c>
      <c r="AQ288" s="3276" t="s">
        <v>3113</v>
      </c>
      <c r="AR288" s="3276"/>
      <c r="AS288" s="3276"/>
      <c r="AT288" s="3276"/>
      <c r="AU288" s="3276"/>
      <c r="AV288" s="3276"/>
      <c r="AW288" s="3276" t="s">
        <v>2997</v>
      </c>
      <c r="AX288" s="3276"/>
      <c r="AY288" s="3291"/>
      <c r="AZ288" s="3267" t="s">
        <v>5144</v>
      </c>
      <c r="BA288" s="3296"/>
      <c r="BB288" s="3297"/>
      <c r="BC288" s="3296"/>
      <c r="BD288" s="3298"/>
      <c r="BE288" s="3276">
        <v>13601008336</v>
      </c>
      <c r="BF288" s="3281"/>
      <c r="BG288" s="3293">
        <v>38793</v>
      </c>
      <c r="BH288" s="3267" t="s">
        <v>2998</v>
      </c>
      <c r="BI288" s="3314" t="s">
        <v>3305</v>
      </c>
      <c r="BJ288" s="3283">
        <v>38825</v>
      </c>
      <c r="BK288" s="3283"/>
      <c r="BL288" s="3267" t="s">
        <v>3249</v>
      </c>
      <c r="BM288" s="3267" t="s">
        <v>5145</v>
      </c>
      <c r="BN288" s="3276" t="s">
        <v>3111</v>
      </c>
      <c r="BO288" s="3276" t="s">
        <v>3146</v>
      </c>
      <c r="BP288" s="3276"/>
      <c r="BQ288" s="3276" t="e">
        <v>#DIV/0!</v>
      </c>
      <c r="BR288" s="3276" t="e">
        <v>#DIV/0!</v>
      </c>
      <c r="BS288" s="3285"/>
      <c r="BT288" s="3285"/>
      <c r="BU288" s="3285"/>
      <c r="BV288" s="3347"/>
      <c r="BW288" s="3347"/>
      <c r="BX288" s="3347"/>
      <c r="BY288" s="3347"/>
      <c r="BZ288" s="3347"/>
      <c r="CA288" s="3347"/>
      <c r="CB288" s="3347"/>
      <c r="CC288" s="3347"/>
      <c r="CD288" s="3347"/>
      <c r="CE288" s="3347"/>
      <c r="CF288" s="3347"/>
      <c r="CG288" s="3347"/>
      <c r="CH288" s="3347"/>
      <c r="CI288" s="3347"/>
      <c r="CJ288" s="3347"/>
      <c r="CK288" s="3347"/>
      <c r="CL288" s="3347"/>
      <c r="CM288" s="3347"/>
      <c r="CN288" s="3347"/>
      <c r="CO288" s="3347"/>
      <c r="CP288" s="3347"/>
      <c r="CQ288" s="3347"/>
      <c r="CR288" s="3347"/>
      <c r="CS288" s="3347"/>
      <c r="CT288" s="3347"/>
      <c r="CU288" s="3347"/>
      <c r="CV288" s="3347"/>
      <c r="CW288" s="3347"/>
      <c r="CX288" s="3347"/>
      <c r="CY288" s="3347"/>
      <c r="CZ288" s="3347"/>
      <c r="DA288" s="3347"/>
      <c r="DB288" s="3347"/>
      <c r="DC288" s="3347"/>
      <c r="DD288" s="3347"/>
      <c r="DE288" s="3347"/>
      <c r="DF288" s="3347"/>
      <c r="DG288" s="3347"/>
      <c r="DH288" s="3347"/>
      <c r="DI288" s="3347"/>
      <c r="DJ288" s="3347"/>
      <c r="DK288" s="3347"/>
      <c r="DL288" s="3347"/>
      <c r="DM288" s="3347"/>
      <c r="DN288" s="3347"/>
      <c r="DO288" s="3347"/>
      <c r="DP288" s="3347"/>
      <c r="DQ288" s="3347"/>
      <c r="DR288" s="3347"/>
      <c r="DS288" s="3347"/>
      <c r="DT288" s="3347"/>
      <c r="DU288" s="3347"/>
      <c r="DV288" s="3347"/>
      <c r="DW288" s="3347"/>
      <c r="DX288" s="3347"/>
      <c r="DY288" s="3347"/>
      <c r="DZ288" s="3347"/>
      <c r="EA288" s="3347"/>
      <c r="EB288" s="3347"/>
      <c r="EC288" s="3347"/>
      <c r="ED288" s="3347"/>
      <c r="EE288" s="3347"/>
      <c r="EF288" s="3347"/>
      <c r="EG288" s="3347"/>
      <c r="EH288" s="3347"/>
      <c r="EI288" s="3347"/>
      <c r="EJ288" s="3347"/>
      <c r="EK288" s="3347"/>
      <c r="EL288" s="3347"/>
      <c r="EM288" s="3347"/>
      <c r="EN288" s="3347"/>
      <c r="EO288" s="3347"/>
      <c r="EP288" s="3347"/>
      <c r="EQ288" s="3347"/>
      <c r="ER288" s="3347"/>
      <c r="ES288" s="3347"/>
      <c r="ET288" s="3347"/>
      <c r="EU288" s="3347"/>
      <c r="EV288" s="3347"/>
      <c r="EW288" s="3347"/>
      <c r="EX288" s="3347"/>
      <c r="EY288" s="3347"/>
      <c r="EZ288" s="3347"/>
      <c r="FA288" s="3347"/>
      <c r="FB288" s="3347"/>
      <c r="FC288" s="3347"/>
      <c r="FD288" s="3347"/>
      <c r="FE288" s="3347"/>
      <c r="FF288" s="3347"/>
      <c r="FG288" s="3347"/>
      <c r="FH288" s="3347"/>
      <c r="FI288" s="3347"/>
      <c r="FJ288" s="3347"/>
      <c r="FK288" s="3347"/>
      <c r="FL288" s="3347"/>
      <c r="FM288" s="3347"/>
      <c r="FN288" s="3347"/>
      <c r="FO288" s="3347"/>
      <c r="FP288" s="3347"/>
      <c r="FQ288" s="3347"/>
      <c r="FR288" s="3347"/>
      <c r="FS288" s="3347"/>
      <c r="FT288" s="3347"/>
      <c r="FU288" s="3347"/>
      <c r="FV288" s="3347"/>
      <c r="FW288" s="3347"/>
      <c r="FX288" s="3347"/>
      <c r="FY288" s="3347"/>
      <c r="FZ288" s="3347"/>
      <c r="GA288" s="3347"/>
      <c r="GB288" s="3347"/>
      <c r="GC288" s="3347"/>
      <c r="GD288" s="3347"/>
      <c r="GE288" s="3347"/>
      <c r="GF288" s="3347"/>
      <c r="GG288" s="3347"/>
      <c r="GH288" s="3347"/>
      <c r="GI288" s="3347"/>
      <c r="GJ288" s="3347"/>
      <c r="GK288" s="3347"/>
      <c r="GL288" s="3347"/>
      <c r="GM288" s="3347"/>
      <c r="GN288" s="3347"/>
      <c r="GO288" s="3347"/>
      <c r="GP288" s="3347"/>
      <c r="GQ288" s="3347"/>
      <c r="GR288" s="3347"/>
      <c r="GS288" s="3347"/>
      <c r="GT288" s="3347"/>
      <c r="GU288" s="3347"/>
      <c r="GV288" s="3347"/>
      <c r="GW288" s="3347"/>
      <c r="GX288" s="3347"/>
      <c r="GY288" s="3347"/>
      <c r="GZ288" s="3347"/>
      <c r="HA288" s="3347"/>
      <c r="HB288" s="3347"/>
      <c r="HC288" s="3347"/>
      <c r="HD288" s="3347"/>
      <c r="HE288" s="3347"/>
      <c r="HF288" s="3347"/>
      <c r="HG288" s="3347"/>
      <c r="HH288" s="3347"/>
      <c r="HI288" s="3347"/>
      <c r="HJ288" s="3347"/>
      <c r="HK288" s="3347"/>
      <c r="HL288" s="3347"/>
      <c r="HM288" s="3347"/>
      <c r="HN288" s="3347"/>
      <c r="HO288" s="3347"/>
      <c r="HP288" s="3347"/>
      <c r="HQ288" s="3347"/>
      <c r="HR288" s="3347"/>
      <c r="HS288" s="3347"/>
      <c r="HT288" s="3347"/>
      <c r="HU288" s="3347"/>
      <c r="HV288" s="3347"/>
      <c r="HW288" s="3347"/>
      <c r="HX288" s="3347"/>
      <c r="HY288" s="3347"/>
      <c r="HZ288" s="3347"/>
      <c r="IA288" s="3347"/>
      <c r="IB288" s="3347"/>
      <c r="IC288" s="3347"/>
      <c r="ID288" s="3347"/>
      <c r="IE288" s="3347"/>
      <c r="IF288" s="3347"/>
      <c r="IG288" s="3347"/>
      <c r="IH288" s="3347"/>
      <c r="II288" s="3347"/>
    </row>
    <row r="289" spans="1:243" hidden="1">
      <c r="A289" s="3269" t="s">
        <v>5146</v>
      </c>
      <c r="B289" s="3269" t="s">
        <v>5147</v>
      </c>
      <c r="C289" s="3269" t="s">
        <v>5148</v>
      </c>
      <c r="D289" s="3269" t="s">
        <v>5149</v>
      </c>
      <c r="E289" s="3269" t="s">
        <v>2985</v>
      </c>
      <c r="F289" s="3269" t="s">
        <v>5150</v>
      </c>
      <c r="G289" s="3269"/>
      <c r="H289" s="3269" t="s">
        <v>5151</v>
      </c>
      <c r="I289" s="3269"/>
      <c r="J289" s="3269" t="s">
        <v>5152</v>
      </c>
      <c r="K289" s="3269" t="s">
        <v>5147</v>
      </c>
      <c r="L289" s="3269">
        <v>68.72</v>
      </c>
      <c r="M289" s="3269">
        <v>23</v>
      </c>
      <c r="N289" s="3269" t="s">
        <v>3122</v>
      </c>
      <c r="O289" s="3269"/>
      <c r="P289" s="3269" t="s">
        <v>2963</v>
      </c>
      <c r="Q289" s="3269">
        <v>360000</v>
      </c>
      <c r="R289" s="3269">
        <v>5239</v>
      </c>
      <c r="S289" s="3269">
        <v>35.880000000000003</v>
      </c>
      <c r="T289" s="3269" t="s">
        <v>5153</v>
      </c>
      <c r="U289" s="3269">
        <v>5222</v>
      </c>
      <c r="V289" s="3274">
        <v>0.2</v>
      </c>
      <c r="W289" s="3269">
        <v>28.7</v>
      </c>
      <c r="X289" s="3269" t="s">
        <v>5154</v>
      </c>
      <c r="Y289" s="3269">
        <v>2006</v>
      </c>
      <c r="Z289" s="3269">
        <v>4</v>
      </c>
      <c r="AA289" s="3269">
        <v>24</v>
      </c>
      <c r="AB289" s="3269">
        <v>1075</v>
      </c>
      <c r="AC289" s="3269" t="s">
        <v>3444</v>
      </c>
      <c r="AD289" s="3269"/>
      <c r="AE289" s="3269" t="s">
        <v>3304</v>
      </c>
      <c r="AF289" s="3269" t="s">
        <v>2966</v>
      </c>
      <c r="AG289" s="3269" t="s">
        <v>2967</v>
      </c>
      <c r="AH289" s="3269"/>
      <c r="AI289" s="3269" t="s">
        <v>2992</v>
      </c>
      <c r="AJ289" s="3269"/>
      <c r="AK289" s="3269" t="s">
        <v>2994</v>
      </c>
      <c r="AL289" s="3269">
        <v>67641700</v>
      </c>
      <c r="AM289" s="3269"/>
      <c r="AN289" s="3269" t="s">
        <v>3114</v>
      </c>
      <c r="AO289" s="3269"/>
      <c r="AP289" s="3269" t="s">
        <v>3305</v>
      </c>
      <c r="AQ289" s="3269" t="s">
        <v>3113</v>
      </c>
      <c r="AR289" s="3269"/>
      <c r="AS289" s="3269"/>
      <c r="AT289" s="3269"/>
      <c r="AU289" s="3269"/>
      <c r="AV289" s="3269"/>
      <c r="AW289" s="3269" t="s">
        <v>2997</v>
      </c>
      <c r="AX289" s="3269"/>
      <c r="AY289" s="3269"/>
      <c r="AZ289" s="3269" t="s">
        <v>5155</v>
      </c>
      <c r="BA289" s="3269"/>
      <c r="BB289" s="3269"/>
      <c r="BC289" s="3269"/>
      <c r="BD289" s="3269"/>
      <c r="BE289" s="3269"/>
      <c r="BF289" s="3269"/>
      <c r="BG289" s="3307">
        <v>38792</v>
      </c>
      <c r="BH289" s="3269"/>
      <c r="BI289" s="3269" t="s">
        <v>2991</v>
      </c>
      <c r="BJ289" s="3283">
        <v>38825</v>
      </c>
      <c r="BK289" s="3269"/>
      <c r="BL289" s="3269" t="s">
        <v>2998</v>
      </c>
      <c r="BM289" s="3269" t="s">
        <v>2879</v>
      </c>
      <c r="BN289" s="3269" t="s">
        <v>3111</v>
      </c>
      <c r="BO289" s="3269" t="s">
        <v>3146</v>
      </c>
      <c r="BP289" s="3269"/>
      <c r="BQ289" s="3269" t="e">
        <v>#DIV/0!</v>
      </c>
      <c r="BR289" s="3269" t="e">
        <v>#DIV/0!</v>
      </c>
      <c r="BS289" s="3285"/>
      <c r="BT289" s="3285"/>
      <c r="BU289" s="3285"/>
      <c r="BV289" s="3347"/>
      <c r="BW289" s="3347"/>
      <c r="BX289" s="3347"/>
      <c r="BY289" s="3347"/>
      <c r="BZ289" s="3347"/>
      <c r="CA289" s="3347"/>
      <c r="CB289" s="3347"/>
      <c r="CC289" s="3347"/>
      <c r="CD289" s="3347"/>
      <c r="CE289" s="3347"/>
      <c r="CF289" s="3347"/>
      <c r="CG289" s="3347"/>
      <c r="CH289" s="3347"/>
      <c r="CI289" s="3347"/>
      <c r="CJ289" s="3347"/>
      <c r="CK289" s="3347"/>
      <c r="CL289" s="3347"/>
      <c r="CM289" s="3347"/>
      <c r="CN289" s="3347"/>
      <c r="CO289" s="3347"/>
      <c r="CP289" s="3347"/>
      <c r="CQ289" s="3347"/>
      <c r="CR289" s="3347"/>
      <c r="CS289" s="3347"/>
      <c r="CT289" s="3347"/>
      <c r="CU289" s="3347"/>
      <c r="CV289" s="3347"/>
      <c r="CW289" s="3347"/>
      <c r="CX289" s="3347"/>
      <c r="CY289" s="3347"/>
      <c r="CZ289" s="3347"/>
      <c r="DA289" s="3347"/>
      <c r="DB289" s="3347"/>
      <c r="DC289" s="3347"/>
      <c r="DD289" s="3347"/>
      <c r="DE289" s="3347"/>
      <c r="DF289" s="3347"/>
      <c r="DG289" s="3347"/>
      <c r="DH289" s="3347"/>
      <c r="DI289" s="3347"/>
      <c r="DJ289" s="3347"/>
      <c r="DK289" s="3347"/>
      <c r="DL289" s="3347"/>
      <c r="DM289" s="3347"/>
      <c r="DN289" s="3347"/>
      <c r="DO289" s="3347"/>
      <c r="DP289" s="3347"/>
      <c r="DQ289" s="3347"/>
      <c r="DR289" s="3347"/>
      <c r="DS289" s="3347"/>
      <c r="DT289" s="3347"/>
      <c r="DU289" s="3347"/>
      <c r="DV289" s="3347"/>
      <c r="DW289" s="3347"/>
      <c r="DX289" s="3347"/>
      <c r="DY289" s="3347"/>
      <c r="DZ289" s="3347"/>
      <c r="EA289" s="3347"/>
      <c r="EB289" s="3347"/>
      <c r="EC289" s="3347"/>
      <c r="ED289" s="3347"/>
      <c r="EE289" s="3347"/>
      <c r="EF289" s="3347"/>
      <c r="EG289" s="3347"/>
      <c r="EH289" s="3347"/>
      <c r="EI289" s="3347"/>
      <c r="EJ289" s="3347"/>
      <c r="EK289" s="3347"/>
      <c r="EL289" s="3347"/>
      <c r="EM289" s="3347"/>
      <c r="EN289" s="3347"/>
      <c r="EO289" s="3347"/>
      <c r="EP289" s="3347"/>
      <c r="EQ289" s="3347"/>
      <c r="ER289" s="3347"/>
      <c r="ES289" s="3347"/>
      <c r="ET289" s="3347"/>
      <c r="EU289" s="3347"/>
      <c r="EV289" s="3347"/>
      <c r="EW289" s="3347"/>
      <c r="EX289" s="3347"/>
      <c r="EY289" s="3347"/>
      <c r="EZ289" s="3347"/>
      <c r="FA289" s="3347"/>
      <c r="FB289" s="3347"/>
      <c r="FC289" s="3347"/>
      <c r="FD289" s="3347"/>
      <c r="FE289" s="3347"/>
      <c r="FF289" s="3347"/>
      <c r="FG289" s="3347"/>
      <c r="FH289" s="3347"/>
      <c r="FI289" s="3347"/>
      <c r="FJ289" s="3347"/>
      <c r="FK289" s="3347"/>
      <c r="FL289" s="3347"/>
      <c r="FM289" s="3347"/>
      <c r="FN289" s="3347"/>
      <c r="FO289" s="3347"/>
      <c r="FP289" s="3347"/>
      <c r="FQ289" s="3347"/>
      <c r="FR289" s="3347"/>
      <c r="FS289" s="3347"/>
      <c r="FT289" s="3347"/>
      <c r="FU289" s="3347"/>
      <c r="FV289" s="3347"/>
      <c r="FW289" s="3347"/>
      <c r="FX289" s="3347"/>
      <c r="FY289" s="3347"/>
      <c r="FZ289" s="3347"/>
      <c r="GA289" s="3347"/>
      <c r="GB289" s="3347"/>
      <c r="GC289" s="3347"/>
      <c r="GD289" s="3347"/>
      <c r="GE289" s="3347"/>
      <c r="GF289" s="3347"/>
      <c r="GG289" s="3347"/>
      <c r="GH289" s="3347"/>
      <c r="GI289" s="3347"/>
      <c r="GJ289" s="3347"/>
      <c r="GK289" s="3347"/>
      <c r="GL289" s="3347"/>
      <c r="GM289" s="3347"/>
      <c r="GN289" s="3347"/>
      <c r="GO289" s="3347"/>
      <c r="GP289" s="3347"/>
      <c r="GQ289" s="3347"/>
      <c r="GR289" s="3347"/>
      <c r="GS289" s="3347"/>
      <c r="GT289" s="3347"/>
      <c r="GU289" s="3347"/>
      <c r="GV289" s="3347"/>
      <c r="GW289" s="3347"/>
      <c r="GX289" s="3347"/>
      <c r="GY289" s="3347"/>
      <c r="GZ289" s="3347"/>
      <c r="HA289" s="3347"/>
      <c r="HB289" s="3347"/>
      <c r="HC289" s="3347"/>
      <c r="HD289" s="3347"/>
      <c r="HE289" s="3347"/>
      <c r="HF289" s="3347"/>
      <c r="HG289" s="3347"/>
      <c r="HH289" s="3347"/>
      <c r="HI289" s="3347"/>
      <c r="HJ289" s="3347"/>
      <c r="HK289" s="3347"/>
      <c r="HL289" s="3347"/>
      <c r="HM289" s="3347"/>
      <c r="HN289" s="3347"/>
      <c r="HO289" s="3347"/>
      <c r="HP289" s="3347"/>
      <c r="HQ289" s="3347"/>
      <c r="HR289" s="3347"/>
      <c r="HS289" s="3347"/>
      <c r="HT289" s="3347"/>
      <c r="HU289" s="3347"/>
      <c r="HV289" s="3347"/>
      <c r="HW289" s="3347"/>
      <c r="HX289" s="3347"/>
      <c r="HY289" s="3347"/>
      <c r="HZ289" s="3347"/>
      <c r="IA289" s="3347"/>
      <c r="IB289" s="3347"/>
      <c r="IC289" s="3347"/>
      <c r="ID289" s="3347"/>
      <c r="IE289" s="3347"/>
      <c r="IF289" s="3347"/>
      <c r="IG289" s="3347"/>
      <c r="IH289" s="3347"/>
      <c r="II289" s="3347"/>
    </row>
    <row r="290" spans="1:243" hidden="1">
      <c r="A290" s="3267" t="s">
        <v>5156</v>
      </c>
      <c r="B290" s="3268" t="s">
        <v>5157</v>
      </c>
      <c r="C290" s="3269" t="s">
        <v>5158</v>
      </c>
      <c r="D290" s="3267" t="s">
        <v>5159</v>
      </c>
      <c r="E290" s="3267" t="s">
        <v>2985</v>
      </c>
      <c r="F290" s="3267" t="s">
        <v>3777</v>
      </c>
      <c r="G290" s="3267"/>
      <c r="H290" s="3267" t="s">
        <v>3169</v>
      </c>
      <c r="I290" s="3267" t="s">
        <v>2968</v>
      </c>
      <c r="J290" s="3267" t="s">
        <v>5160</v>
      </c>
      <c r="K290" s="3268" t="s">
        <v>5157</v>
      </c>
      <c r="L290" s="3267">
        <v>75.05</v>
      </c>
      <c r="M290" s="3267">
        <v>7</v>
      </c>
      <c r="N290" s="3267" t="s">
        <v>3125</v>
      </c>
      <c r="O290" s="3267"/>
      <c r="P290" s="3267" t="s">
        <v>2963</v>
      </c>
      <c r="Q290" s="3267">
        <v>490000</v>
      </c>
      <c r="R290" s="3267">
        <v>6529</v>
      </c>
      <c r="S290" s="3272">
        <v>40.520000000000003</v>
      </c>
      <c r="T290" s="3273">
        <v>405200.00000000006</v>
      </c>
      <c r="U290" s="3267">
        <v>5400</v>
      </c>
      <c r="V290" s="3274">
        <v>0.2</v>
      </c>
      <c r="W290" s="3272">
        <v>32.409999999999997</v>
      </c>
      <c r="X290" s="3275">
        <v>324099.99999999994</v>
      </c>
      <c r="Y290" s="3267">
        <v>2006</v>
      </c>
      <c r="Z290" s="3267">
        <v>4</v>
      </c>
      <c r="AA290" s="3276">
        <v>24</v>
      </c>
      <c r="AB290" s="3267">
        <v>1215</v>
      </c>
      <c r="AC290" s="3267" t="s">
        <v>3227</v>
      </c>
      <c r="AD290" s="3267"/>
      <c r="AE290" s="3276" t="s">
        <v>3245</v>
      </c>
      <c r="AF290" s="3267" t="s">
        <v>2966</v>
      </c>
      <c r="AG290" s="3267" t="s">
        <v>2967</v>
      </c>
      <c r="AH290" s="3267"/>
      <c r="AI290" s="3267" t="s">
        <v>2992</v>
      </c>
      <c r="AJ290" s="3284"/>
      <c r="AK290" s="3267" t="s">
        <v>2994</v>
      </c>
      <c r="AL290" s="3267">
        <v>67641700</v>
      </c>
      <c r="AM290" s="3267"/>
      <c r="AN290" s="3267" t="s">
        <v>2994</v>
      </c>
      <c r="AO290" s="3267"/>
      <c r="AP290" s="3267" t="s">
        <v>3342</v>
      </c>
      <c r="AQ290" s="3276" t="s">
        <v>3113</v>
      </c>
      <c r="AR290" s="3267"/>
      <c r="AS290" s="3267"/>
      <c r="AT290" s="3267"/>
      <c r="AU290" s="3267"/>
      <c r="AV290" s="3267"/>
      <c r="AW290" s="3267" t="s">
        <v>2997</v>
      </c>
      <c r="AX290" s="3267"/>
      <c r="AY290" s="3269"/>
      <c r="AZ290" s="3268" t="s">
        <v>5161</v>
      </c>
      <c r="BA290" s="3267"/>
      <c r="BB290" s="3267"/>
      <c r="BC290" s="3267"/>
      <c r="BD290" s="3267"/>
      <c r="BE290" s="3267"/>
      <c r="BF290" s="3267"/>
      <c r="BG290" s="3307">
        <v>38805</v>
      </c>
      <c r="BH290" s="3267" t="s">
        <v>2998</v>
      </c>
      <c r="BI290" s="3276" t="s">
        <v>3344</v>
      </c>
      <c r="BJ290" s="3283">
        <v>38826</v>
      </c>
      <c r="BK290" s="3283"/>
      <c r="BL290" s="3267" t="s">
        <v>3249</v>
      </c>
      <c r="BM290" s="3267" t="s">
        <v>2879</v>
      </c>
      <c r="BN290" s="3267" t="s">
        <v>3111</v>
      </c>
      <c r="BO290" s="3267" t="s">
        <v>3146</v>
      </c>
      <c r="BP290" s="3267"/>
      <c r="BQ290" s="3276"/>
      <c r="BR290" s="3276"/>
      <c r="BS290" s="3285"/>
      <c r="BT290" s="3285"/>
      <c r="BU290" s="3285"/>
      <c r="BV290" s="3347"/>
      <c r="BW290" s="3347"/>
      <c r="BX290" s="3347"/>
      <c r="BY290" s="3347"/>
      <c r="BZ290" s="3347"/>
      <c r="CA290" s="3347"/>
      <c r="CB290" s="3347"/>
      <c r="CC290" s="3347"/>
      <c r="CD290" s="3347"/>
      <c r="CE290" s="3347"/>
      <c r="CF290" s="3347"/>
      <c r="CG290" s="3347"/>
      <c r="CH290" s="3347"/>
      <c r="CI290" s="3347"/>
      <c r="CJ290" s="3347"/>
      <c r="CK290" s="3347"/>
      <c r="CL290" s="3347"/>
      <c r="CM290" s="3347"/>
      <c r="CN290" s="3347"/>
      <c r="CO290" s="3347"/>
      <c r="CP290" s="3347"/>
      <c r="CQ290" s="3347"/>
      <c r="CR290" s="3347"/>
      <c r="CS290" s="3347"/>
      <c r="CT290" s="3347"/>
      <c r="CU290" s="3347"/>
      <c r="CV290" s="3347"/>
      <c r="CW290" s="3347"/>
      <c r="CX290" s="3347"/>
      <c r="CY290" s="3347"/>
      <c r="CZ290" s="3347"/>
      <c r="DA290" s="3347"/>
      <c r="DB290" s="3347"/>
      <c r="DC290" s="3347"/>
      <c r="DD290" s="3347"/>
      <c r="DE290" s="3347"/>
      <c r="DF290" s="3347"/>
      <c r="DG290" s="3347"/>
      <c r="DH290" s="3347"/>
      <c r="DI290" s="3347"/>
      <c r="DJ290" s="3347"/>
      <c r="DK290" s="3347"/>
      <c r="DL290" s="3347"/>
      <c r="DM290" s="3347"/>
      <c r="DN290" s="3347"/>
      <c r="DO290" s="3347"/>
      <c r="DP290" s="3347"/>
      <c r="DQ290" s="3347"/>
      <c r="DR290" s="3347"/>
      <c r="DS290" s="3347"/>
      <c r="DT290" s="3347"/>
      <c r="DU290" s="3347"/>
      <c r="DV290" s="3347"/>
      <c r="DW290" s="3347"/>
      <c r="DX290" s="3347"/>
      <c r="DY290" s="3347"/>
      <c r="DZ290" s="3347"/>
      <c r="EA290" s="3347"/>
      <c r="EB290" s="3347"/>
      <c r="EC290" s="3347"/>
      <c r="ED290" s="3347"/>
      <c r="EE290" s="3347"/>
      <c r="EF290" s="3347"/>
      <c r="EG290" s="3347"/>
      <c r="EH290" s="3347"/>
      <c r="EI290" s="3347"/>
      <c r="EJ290" s="3347"/>
      <c r="EK290" s="3347"/>
      <c r="EL290" s="3347"/>
      <c r="EM290" s="3347"/>
      <c r="EN290" s="3347"/>
      <c r="EO290" s="3347"/>
      <c r="EP290" s="3347"/>
      <c r="EQ290" s="3347"/>
      <c r="ER290" s="3347"/>
      <c r="ES290" s="3347"/>
      <c r="ET290" s="3347"/>
      <c r="EU290" s="3347"/>
      <c r="EV290" s="3347"/>
      <c r="EW290" s="3347"/>
      <c r="EX290" s="3347"/>
      <c r="EY290" s="3347"/>
      <c r="EZ290" s="3347"/>
      <c r="FA290" s="3347"/>
      <c r="FB290" s="3347"/>
      <c r="FC290" s="3347"/>
      <c r="FD290" s="3347"/>
      <c r="FE290" s="3347"/>
      <c r="FF290" s="3347"/>
      <c r="FG290" s="3347"/>
      <c r="FH290" s="3347"/>
      <c r="FI290" s="3347"/>
      <c r="FJ290" s="3347"/>
      <c r="FK290" s="3347"/>
      <c r="FL290" s="3347"/>
      <c r="FM290" s="3347"/>
      <c r="FN290" s="3347"/>
      <c r="FO290" s="3347"/>
      <c r="FP290" s="3347"/>
      <c r="FQ290" s="3347"/>
      <c r="FR290" s="3347"/>
      <c r="FS290" s="3347"/>
      <c r="FT290" s="3347"/>
      <c r="FU290" s="3347"/>
      <c r="FV290" s="3347"/>
      <c r="FW290" s="3347"/>
      <c r="FX290" s="3347"/>
      <c r="FY290" s="3347"/>
      <c r="FZ290" s="3347"/>
      <c r="GA290" s="3347"/>
      <c r="GB290" s="3347"/>
      <c r="GC290" s="3347"/>
      <c r="GD290" s="3347"/>
      <c r="GE290" s="3347"/>
      <c r="GF290" s="3347"/>
      <c r="GG290" s="3347"/>
      <c r="GH290" s="3347"/>
      <c r="GI290" s="3347"/>
      <c r="GJ290" s="3347"/>
      <c r="GK290" s="3347"/>
      <c r="GL290" s="3347"/>
      <c r="GM290" s="3347"/>
      <c r="GN290" s="3347"/>
      <c r="GO290" s="3347"/>
      <c r="GP290" s="3347"/>
      <c r="GQ290" s="3347"/>
      <c r="GR290" s="3347"/>
      <c r="GS290" s="3347"/>
      <c r="GT290" s="3347"/>
      <c r="GU290" s="3347"/>
      <c r="GV290" s="3347"/>
      <c r="GW290" s="3347"/>
      <c r="GX290" s="3347"/>
      <c r="GY290" s="3347"/>
      <c r="GZ290" s="3347"/>
      <c r="HA290" s="3347"/>
      <c r="HB290" s="3347"/>
      <c r="HC290" s="3347"/>
      <c r="HD290" s="3347"/>
      <c r="HE290" s="3347"/>
      <c r="HF290" s="3347"/>
      <c r="HG290" s="3347"/>
      <c r="HH290" s="3347"/>
      <c r="HI290" s="3347"/>
      <c r="HJ290" s="3347"/>
      <c r="HK290" s="3347"/>
      <c r="HL290" s="3347"/>
      <c r="HM290" s="3347"/>
      <c r="HN290" s="3347"/>
      <c r="HO290" s="3347"/>
      <c r="HP290" s="3347"/>
      <c r="HQ290" s="3347"/>
      <c r="HR290" s="3347"/>
      <c r="HS290" s="3347"/>
      <c r="HT290" s="3347"/>
      <c r="HU290" s="3347"/>
      <c r="HV290" s="3347"/>
      <c r="HW290" s="3347"/>
      <c r="HX290" s="3347"/>
      <c r="HY290" s="3347"/>
      <c r="HZ290" s="3347"/>
      <c r="IA290" s="3347"/>
      <c r="IB290" s="3347"/>
    </row>
    <row r="291" spans="1:243" hidden="1">
      <c r="A291" s="3269" t="s">
        <v>5162</v>
      </c>
      <c r="B291" s="3269" t="s">
        <v>5163</v>
      </c>
      <c r="C291" s="3269" t="s">
        <v>5164</v>
      </c>
      <c r="D291" s="3269" t="s">
        <v>5165</v>
      </c>
      <c r="E291" s="3269" t="s">
        <v>2985</v>
      </c>
      <c r="F291" s="3269" t="s">
        <v>5166</v>
      </c>
      <c r="G291" s="3269"/>
      <c r="H291" s="3269" t="s">
        <v>3402</v>
      </c>
      <c r="I291" s="3269" t="s">
        <v>5167</v>
      </c>
      <c r="J291" s="3269" t="s">
        <v>5168</v>
      </c>
      <c r="K291" s="3269" t="s">
        <v>5169</v>
      </c>
      <c r="L291" s="3269">
        <v>52.37</v>
      </c>
      <c r="M291" s="3269">
        <v>5</v>
      </c>
      <c r="N291" s="3269" t="s">
        <v>3152</v>
      </c>
      <c r="O291" s="3269"/>
      <c r="P291" s="3269" t="s">
        <v>2963</v>
      </c>
      <c r="Q291" s="3269">
        <v>379000</v>
      </c>
      <c r="R291" s="3269">
        <v>7237</v>
      </c>
      <c r="S291" s="3269">
        <v>33.28</v>
      </c>
      <c r="T291" s="3269" t="s">
        <v>5170</v>
      </c>
      <c r="U291" s="3269">
        <v>6356</v>
      </c>
      <c r="V291" s="3274">
        <v>0.2</v>
      </c>
      <c r="W291" s="3269">
        <v>26.62</v>
      </c>
      <c r="X291" s="3269" t="s">
        <v>5171</v>
      </c>
      <c r="Y291" s="3269">
        <v>2006</v>
      </c>
      <c r="Z291" s="3269" t="s">
        <v>3266</v>
      </c>
      <c r="AA291" s="3269" t="s">
        <v>5172</v>
      </c>
      <c r="AB291" s="3269">
        <v>995</v>
      </c>
      <c r="AC291" s="3269" t="s">
        <v>3480</v>
      </c>
      <c r="AD291" s="3269"/>
      <c r="AE291" s="3269" t="s">
        <v>3304</v>
      </c>
      <c r="AF291" s="3269" t="s">
        <v>2966</v>
      </c>
      <c r="AG291" s="3269" t="s">
        <v>2967</v>
      </c>
      <c r="AH291" s="3269"/>
      <c r="AI291" s="3269" t="s">
        <v>2992</v>
      </c>
      <c r="AJ291" s="3269"/>
      <c r="AK291" s="3269" t="s">
        <v>3099</v>
      </c>
      <c r="AL291" s="3269">
        <v>67641700</v>
      </c>
      <c r="AM291" s="3269"/>
      <c r="AN291" s="3269" t="s">
        <v>3131</v>
      </c>
      <c r="AO291" s="3269"/>
      <c r="AP291" s="3269" t="s">
        <v>3305</v>
      </c>
      <c r="AQ291" s="3267" t="s">
        <v>3228</v>
      </c>
      <c r="AR291" s="3276">
        <v>2006</v>
      </c>
      <c r="AS291" s="3276">
        <v>5</v>
      </c>
      <c r="AT291" s="3276">
        <v>11</v>
      </c>
      <c r="AU291" s="3269"/>
      <c r="AV291" s="3269"/>
      <c r="AW291" s="3269" t="s">
        <v>2997</v>
      </c>
      <c r="AX291" s="3269"/>
      <c r="AY291" s="3269"/>
      <c r="AZ291" s="3269" t="s">
        <v>5169</v>
      </c>
      <c r="BA291" s="3269"/>
      <c r="BB291" s="3269"/>
      <c r="BC291" s="3269"/>
      <c r="BD291" s="3269"/>
      <c r="BE291" s="3269"/>
      <c r="BF291" s="3269"/>
      <c r="BG291" s="3307">
        <v>38821</v>
      </c>
      <c r="BH291" s="3269"/>
      <c r="BI291" s="3269" t="s">
        <v>2991</v>
      </c>
      <c r="BJ291" s="3283">
        <v>38825</v>
      </c>
      <c r="BK291" s="3269"/>
      <c r="BL291" s="3269" t="s">
        <v>2998</v>
      </c>
      <c r="BM291" s="3269" t="s">
        <v>2879</v>
      </c>
      <c r="BN291" s="3269" t="s">
        <v>2999</v>
      </c>
      <c r="BO291" s="3269" t="s">
        <v>3146</v>
      </c>
      <c r="BP291" s="3269"/>
      <c r="BQ291" s="3269" t="e">
        <v>#DIV/0!</v>
      </c>
      <c r="BR291" s="3269" t="e">
        <v>#DIV/0!</v>
      </c>
      <c r="BS291" s="3285"/>
      <c r="BT291" s="3285"/>
      <c r="BU291" s="3285"/>
      <c r="BV291" s="3347"/>
      <c r="BW291" s="3347"/>
      <c r="BX291" s="3347"/>
      <c r="BY291" s="3347"/>
      <c r="BZ291" s="3347"/>
      <c r="CA291" s="3347"/>
      <c r="CB291" s="3347"/>
      <c r="CC291" s="3347"/>
      <c r="CD291" s="3347"/>
      <c r="CE291" s="3347"/>
      <c r="CF291" s="3347"/>
      <c r="CG291" s="3347"/>
      <c r="CH291" s="3347"/>
      <c r="CI291" s="3347"/>
      <c r="CJ291" s="3347"/>
      <c r="CK291" s="3347"/>
      <c r="CL291" s="3347"/>
      <c r="CM291" s="3347"/>
      <c r="CN291" s="3347"/>
      <c r="CO291" s="3347"/>
      <c r="CP291" s="3347"/>
      <c r="CQ291" s="3347"/>
      <c r="CR291" s="3347"/>
      <c r="CS291" s="3347"/>
      <c r="CT291" s="3347"/>
      <c r="CU291" s="3347"/>
      <c r="CV291" s="3347"/>
      <c r="CW291" s="3347"/>
      <c r="CX291" s="3347"/>
      <c r="CY291" s="3347"/>
      <c r="CZ291" s="3347"/>
      <c r="DA291" s="3347"/>
      <c r="DB291" s="3347"/>
      <c r="DC291" s="3347"/>
      <c r="DD291" s="3347"/>
      <c r="DE291" s="3347"/>
      <c r="DF291" s="3347"/>
      <c r="DG291" s="3347"/>
      <c r="DH291" s="3347"/>
      <c r="DI291" s="3347"/>
      <c r="DJ291" s="3347"/>
      <c r="DK291" s="3347"/>
      <c r="DL291" s="3347"/>
      <c r="DM291" s="3347"/>
      <c r="DN291" s="3347"/>
      <c r="DO291" s="3347"/>
      <c r="DP291" s="3347"/>
      <c r="DQ291" s="3347"/>
      <c r="DR291" s="3347"/>
      <c r="DS291" s="3347"/>
      <c r="DT291" s="3347"/>
      <c r="DU291" s="3347"/>
      <c r="DV291" s="3347"/>
      <c r="DW291" s="3347"/>
      <c r="DX291" s="3347"/>
      <c r="DY291" s="3347"/>
      <c r="DZ291" s="3347"/>
      <c r="EA291" s="3347"/>
      <c r="EB291" s="3347"/>
      <c r="EC291" s="3347"/>
      <c r="ED291" s="3347"/>
      <c r="EE291" s="3347"/>
      <c r="EF291" s="3347"/>
      <c r="EG291" s="3347"/>
      <c r="EH291" s="3347"/>
      <c r="EI291" s="3347"/>
      <c r="EJ291" s="3347"/>
      <c r="EK291" s="3347"/>
      <c r="EL291" s="3347"/>
      <c r="EM291" s="3347"/>
      <c r="EN291" s="3347"/>
      <c r="EO291" s="3347"/>
      <c r="EP291" s="3347"/>
      <c r="EQ291" s="3347"/>
      <c r="ER291" s="3347"/>
      <c r="ES291" s="3347"/>
      <c r="ET291" s="3347"/>
      <c r="EU291" s="3347"/>
      <c r="EV291" s="3347"/>
      <c r="EW291" s="3347"/>
      <c r="EX291" s="3347"/>
      <c r="EY291" s="3347"/>
      <c r="EZ291" s="3347"/>
      <c r="FA291" s="3347"/>
      <c r="FB291" s="3347"/>
      <c r="FC291" s="3347"/>
      <c r="FD291" s="3347"/>
      <c r="FE291" s="3347"/>
      <c r="FF291" s="3347"/>
      <c r="FG291" s="3347"/>
      <c r="FH291" s="3347"/>
      <c r="FI291" s="3347"/>
      <c r="FJ291" s="3347"/>
      <c r="FK291" s="3347"/>
      <c r="FL291" s="3347"/>
      <c r="FM291" s="3347"/>
      <c r="FN291" s="3347"/>
      <c r="FO291" s="3347"/>
      <c r="FP291" s="3347"/>
      <c r="FQ291" s="3347"/>
      <c r="FR291" s="3347"/>
      <c r="FS291" s="3347"/>
      <c r="FT291" s="3347"/>
      <c r="FU291" s="3347"/>
      <c r="FV291" s="3347"/>
      <c r="FW291" s="3347"/>
      <c r="FX291" s="3347"/>
      <c r="FY291" s="3347"/>
      <c r="FZ291" s="3347"/>
      <c r="GA291" s="3347"/>
      <c r="GB291" s="3347"/>
      <c r="GC291" s="3347"/>
      <c r="GD291" s="3347"/>
      <c r="GE291" s="3347"/>
      <c r="GF291" s="3347"/>
      <c r="GG291" s="3347"/>
      <c r="GH291" s="3347"/>
      <c r="GI291" s="3347"/>
      <c r="GJ291" s="3347"/>
      <c r="GK291" s="3347"/>
      <c r="GL291" s="3347"/>
      <c r="GM291" s="3347"/>
      <c r="GN291" s="3347"/>
      <c r="GO291" s="3347"/>
      <c r="GP291" s="3347"/>
      <c r="GQ291" s="3347"/>
      <c r="GR291" s="3347"/>
      <c r="GS291" s="3347"/>
      <c r="GT291" s="3347"/>
      <c r="GU291" s="3347"/>
      <c r="GV291" s="3347"/>
      <c r="GW291" s="3347"/>
      <c r="GX291" s="3347"/>
      <c r="GY291" s="3347"/>
      <c r="GZ291" s="3347"/>
      <c r="HA291" s="3347"/>
      <c r="HB291" s="3347"/>
      <c r="HC291" s="3347"/>
      <c r="HD291" s="3347"/>
      <c r="HE291" s="3347"/>
      <c r="HF291" s="3347"/>
      <c r="HG291" s="3347"/>
      <c r="HH291" s="3347"/>
      <c r="HI291" s="3347"/>
      <c r="HJ291" s="3347"/>
      <c r="HK291" s="3347"/>
      <c r="HL291" s="3347"/>
      <c r="HM291" s="3347"/>
      <c r="HN291" s="3347"/>
      <c r="HO291" s="3347"/>
      <c r="HP291" s="3347"/>
      <c r="HQ291" s="3347"/>
      <c r="HR291" s="3347"/>
      <c r="HS291" s="3347"/>
      <c r="HT291" s="3347"/>
      <c r="HU291" s="3347"/>
      <c r="HV291" s="3347"/>
      <c r="HW291" s="3347"/>
      <c r="HX291" s="3347"/>
      <c r="HY291" s="3347"/>
      <c r="HZ291" s="3347"/>
      <c r="IA291" s="3347"/>
      <c r="IB291" s="3347"/>
    </row>
    <row r="292" spans="1:243" hidden="1">
      <c r="A292" s="3267" t="s">
        <v>5173</v>
      </c>
      <c r="B292" s="3267" t="s">
        <v>5174</v>
      </c>
      <c r="C292" s="3269" t="s">
        <v>5175</v>
      </c>
      <c r="D292" s="3269">
        <v>13810166085</v>
      </c>
      <c r="E292" s="3268" t="s">
        <v>2985</v>
      </c>
      <c r="F292" s="3268" t="s">
        <v>5176</v>
      </c>
      <c r="G292" s="3267"/>
      <c r="H292" s="3267" t="s">
        <v>3263</v>
      </c>
      <c r="I292" s="3268"/>
      <c r="J292" s="3267" t="s">
        <v>3135</v>
      </c>
      <c r="K292" s="3267" t="s">
        <v>5177</v>
      </c>
      <c r="L292" s="3267">
        <v>63.35</v>
      </c>
      <c r="M292" s="3267">
        <v>16</v>
      </c>
      <c r="N292" s="3267" t="s">
        <v>4699</v>
      </c>
      <c r="O292" s="3267"/>
      <c r="P292" s="3267" t="s">
        <v>2963</v>
      </c>
      <c r="Q292" s="3271">
        <v>527000</v>
      </c>
      <c r="R292" s="3288">
        <v>8319</v>
      </c>
      <c r="S292" s="3272">
        <v>40.07</v>
      </c>
      <c r="T292" s="3273">
        <v>400700</v>
      </c>
      <c r="U292" s="3267">
        <v>6326</v>
      </c>
      <c r="V292" s="3289">
        <v>0.2</v>
      </c>
      <c r="W292" s="3272">
        <v>32.049999999999997</v>
      </c>
      <c r="X292" s="3273">
        <v>320500</v>
      </c>
      <c r="Y292" s="3267">
        <v>2006</v>
      </c>
      <c r="Z292" s="3276">
        <v>5</v>
      </c>
      <c r="AA292" s="3276">
        <v>16</v>
      </c>
      <c r="AB292" s="3267">
        <v>1200</v>
      </c>
      <c r="AC292" s="3267" t="s">
        <v>3480</v>
      </c>
      <c r="AD292" s="3267"/>
      <c r="AE292" s="3279" t="s">
        <v>3537</v>
      </c>
      <c r="AF292" s="3268" t="s">
        <v>2966</v>
      </c>
      <c r="AG292" s="3279" t="s">
        <v>2967</v>
      </c>
      <c r="AH292" s="3267"/>
      <c r="AI292" s="3279" t="s">
        <v>2992</v>
      </c>
      <c r="AJ292" s="3284"/>
      <c r="AK292" s="3278">
        <v>5</v>
      </c>
      <c r="AL292" s="3276">
        <v>67641700</v>
      </c>
      <c r="AM292" s="3276"/>
      <c r="AN292" s="3279" t="s">
        <v>3140</v>
      </c>
      <c r="AO292" s="3267"/>
      <c r="AP292" s="3279" t="s">
        <v>3305</v>
      </c>
      <c r="AQ292" s="3267" t="s">
        <v>3228</v>
      </c>
      <c r="AR292" s="3276"/>
      <c r="AS292" s="3276"/>
      <c r="AT292" s="3276"/>
      <c r="AU292" s="3276"/>
      <c r="AV292" s="3276"/>
      <c r="AW292" s="3276" t="s">
        <v>2997</v>
      </c>
      <c r="AX292" s="3276"/>
      <c r="AY292" s="3291"/>
      <c r="AZ292" s="3267" t="s">
        <v>5177</v>
      </c>
      <c r="BA292" s="3296"/>
      <c r="BB292" s="3297"/>
      <c r="BC292" s="3296"/>
      <c r="BD292" s="3298"/>
      <c r="BE292" s="3276"/>
      <c r="BF292" s="3281"/>
      <c r="BG292" s="3293">
        <v>38825</v>
      </c>
      <c r="BH292" s="3276" t="s">
        <v>2998</v>
      </c>
      <c r="BI292" s="3314" t="s">
        <v>3305</v>
      </c>
      <c r="BJ292" s="3283">
        <v>38828</v>
      </c>
      <c r="BK292" s="3283"/>
      <c r="BL292" s="3267" t="s">
        <v>3249</v>
      </c>
      <c r="BM292" s="3276" t="s">
        <v>2879</v>
      </c>
      <c r="BN292" s="3276" t="s">
        <v>3111</v>
      </c>
      <c r="BO292" s="3276" t="s">
        <v>5178</v>
      </c>
      <c r="BP292" s="3276"/>
      <c r="BQ292" s="3276" t="e">
        <v>#DIV/0!</v>
      </c>
      <c r="BR292" s="3276" t="e">
        <v>#DIV/0!</v>
      </c>
      <c r="BS292" s="3285"/>
      <c r="BT292" s="3285"/>
      <c r="BU292" s="3285"/>
      <c r="BV292" s="3347"/>
      <c r="BW292" s="3347"/>
      <c r="BX292" s="3347"/>
      <c r="BY292" s="3347"/>
      <c r="BZ292" s="3347"/>
      <c r="CA292" s="3347"/>
      <c r="CB292" s="3347"/>
      <c r="CC292" s="3347"/>
      <c r="CD292" s="3347"/>
      <c r="CE292" s="3347"/>
      <c r="CF292" s="3347"/>
      <c r="CG292" s="3347"/>
      <c r="CH292" s="3347"/>
      <c r="CI292" s="3347"/>
      <c r="CJ292" s="3347"/>
      <c r="CK292" s="3347"/>
      <c r="CL292" s="3347"/>
      <c r="CM292" s="3347"/>
      <c r="CN292" s="3347"/>
      <c r="CO292" s="3347"/>
      <c r="CP292" s="3347"/>
      <c r="CQ292" s="3347"/>
      <c r="CR292" s="3347"/>
      <c r="CS292" s="3347"/>
      <c r="CT292" s="3347"/>
      <c r="CU292" s="3347"/>
      <c r="CV292" s="3347"/>
      <c r="CW292" s="3347"/>
      <c r="CX292" s="3347"/>
      <c r="CY292" s="3347"/>
      <c r="CZ292" s="3347"/>
      <c r="DA292" s="3347"/>
      <c r="DB292" s="3347"/>
      <c r="DC292" s="3347"/>
      <c r="DD292" s="3347"/>
      <c r="DE292" s="3347"/>
      <c r="DF292" s="3347"/>
      <c r="DG292" s="3347"/>
      <c r="DH292" s="3347"/>
      <c r="DI292" s="3347"/>
      <c r="DJ292" s="3347"/>
      <c r="DK292" s="3347"/>
      <c r="DL292" s="3347"/>
      <c r="DM292" s="3347"/>
      <c r="DN292" s="3347"/>
      <c r="DO292" s="3347"/>
      <c r="DP292" s="3347"/>
      <c r="DQ292" s="3347"/>
      <c r="DR292" s="3347"/>
      <c r="DS292" s="3347"/>
      <c r="DT292" s="3347"/>
      <c r="DU292" s="3347"/>
      <c r="DV292" s="3347"/>
      <c r="DW292" s="3347"/>
      <c r="DX292" s="3347"/>
      <c r="DY292" s="3347"/>
      <c r="DZ292" s="3347"/>
      <c r="EA292" s="3347"/>
      <c r="EB292" s="3347"/>
      <c r="EC292" s="3347"/>
      <c r="ED292" s="3347"/>
      <c r="EE292" s="3347"/>
      <c r="EF292" s="3347"/>
      <c r="EG292" s="3347"/>
      <c r="EH292" s="3347"/>
      <c r="EI292" s="3347"/>
      <c r="EJ292" s="3347"/>
      <c r="EK292" s="3347"/>
      <c r="EL292" s="3347"/>
      <c r="EM292" s="3347"/>
      <c r="EN292" s="3347"/>
      <c r="EO292" s="3347"/>
      <c r="EP292" s="3347"/>
      <c r="EQ292" s="3347"/>
      <c r="ER292" s="3347"/>
      <c r="ES292" s="3347"/>
      <c r="ET292" s="3347"/>
      <c r="EU292" s="3347"/>
      <c r="EV292" s="3347"/>
      <c r="EW292" s="3347"/>
      <c r="EX292" s="3347"/>
      <c r="EY292" s="3347"/>
      <c r="EZ292" s="3347"/>
      <c r="FA292" s="3347"/>
      <c r="FB292" s="3347"/>
      <c r="FC292" s="3347"/>
      <c r="FD292" s="3347"/>
      <c r="FE292" s="3347"/>
      <c r="FF292" s="3347"/>
      <c r="FG292" s="3347"/>
      <c r="FH292" s="3347"/>
      <c r="FI292" s="3347"/>
      <c r="FJ292" s="3347"/>
      <c r="FK292" s="3347"/>
      <c r="FL292" s="3347"/>
      <c r="FM292" s="3347"/>
      <c r="FN292" s="3347"/>
      <c r="FO292" s="3347"/>
      <c r="FP292" s="3347"/>
      <c r="FQ292" s="3347"/>
      <c r="FR292" s="3347"/>
      <c r="FS292" s="3347"/>
      <c r="FT292" s="3347"/>
      <c r="FU292" s="3347"/>
      <c r="FV292" s="3347"/>
      <c r="FW292" s="3347"/>
      <c r="FX292" s="3347"/>
      <c r="FY292" s="3347"/>
      <c r="FZ292" s="3347"/>
      <c r="GA292" s="3347"/>
      <c r="GB292" s="3347"/>
      <c r="GC292" s="3347"/>
      <c r="GD292" s="3347"/>
      <c r="GE292" s="3347"/>
      <c r="GF292" s="3347"/>
      <c r="GG292" s="3347"/>
      <c r="GH292" s="3347"/>
      <c r="GI292" s="3347"/>
      <c r="GJ292" s="3347"/>
      <c r="GK292" s="3347"/>
      <c r="GL292" s="3347"/>
      <c r="GM292" s="3347"/>
      <c r="GN292" s="3347"/>
      <c r="GO292" s="3347"/>
      <c r="GP292" s="3347"/>
      <c r="GQ292" s="3347"/>
      <c r="GR292" s="3347"/>
      <c r="GS292" s="3347"/>
      <c r="GT292" s="3347"/>
      <c r="GU292" s="3347"/>
      <c r="GV292" s="3347"/>
      <c r="GW292" s="3347"/>
      <c r="GX292" s="3347"/>
      <c r="GY292" s="3347"/>
      <c r="GZ292" s="3347"/>
      <c r="HA292" s="3347"/>
      <c r="HB292" s="3347"/>
      <c r="HC292" s="3347"/>
      <c r="HD292" s="3347"/>
      <c r="HE292" s="3347"/>
      <c r="HF292" s="3347"/>
      <c r="HG292" s="3347"/>
      <c r="HH292" s="3347"/>
      <c r="HI292" s="3347"/>
      <c r="HJ292" s="3347"/>
      <c r="HK292" s="3347"/>
      <c r="HL292" s="3347"/>
      <c r="HM292" s="3347"/>
      <c r="HN292" s="3347"/>
      <c r="HO292" s="3347"/>
      <c r="HP292" s="3347"/>
      <c r="HQ292" s="3347"/>
      <c r="HR292" s="3347"/>
      <c r="HS292" s="3347"/>
      <c r="HT292" s="3347"/>
      <c r="HU292" s="3347"/>
      <c r="HV292" s="3347"/>
      <c r="HW292" s="3347"/>
      <c r="HX292" s="3347"/>
      <c r="HY292" s="3347"/>
      <c r="HZ292" s="3347"/>
      <c r="IA292" s="3347"/>
      <c r="IB292" s="3347"/>
    </row>
    <row r="293" spans="1:243" hidden="1">
      <c r="A293" s="3267" t="s">
        <v>5179</v>
      </c>
      <c r="B293" s="3267" t="s">
        <v>5180</v>
      </c>
      <c r="C293" s="3269" t="s">
        <v>5181</v>
      </c>
      <c r="D293" s="3269" t="s">
        <v>5182</v>
      </c>
      <c r="E293" s="3267" t="s">
        <v>2985</v>
      </c>
      <c r="F293" s="3267" t="s">
        <v>3511</v>
      </c>
      <c r="G293" s="3267"/>
      <c r="H293" s="3267" t="s">
        <v>3225</v>
      </c>
      <c r="I293" s="3267"/>
      <c r="J293" s="3269" t="s">
        <v>5183</v>
      </c>
      <c r="K293" s="3267" t="s">
        <v>5184</v>
      </c>
      <c r="L293" s="3286">
        <v>66.900000000000006</v>
      </c>
      <c r="M293" s="3267">
        <v>4</v>
      </c>
      <c r="N293" s="3268" t="s">
        <v>3122</v>
      </c>
      <c r="O293" s="3267"/>
      <c r="P293" s="3267" t="s">
        <v>2963</v>
      </c>
      <c r="Q293" s="3287">
        <v>600000</v>
      </c>
      <c r="R293" s="3267">
        <v>8969</v>
      </c>
      <c r="S293" s="3272">
        <v>49.5</v>
      </c>
      <c r="T293" s="3273">
        <v>495000</v>
      </c>
      <c r="U293" s="3267">
        <v>7400</v>
      </c>
      <c r="V293" s="3289">
        <v>0.2</v>
      </c>
      <c r="W293" s="3272">
        <v>39.6</v>
      </c>
      <c r="X293" s="3275">
        <v>396000</v>
      </c>
      <c r="Y293" s="3276">
        <v>2006</v>
      </c>
      <c r="Z293" s="3276">
        <v>5</v>
      </c>
      <c r="AA293" s="3267">
        <v>8</v>
      </c>
      <c r="AB293" s="3267">
        <v>1485</v>
      </c>
      <c r="AC293" s="3267" t="s">
        <v>3480</v>
      </c>
      <c r="AD293" s="3267"/>
      <c r="AE293" s="3267" t="s">
        <v>3304</v>
      </c>
      <c r="AF293" s="3268" t="s">
        <v>2966</v>
      </c>
      <c r="AG293" s="3267" t="s">
        <v>2967</v>
      </c>
      <c r="AH293" s="3267"/>
      <c r="AI293" s="3279" t="s">
        <v>3295</v>
      </c>
      <c r="AJ293" s="3290"/>
      <c r="AK293" s="3316" t="s">
        <v>3099</v>
      </c>
      <c r="AL293" s="3276">
        <v>67641700</v>
      </c>
      <c r="AM293" s="3276"/>
      <c r="AN293" s="3279" t="s">
        <v>3140</v>
      </c>
      <c r="AO293" s="3276"/>
      <c r="AP293" s="3267" t="s">
        <v>3305</v>
      </c>
      <c r="AQ293" s="3267" t="s">
        <v>3228</v>
      </c>
      <c r="AR293" s="3276">
        <v>2006</v>
      </c>
      <c r="AS293" s="3276">
        <v>5</v>
      </c>
      <c r="AT293" s="3276">
        <v>19</v>
      </c>
      <c r="AU293" s="3267"/>
      <c r="AV293" s="3276"/>
      <c r="AW293" s="3276" t="s">
        <v>2997</v>
      </c>
      <c r="AX293" s="3276" t="s">
        <v>2968</v>
      </c>
      <c r="AY293" s="3291"/>
      <c r="AZ293" s="3267" t="s">
        <v>5184</v>
      </c>
      <c r="BA293" s="3276"/>
      <c r="BB293" s="3291"/>
      <c r="BC293" s="3276"/>
      <c r="BD293" s="3292"/>
      <c r="BE293" s="3291"/>
      <c r="BF293" s="3281"/>
      <c r="BG293" s="3293">
        <v>38831</v>
      </c>
      <c r="BH293" s="3276"/>
      <c r="BI293" s="3267" t="s">
        <v>4230</v>
      </c>
      <c r="BJ293" s="3284">
        <v>38832</v>
      </c>
      <c r="BK293" s="3299"/>
      <c r="BL293" s="3276" t="s">
        <v>2998</v>
      </c>
      <c r="BM293" s="3276" t="s">
        <v>2879</v>
      </c>
      <c r="BN293" s="3267" t="s">
        <v>2999</v>
      </c>
      <c r="BO293" s="3276" t="s">
        <v>3146</v>
      </c>
      <c r="BP293" s="3276"/>
      <c r="BQ293" s="3276" t="e">
        <v>#DIV/0!</v>
      </c>
      <c r="BR293" s="3276" t="e">
        <v>#DIV/0!</v>
      </c>
      <c r="BS293" s="3285"/>
      <c r="BT293" s="3285"/>
      <c r="BU293" s="3285"/>
      <c r="BV293" s="3347"/>
      <c r="BW293" s="3347"/>
      <c r="BX293" s="3347"/>
      <c r="BY293" s="3347"/>
      <c r="BZ293" s="3347"/>
      <c r="CA293" s="3347"/>
      <c r="CB293" s="3347"/>
      <c r="CC293" s="3347"/>
      <c r="CD293" s="3347"/>
      <c r="CE293" s="3347"/>
      <c r="CF293" s="3347"/>
      <c r="CG293" s="3347"/>
      <c r="CH293" s="3347"/>
      <c r="CI293" s="3347"/>
      <c r="CJ293" s="3347"/>
      <c r="CK293" s="3347"/>
      <c r="CL293" s="3347"/>
      <c r="CM293" s="3347"/>
      <c r="CN293" s="3347"/>
      <c r="CO293" s="3347"/>
      <c r="CP293" s="3347"/>
      <c r="CQ293" s="3347"/>
      <c r="CR293" s="3347"/>
      <c r="CS293" s="3347"/>
      <c r="CT293" s="3347"/>
      <c r="CU293" s="3347"/>
      <c r="CV293" s="3347"/>
      <c r="CW293" s="3347"/>
      <c r="CX293" s="3347"/>
      <c r="CY293" s="3347"/>
      <c r="CZ293" s="3347"/>
      <c r="DA293" s="3347"/>
      <c r="DB293" s="3347"/>
      <c r="DC293" s="3347"/>
      <c r="DD293" s="3347"/>
      <c r="DE293" s="3347"/>
      <c r="DF293" s="3347"/>
      <c r="DG293" s="3347"/>
      <c r="DH293" s="3347"/>
      <c r="DI293" s="3347"/>
      <c r="DJ293" s="3347"/>
      <c r="DK293" s="3347"/>
      <c r="DL293" s="3347"/>
      <c r="DM293" s="3347"/>
      <c r="DN293" s="3347"/>
      <c r="DO293" s="3347"/>
      <c r="DP293" s="3347"/>
      <c r="DQ293" s="3347"/>
      <c r="DR293" s="3347"/>
      <c r="DS293" s="3347"/>
      <c r="DT293" s="3347"/>
      <c r="DU293" s="3347"/>
      <c r="DV293" s="3347"/>
      <c r="DW293" s="3347"/>
      <c r="DX293" s="3347"/>
      <c r="DY293" s="3347"/>
      <c r="DZ293" s="3347"/>
      <c r="EA293" s="3347"/>
      <c r="EB293" s="3347"/>
      <c r="EC293" s="3347"/>
      <c r="ED293" s="3347"/>
      <c r="EE293" s="3347"/>
      <c r="EF293" s="3347"/>
      <c r="EG293" s="3347"/>
      <c r="EH293" s="3347"/>
      <c r="EI293" s="3347"/>
      <c r="EJ293" s="3347"/>
      <c r="EK293" s="3347"/>
      <c r="EL293" s="3347"/>
      <c r="EM293" s="3347"/>
      <c r="EN293" s="3347"/>
      <c r="EO293" s="3347"/>
      <c r="EP293" s="3347"/>
      <c r="EQ293" s="3347"/>
      <c r="ER293" s="3347"/>
      <c r="ES293" s="3347"/>
      <c r="ET293" s="3347"/>
      <c r="EU293" s="3347"/>
      <c r="EV293" s="3347"/>
      <c r="EW293" s="3347"/>
      <c r="EX293" s="3347"/>
      <c r="EY293" s="3347"/>
      <c r="EZ293" s="3347"/>
      <c r="FA293" s="3347"/>
      <c r="FB293" s="3347"/>
      <c r="FC293" s="3347"/>
      <c r="FD293" s="3347"/>
      <c r="FE293" s="3347"/>
      <c r="FF293" s="3347"/>
      <c r="FG293" s="3347"/>
      <c r="FH293" s="3347"/>
      <c r="FI293" s="3347"/>
      <c r="FJ293" s="3347"/>
      <c r="FK293" s="3347"/>
      <c r="FL293" s="3347"/>
      <c r="FM293" s="3347"/>
      <c r="FN293" s="3347"/>
      <c r="FO293" s="3347"/>
      <c r="FP293" s="3347"/>
      <c r="FQ293" s="3347"/>
      <c r="FR293" s="3347"/>
      <c r="FS293" s="3347"/>
      <c r="FT293" s="3347"/>
      <c r="FU293" s="3347"/>
      <c r="FV293" s="3347"/>
      <c r="FW293" s="3347"/>
      <c r="FX293" s="3347"/>
      <c r="FY293" s="3347"/>
      <c r="FZ293" s="3347"/>
      <c r="GA293" s="3347"/>
      <c r="GB293" s="3347"/>
      <c r="GC293" s="3347"/>
      <c r="GD293" s="3347"/>
      <c r="GE293" s="3347"/>
      <c r="GF293" s="3347"/>
      <c r="GG293" s="3347"/>
      <c r="GH293" s="3347"/>
      <c r="GI293" s="3347"/>
      <c r="GJ293" s="3347"/>
      <c r="GK293" s="3347"/>
      <c r="GL293" s="3347"/>
      <c r="GM293" s="3347"/>
      <c r="GN293" s="3347"/>
      <c r="GO293" s="3347"/>
      <c r="GP293" s="3347"/>
      <c r="GQ293" s="3347"/>
      <c r="GR293" s="3347"/>
      <c r="GS293" s="3347"/>
      <c r="GT293" s="3347"/>
      <c r="GU293" s="3347"/>
      <c r="GV293" s="3347"/>
      <c r="GW293" s="3347"/>
      <c r="GX293" s="3347"/>
      <c r="GY293" s="3347"/>
      <c r="GZ293" s="3347"/>
      <c r="HA293" s="3347"/>
      <c r="HB293" s="3347"/>
      <c r="HC293" s="3347"/>
      <c r="HD293" s="3347"/>
      <c r="HE293" s="3347"/>
      <c r="HF293" s="3347"/>
      <c r="HG293" s="3347"/>
      <c r="HH293" s="3347"/>
      <c r="HI293" s="3347"/>
      <c r="HJ293" s="3347"/>
      <c r="HK293" s="3347"/>
      <c r="HL293" s="3347"/>
      <c r="HM293" s="3347"/>
      <c r="HN293" s="3347"/>
      <c r="HO293" s="3347"/>
      <c r="HP293" s="3347"/>
      <c r="HQ293" s="3347"/>
      <c r="HR293" s="3347"/>
      <c r="HS293" s="3347"/>
      <c r="HT293" s="3347"/>
      <c r="HU293" s="3347"/>
      <c r="HV293" s="3347"/>
      <c r="HW293" s="3347"/>
      <c r="HX293" s="3347"/>
      <c r="HY293" s="3347"/>
      <c r="HZ293" s="3347"/>
      <c r="IA293" s="3347"/>
      <c r="IB293" s="3347"/>
    </row>
    <row r="294" spans="1:243" hidden="1">
      <c r="A294" s="3267" t="s">
        <v>5185</v>
      </c>
      <c r="B294" s="3267" t="s">
        <v>5186</v>
      </c>
      <c r="C294" s="3269" t="s">
        <v>5187</v>
      </c>
      <c r="D294" s="3269" t="s">
        <v>5188</v>
      </c>
      <c r="E294" s="3268" t="s">
        <v>2985</v>
      </c>
      <c r="F294" s="3268" t="s">
        <v>3401</v>
      </c>
      <c r="G294" s="3267"/>
      <c r="H294" s="3267" t="s">
        <v>3225</v>
      </c>
      <c r="I294" s="3268" t="s">
        <v>3458</v>
      </c>
      <c r="J294" s="3267" t="s">
        <v>3380</v>
      </c>
      <c r="K294" s="3267" t="s">
        <v>5189</v>
      </c>
      <c r="L294" s="3267">
        <v>59.5</v>
      </c>
      <c r="M294" s="3267" t="s">
        <v>5190</v>
      </c>
      <c r="N294" s="3267" t="s">
        <v>3122</v>
      </c>
      <c r="O294" s="3267"/>
      <c r="P294" s="3267" t="s">
        <v>2963</v>
      </c>
      <c r="Q294" s="3271">
        <v>460000</v>
      </c>
      <c r="R294" s="3267">
        <v>7731</v>
      </c>
      <c r="S294" s="3272">
        <v>35.6</v>
      </c>
      <c r="T294" s="3273">
        <v>356000</v>
      </c>
      <c r="U294" s="3267">
        <v>5984</v>
      </c>
      <c r="V294" s="3289">
        <v>0.2</v>
      </c>
      <c r="W294" s="3272">
        <v>28.48</v>
      </c>
      <c r="X294" s="3275">
        <v>284800</v>
      </c>
      <c r="Y294" s="3276">
        <v>2006</v>
      </c>
      <c r="Z294" s="3276">
        <v>5</v>
      </c>
      <c r="AA294" s="3276">
        <v>15</v>
      </c>
      <c r="AB294" s="3267">
        <v>1065</v>
      </c>
      <c r="AC294" s="3267" t="s">
        <v>3480</v>
      </c>
      <c r="AD294" s="3267"/>
      <c r="AE294" s="3279" t="s">
        <v>3344</v>
      </c>
      <c r="AF294" s="3268" t="s">
        <v>2966</v>
      </c>
      <c r="AG294" s="3279" t="s">
        <v>2967</v>
      </c>
      <c r="AH294" s="3267"/>
      <c r="AI294" s="3279" t="s">
        <v>2992</v>
      </c>
      <c r="AJ294" s="3284"/>
      <c r="AK294" s="3278">
        <v>5</v>
      </c>
      <c r="AL294" s="3276">
        <v>67641700</v>
      </c>
      <c r="AM294" s="3276"/>
      <c r="AN294" s="3279" t="s">
        <v>3140</v>
      </c>
      <c r="AO294" s="3267"/>
      <c r="AP294" s="3279" t="s">
        <v>3305</v>
      </c>
      <c r="AQ294" s="3267" t="s">
        <v>3228</v>
      </c>
      <c r="AR294" s="3276"/>
      <c r="AS294" s="3276"/>
      <c r="AT294" s="3276"/>
      <c r="AU294" s="3276"/>
      <c r="AV294" s="3276"/>
      <c r="AW294" s="3276" t="s">
        <v>2997</v>
      </c>
      <c r="AX294" s="3276"/>
      <c r="AY294" s="3291"/>
      <c r="AZ294" s="3267" t="s">
        <v>5189</v>
      </c>
      <c r="BA294" s="3296"/>
      <c r="BB294" s="3297"/>
      <c r="BC294" s="3296"/>
      <c r="BD294" s="3298"/>
      <c r="BE294" s="3276">
        <v>13701190220</v>
      </c>
      <c r="BF294" s="3281"/>
      <c r="BG294" s="3293">
        <v>38818</v>
      </c>
      <c r="BH294" s="3267" t="s">
        <v>2998</v>
      </c>
      <c r="BI294" s="3314" t="s">
        <v>3305</v>
      </c>
      <c r="BJ294" s="3283">
        <v>38832</v>
      </c>
      <c r="BK294" s="3283"/>
      <c r="BL294" s="3267" t="s">
        <v>3249</v>
      </c>
      <c r="BM294" s="3276" t="s">
        <v>2879</v>
      </c>
      <c r="BN294" s="3276" t="s">
        <v>2999</v>
      </c>
      <c r="BO294" s="3276" t="s">
        <v>3146</v>
      </c>
      <c r="BP294" s="3276"/>
      <c r="BQ294" s="3276" t="e">
        <v>#DIV/0!</v>
      </c>
      <c r="BR294" s="3276" t="e">
        <v>#DIV/0!</v>
      </c>
      <c r="BS294" s="3285"/>
      <c r="BT294" s="3285"/>
      <c r="BU294" s="3285"/>
      <c r="BV294" s="3347"/>
      <c r="BW294" s="3347"/>
      <c r="BX294" s="3347"/>
      <c r="BY294" s="3347"/>
      <c r="BZ294" s="3347"/>
      <c r="CA294" s="3347"/>
      <c r="CB294" s="3347"/>
      <c r="CC294" s="3347"/>
      <c r="CD294" s="3347"/>
      <c r="CE294" s="3347"/>
      <c r="CF294" s="3347"/>
      <c r="CG294" s="3347"/>
      <c r="CH294" s="3347"/>
      <c r="CI294" s="3347"/>
      <c r="CJ294" s="3347"/>
      <c r="CK294" s="3347"/>
      <c r="CL294" s="3347"/>
      <c r="CM294" s="3347"/>
      <c r="CN294" s="3347"/>
      <c r="CO294" s="3347"/>
      <c r="CP294" s="3347"/>
      <c r="CQ294" s="3347"/>
      <c r="CR294" s="3347"/>
      <c r="CS294" s="3347"/>
      <c r="CT294" s="3347"/>
      <c r="CU294" s="3347"/>
      <c r="CV294" s="3347"/>
      <c r="CW294" s="3347"/>
      <c r="CX294" s="3347"/>
      <c r="CY294" s="3347"/>
      <c r="CZ294" s="3347"/>
      <c r="DA294" s="3347"/>
      <c r="DB294" s="3347"/>
      <c r="DC294" s="3347"/>
      <c r="DD294" s="3347"/>
      <c r="DE294" s="3347"/>
      <c r="DF294" s="3347"/>
      <c r="DG294" s="3347"/>
      <c r="DH294" s="3347"/>
      <c r="DI294" s="3347"/>
      <c r="DJ294" s="3347"/>
      <c r="DK294" s="3347"/>
      <c r="DL294" s="3347"/>
      <c r="DM294" s="3347"/>
      <c r="DN294" s="3347"/>
      <c r="DO294" s="3347"/>
      <c r="DP294" s="3347"/>
      <c r="DQ294" s="3347"/>
      <c r="DR294" s="3347"/>
      <c r="DS294" s="3347"/>
      <c r="DT294" s="3347"/>
      <c r="DU294" s="3347"/>
      <c r="DV294" s="3347"/>
      <c r="DW294" s="3347"/>
      <c r="DX294" s="3347"/>
      <c r="DY294" s="3347"/>
      <c r="DZ294" s="3347"/>
      <c r="EA294" s="3347"/>
      <c r="EB294" s="3347"/>
      <c r="EC294" s="3347"/>
      <c r="ED294" s="3347"/>
      <c r="EE294" s="3347"/>
      <c r="EF294" s="3347"/>
      <c r="EG294" s="3347"/>
      <c r="EH294" s="3347"/>
      <c r="EI294" s="3347"/>
      <c r="EJ294" s="3347"/>
      <c r="EK294" s="3347"/>
      <c r="EL294" s="3347"/>
      <c r="EM294" s="3347"/>
      <c r="EN294" s="3347"/>
      <c r="EO294" s="3347"/>
      <c r="EP294" s="3347"/>
      <c r="EQ294" s="3347"/>
      <c r="ER294" s="3347"/>
      <c r="ES294" s="3347"/>
      <c r="ET294" s="3347"/>
      <c r="EU294" s="3347"/>
      <c r="EV294" s="3347"/>
      <c r="EW294" s="3347"/>
      <c r="EX294" s="3347"/>
      <c r="EY294" s="3347"/>
      <c r="EZ294" s="3347"/>
      <c r="FA294" s="3347"/>
      <c r="FB294" s="3347"/>
      <c r="FC294" s="3347"/>
      <c r="FD294" s="3347"/>
      <c r="FE294" s="3347"/>
      <c r="FF294" s="3347"/>
      <c r="FG294" s="3347"/>
      <c r="FH294" s="3347"/>
      <c r="FI294" s="3347"/>
      <c r="FJ294" s="3347"/>
      <c r="FK294" s="3347"/>
      <c r="FL294" s="3347"/>
      <c r="FM294" s="3347"/>
      <c r="FN294" s="3347"/>
      <c r="FO294" s="3347"/>
      <c r="FP294" s="3347"/>
      <c r="FQ294" s="3347"/>
      <c r="FR294" s="3347"/>
      <c r="FS294" s="3347"/>
      <c r="FT294" s="3347"/>
      <c r="FU294" s="3347"/>
      <c r="FV294" s="3347"/>
      <c r="FW294" s="3347"/>
      <c r="FX294" s="3347"/>
      <c r="FY294" s="3347"/>
      <c r="FZ294" s="3347"/>
      <c r="GA294" s="3347"/>
      <c r="GB294" s="3347"/>
      <c r="GC294" s="3347"/>
      <c r="GD294" s="3347"/>
      <c r="GE294" s="3347"/>
      <c r="GF294" s="3347"/>
      <c r="GG294" s="3347"/>
      <c r="GH294" s="3347"/>
      <c r="GI294" s="3347"/>
      <c r="GJ294" s="3347"/>
      <c r="GK294" s="3347"/>
      <c r="GL294" s="3347"/>
      <c r="GM294" s="3347"/>
      <c r="GN294" s="3347"/>
      <c r="GO294" s="3347"/>
      <c r="GP294" s="3347"/>
      <c r="GQ294" s="3347"/>
      <c r="GR294" s="3347"/>
      <c r="GS294" s="3347"/>
      <c r="GT294" s="3347"/>
      <c r="GU294" s="3347"/>
      <c r="GV294" s="3347"/>
      <c r="GW294" s="3347"/>
      <c r="GX294" s="3347"/>
      <c r="GY294" s="3347"/>
      <c r="GZ294" s="3347"/>
      <c r="HA294" s="3347"/>
      <c r="HB294" s="3347"/>
      <c r="HC294" s="3347"/>
      <c r="HD294" s="3347"/>
      <c r="HE294" s="3347"/>
      <c r="HF294" s="3347"/>
      <c r="HG294" s="3347"/>
      <c r="HH294" s="3347"/>
      <c r="HI294" s="3347"/>
      <c r="HJ294" s="3347"/>
      <c r="HK294" s="3347"/>
      <c r="HL294" s="3347"/>
      <c r="HM294" s="3347"/>
      <c r="HN294" s="3347"/>
      <c r="HO294" s="3347"/>
      <c r="HP294" s="3347"/>
      <c r="HQ294" s="3347"/>
      <c r="HR294" s="3347"/>
      <c r="HS294" s="3347"/>
      <c r="HT294" s="3347"/>
      <c r="HU294" s="3347"/>
      <c r="HV294" s="3347"/>
      <c r="HW294" s="3347"/>
      <c r="HX294" s="3347"/>
      <c r="HY294" s="3347"/>
      <c r="HZ294" s="3347"/>
      <c r="IA294" s="3347"/>
      <c r="IB294" s="3347"/>
    </row>
    <row r="295" spans="1:243" hidden="1">
      <c r="A295" s="3267" t="s">
        <v>5191</v>
      </c>
      <c r="B295" s="3267" t="s">
        <v>5192</v>
      </c>
      <c r="C295" s="3269" t="s">
        <v>5193</v>
      </c>
      <c r="D295" s="3269" t="s">
        <v>5194</v>
      </c>
      <c r="E295" s="3268" t="s">
        <v>2985</v>
      </c>
      <c r="F295" s="3268" t="s">
        <v>3919</v>
      </c>
      <c r="G295" s="3267"/>
      <c r="H295" s="3267" t="s">
        <v>3169</v>
      </c>
      <c r="I295" s="3268"/>
      <c r="J295" s="3267">
        <v>2108</v>
      </c>
      <c r="K295" s="3267" t="s">
        <v>5195</v>
      </c>
      <c r="L295" s="3267">
        <v>67.88</v>
      </c>
      <c r="M295" s="3267">
        <v>21</v>
      </c>
      <c r="N295" s="3268" t="s">
        <v>3152</v>
      </c>
      <c r="O295" s="3267"/>
      <c r="P295" s="3268" t="s">
        <v>2963</v>
      </c>
      <c r="Q295" s="3271">
        <v>510000</v>
      </c>
      <c r="R295" s="3267">
        <v>7513</v>
      </c>
      <c r="S295" s="3272">
        <v>40.68</v>
      </c>
      <c r="T295" s="3362">
        <v>406800</v>
      </c>
      <c r="U295" s="3267">
        <v>5993</v>
      </c>
      <c r="V295" s="3289">
        <v>0.2</v>
      </c>
      <c r="W295" s="3272">
        <v>32.54</v>
      </c>
      <c r="X295" s="3275">
        <v>325400</v>
      </c>
      <c r="Y295" s="3276">
        <v>2006</v>
      </c>
      <c r="Z295" s="3276">
        <v>5</v>
      </c>
      <c r="AA295" s="3267">
        <v>31</v>
      </c>
      <c r="AB295" s="3267">
        <v>1220</v>
      </c>
      <c r="AC295" s="3267" t="s">
        <v>3110</v>
      </c>
      <c r="AD295" s="3267"/>
      <c r="AE295" s="3279" t="s">
        <v>3304</v>
      </c>
      <c r="AF295" s="3268" t="s">
        <v>2966</v>
      </c>
      <c r="AG295" s="3279" t="s">
        <v>2967</v>
      </c>
      <c r="AH295" s="3267" t="s">
        <v>2968</v>
      </c>
      <c r="AI295" s="3279" t="s">
        <v>2992</v>
      </c>
      <c r="AJ295" s="3284"/>
      <c r="AK295" s="3278">
        <v>5</v>
      </c>
      <c r="AL295" s="3276">
        <v>67641700</v>
      </c>
      <c r="AM295" s="3276"/>
      <c r="AN295" s="3279" t="s">
        <v>2994</v>
      </c>
      <c r="AO295" s="3276"/>
      <c r="AP295" s="3276" t="s">
        <v>3396</v>
      </c>
      <c r="AQ295" s="3276" t="s">
        <v>3113</v>
      </c>
      <c r="AR295" s="3276"/>
      <c r="AS295" s="3276"/>
      <c r="AT295" s="3276"/>
      <c r="AU295" s="3276" t="s">
        <v>2968</v>
      </c>
      <c r="AV295" s="3276" t="s">
        <v>2968</v>
      </c>
      <c r="AW295" s="3276" t="s">
        <v>3171</v>
      </c>
      <c r="AX295" s="3276"/>
      <c r="AY295" s="3291"/>
      <c r="AZ295" s="3267" t="s">
        <v>5195</v>
      </c>
      <c r="BA295" s="3296"/>
      <c r="BB295" s="3297"/>
      <c r="BC295" s="3296"/>
      <c r="BD295" s="3298"/>
      <c r="BE295" s="3276"/>
      <c r="BF295" s="3281"/>
      <c r="BG295" s="3293">
        <v>38861</v>
      </c>
      <c r="BH295" s="3267"/>
      <c r="BI295" s="3276" t="s">
        <v>3396</v>
      </c>
      <c r="BJ295" s="3283"/>
      <c r="BK295" s="3283" t="s">
        <v>2968</v>
      </c>
      <c r="BL295" s="3267" t="s">
        <v>2998</v>
      </c>
      <c r="BM295" s="3276" t="s">
        <v>2879</v>
      </c>
      <c r="BN295" s="3276" t="s">
        <v>2999</v>
      </c>
      <c r="BO295" s="3276" t="s">
        <v>3000</v>
      </c>
      <c r="BP295" s="3276"/>
      <c r="BQ295" s="3276" t="e">
        <v>#DIV/0!</v>
      </c>
      <c r="BR295" s="3276" t="e">
        <v>#DIV/0!</v>
      </c>
      <c r="BS295" s="3285"/>
      <c r="BT295" s="3285"/>
      <c r="BU295" s="3285"/>
      <c r="BV295" s="3347"/>
      <c r="BW295" s="3347"/>
      <c r="BX295" s="3347"/>
      <c r="BY295" s="3347"/>
      <c r="BZ295" s="3347"/>
      <c r="CA295" s="3347"/>
      <c r="CB295" s="3347"/>
      <c r="CC295" s="3347"/>
      <c r="CD295" s="3347"/>
      <c r="CE295" s="3347"/>
      <c r="CF295" s="3347"/>
      <c r="CG295" s="3347"/>
      <c r="CH295" s="3347"/>
      <c r="CI295" s="3347"/>
      <c r="CJ295" s="3347"/>
      <c r="CK295" s="3347"/>
      <c r="CL295" s="3347"/>
      <c r="CM295" s="3347"/>
      <c r="CN295" s="3347"/>
      <c r="CO295" s="3347"/>
      <c r="CP295" s="3347"/>
      <c r="CQ295" s="3347"/>
      <c r="CR295" s="3347"/>
      <c r="CS295" s="3347"/>
      <c r="CT295" s="3347"/>
      <c r="CU295" s="3347"/>
      <c r="CV295" s="3347"/>
      <c r="CW295" s="3347"/>
      <c r="CX295" s="3347"/>
      <c r="CY295" s="3347"/>
      <c r="CZ295" s="3347"/>
      <c r="DA295" s="3347"/>
      <c r="DB295" s="3347"/>
      <c r="DC295" s="3347"/>
      <c r="DD295" s="3347"/>
      <c r="DE295" s="3347"/>
      <c r="DF295" s="3347"/>
      <c r="DG295" s="3347"/>
      <c r="DH295" s="3347"/>
      <c r="DI295" s="3347"/>
      <c r="DJ295" s="3347"/>
      <c r="DK295" s="3347"/>
      <c r="DL295" s="3347"/>
      <c r="DM295" s="3347"/>
      <c r="DN295" s="3347"/>
      <c r="DO295" s="3347"/>
      <c r="DP295" s="3347"/>
      <c r="DQ295" s="3347"/>
      <c r="DR295" s="3347"/>
      <c r="DS295" s="3347"/>
      <c r="DT295" s="3347"/>
      <c r="DU295" s="3347"/>
      <c r="DV295" s="3347"/>
      <c r="DW295" s="3347"/>
      <c r="DX295" s="3347"/>
      <c r="DY295" s="3347"/>
      <c r="DZ295" s="3347"/>
      <c r="EA295" s="3347"/>
      <c r="EB295" s="3347"/>
      <c r="EC295" s="3347"/>
      <c r="ED295" s="3347"/>
      <c r="EE295" s="3347"/>
      <c r="EF295" s="3347"/>
      <c r="EG295" s="3347"/>
      <c r="EH295" s="3347"/>
      <c r="EI295" s="3347"/>
      <c r="EJ295" s="3347"/>
      <c r="EK295" s="3347"/>
      <c r="EL295" s="3347"/>
      <c r="EM295" s="3347"/>
      <c r="EN295" s="3347"/>
      <c r="EO295" s="3347"/>
      <c r="EP295" s="3347"/>
      <c r="EQ295" s="3347"/>
      <c r="ER295" s="3347"/>
      <c r="ES295" s="3347"/>
      <c r="ET295" s="3347"/>
      <c r="EU295" s="3347"/>
      <c r="EV295" s="3347"/>
      <c r="EW295" s="3347"/>
      <c r="EX295" s="3347"/>
      <c r="EY295" s="3347"/>
      <c r="EZ295" s="3347"/>
      <c r="FA295" s="3347"/>
      <c r="FB295" s="3347"/>
      <c r="FC295" s="3347"/>
      <c r="FD295" s="3347"/>
      <c r="FE295" s="3347"/>
      <c r="FF295" s="3347"/>
      <c r="FG295" s="3347"/>
      <c r="FH295" s="3347"/>
      <c r="FI295" s="3347"/>
      <c r="FJ295" s="3347"/>
      <c r="FK295" s="3347"/>
      <c r="FL295" s="3347"/>
      <c r="FM295" s="3347"/>
      <c r="FN295" s="3347"/>
      <c r="FO295" s="3347"/>
      <c r="FP295" s="3347"/>
      <c r="FQ295" s="3347"/>
      <c r="FR295" s="3347"/>
      <c r="FS295" s="3347"/>
      <c r="FT295" s="3347"/>
      <c r="FU295" s="3347"/>
      <c r="FV295" s="3347"/>
      <c r="FW295" s="3347"/>
      <c r="FX295" s="3347"/>
      <c r="FY295" s="3347"/>
      <c r="FZ295" s="3347"/>
      <c r="GA295" s="3347"/>
      <c r="GB295" s="3347"/>
      <c r="GC295" s="3347"/>
      <c r="GD295" s="3347"/>
      <c r="GE295" s="3347"/>
      <c r="GF295" s="3347"/>
      <c r="GG295" s="3347"/>
      <c r="GH295" s="3347"/>
      <c r="GI295" s="3347"/>
      <c r="GJ295" s="3347"/>
      <c r="GK295" s="3347"/>
      <c r="GL295" s="3347"/>
      <c r="GM295" s="3347"/>
      <c r="GN295" s="3347"/>
      <c r="GO295" s="3347"/>
      <c r="GP295" s="3347"/>
      <c r="GQ295" s="3347"/>
      <c r="GR295" s="3347"/>
      <c r="GS295" s="3347"/>
      <c r="GT295" s="3347"/>
      <c r="GU295" s="3347"/>
      <c r="GV295" s="3347"/>
      <c r="GW295" s="3347"/>
      <c r="GX295" s="3347"/>
      <c r="GY295" s="3347"/>
      <c r="GZ295" s="3347"/>
      <c r="HA295" s="3347"/>
      <c r="HB295" s="3347"/>
      <c r="HC295" s="3347"/>
      <c r="HD295" s="3347"/>
      <c r="HE295" s="3347"/>
      <c r="HF295" s="3347"/>
      <c r="HG295" s="3347"/>
      <c r="HH295" s="3347"/>
      <c r="HI295" s="3347"/>
      <c r="HJ295" s="3347"/>
      <c r="HK295" s="3347"/>
      <c r="HL295" s="3347"/>
      <c r="HM295" s="3347"/>
      <c r="HN295" s="3347"/>
      <c r="HO295" s="3347"/>
      <c r="HP295" s="3347"/>
      <c r="HQ295" s="3347"/>
      <c r="HR295" s="3347"/>
      <c r="HS295" s="3347"/>
      <c r="HT295" s="3347"/>
      <c r="HU295" s="3347"/>
      <c r="HV295" s="3347"/>
      <c r="HW295" s="3347"/>
      <c r="HX295" s="3347"/>
      <c r="HY295" s="3347"/>
      <c r="HZ295" s="3347"/>
      <c r="IA295" s="3347"/>
      <c r="IB295" s="3347"/>
    </row>
    <row r="296" spans="1:243" hidden="1">
      <c r="A296" s="3267" t="s">
        <v>5196</v>
      </c>
      <c r="B296" s="3267" t="s">
        <v>5197</v>
      </c>
      <c r="C296" s="3269" t="s">
        <v>5198</v>
      </c>
      <c r="D296" s="3267">
        <v>13810800832</v>
      </c>
      <c r="E296" s="3267" t="s">
        <v>2985</v>
      </c>
      <c r="F296" s="3267" t="s">
        <v>5199</v>
      </c>
      <c r="G296" s="3267"/>
      <c r="H296" s="3267" t="s">
        <v>3182</v>
      </c>
      <c r="I296" s="3267"/>
      <c r="J296" s="3267" t="s">
        <v>5200</v>
      </c>
      <c r="K296" s="3268" t="s">
        <v>5201</v>
      </c>
      <c r="L296" s="3267">
        <v>111.33</v>
      </c>
      <c r="M296" s="3267">
        <v>22</v>
      </c>
      <c r="N296" s="3267" t="s">
        <v>2989</v>
      </c>
      <c r="O296" s="3267"/>
      <c r="P296" s="3267" t="s">
        <v>2963</v>
      </c>
      <c r="Q296" s="3267">
        <v>660000</v>
      </c>
      <c r="R296" s="3267">
        <v>5928</v>
      </c>
      <c r="S296" s="3272">
        <v>65.819999999999993</v>
      </c>
      <c r="T296" s="3273">
        <v>658200</v>
      </c>
      <c r="U296" s="3267">
        <v>5913</v>
      </c>
      <c r="V296" s="3289">
        <v>0.2</v>
      </c>
      <c r="W296" s="3272">
        <v>52.65</v>
      </c>
      <c r="X296" s="3275">
        <v>526500</v>
      </c>
      <c r="Y296" s="3267">
        <v>2006</v>
      </c>
      <c r="Z296" s="3267">
        <v>6</v>
      </c>
      <c r="AA296" s="3276">
        <v>8</v>
      </c>
      <c r="AB296" s="3267">
        <v>1500</v>
      </c>
      <c r="AC296" s="3267" t="s">
        <v>3110</v>
      </c>
      <c r="AD296" s="3267"/>
      <c r="AE296" s="3268" t="s">
        <v>3342</v>
      </c>
      <c r="AF296" s="3267" t="s">
        <v>2966</v>
      </c>
      <c r="AG296" s="3267" t="s">
        <v>2967</v>
      </c>
      <c r="AH296" s="3267"/>
      <c r="AI296" s="3279" t="s">
        <v>2992</v>
      </c>
      <c r="AJ296" s="3284"/>
      <c r="AK296" s="3278" t="s">
        <v>3160</v>
      </c>
      <c r="AL296" s="3276">
        <v>67641700</v>
      </c>
      <c r="AM296" s="3267"/>
      <c r="AN296" s="3306" t="s">
        <v>3140</v>
      </c>
      <c r="AO296" s="3267" t="s">
        <v>2968</v>
      </c>
      <c r="AP296" s="3279" t="s">
        <v>3305</v>
      </c>
      <c r="AQ296" s="3276" t="s">
        <v>2996</v>
      </c>
      <c r="AR296" s="3267"/>
      <c r="AS296" s="3267"/>
      <c r="AT296" s="3267"/>
      <c r="AU296" s="3267"/>
      <c r="AV296" s="3267"/>
      <c r="AW296" s="3267" t="s">
        <v>2997</v>
      </c>
      <c r="AX296" s="3267"/>
      <c r="AY296" s="3269"/>
      <c r="AZ296" s="3268" t="s">
        <v>5201</v>
      </c>
      <c r="BA296" s="3267"/>
      <c r="BB296" s="3267"/>
      <c r="BC296" s="3267"/>
      <c r="BD296" s="3267"/>
      <c r="BE296" s="3267"/>
      <c r="BF296" s="3267"/>
      <c r="BG296" s="3307">
        <v>38875</v>
      </c>
      <c r="BH296" s="3267"/>
      <c r="BI296" s="3267" t="s">
        <v>3424</v>
      </c>
      <c r="BJ296" s="3299"/>
      <c r="BK296" s="3283"/>
      <c r="BL296" s="3267" t="s">
        <v>2998</v>
      </c>
      <c r="BM296" s="3267" t="s">
        <v>2879</v>
      </c>
      <c r="BN296" s="3267" t="s">
        <v>3111</v>
      </c>
      <c r="BO296" s="3267" t="s">
        <v>3146</v>
      </c>
      <c r="BP296" s="3267"/>
      <c r="BQ296" s="3276" t="e">
        <v>#DIV/0!</v>
      </c>
      <c r="BR296" s="3276" t="e">
        <v>#DIV/0!</v>
      </c>
      <c r="BS296" s="3285"/>
      <c r="BT296" s="3285"/>
      <c r="BU296" s="3285"/>
      <c r="BV296" s="3347"/>
      <c r="BW296" s="3347"/>
      <c r="BX296" s="3347"/>
      <c r="BY296" s="3347"/>
      <c r="BZ296" s="3347"/>
      <c r="CA296" s="3347"/>
      <c r="CB296" s="3347"/>
      <c r="CC296" s="3347"/>
      <c r="CD296" s="3347"/>
      <c r="CE296" s="3347"/>
      <c r="CF296" s="3347"/>
      <c r="CG296" s="3347"/>
      <c r="CH296" s="3347"/>
      <c r="CI296" s="3347"/>
      <c r="CJ296" s="3347"/>
      <c r="CK296" s="3347"/>
      <c r="CL296" s="3347"/>
      <c r="CM296" s="3347"/>
      <c r="CN296" s="3347"/>
      <c r="CO296" s="3347"/>
      <c r="CP296" s="3347"/>
      <c r="CQ296" s="3347"/>
      <c r="CR296" s="3347"/>
      <c r="CS296" s="3347"/>
      <c r="CT296" s="3347"/>
      <c r="CU296" s="3347"/>
      <c r="CV296" s="3347"/>
      <c r="CW296" s="3347"/>
      <c r="CX296" s="3347"/>
      <c r="CY296" s="3347"/>
      <c r="CZ296" s="3347"/>
      <c r="DA296" s="3347"/>
      <c r="DB296" s="3347"/>
      <c r="DC296" s="3347"/>
      <c r="DD296" s="3347"/>
      <c r="DE296" s="3347"/>
      <c r="DF296" s="3347"/>
      <c r="DG296" s="3347"/>
      <c r="DH296" s="3347"/>
      <c r="DI296" s="3347"/>
      <c r="DJ296" s="3347"/>
      <c r="DK296" s="3347"/>
      <c r="DL296" s="3347"/>
      <c r="DM296" s="3347"/>
      <c r="DN296" s="3347"/>
      <c r="DO296" s="3347"/>
      <c r="DP296" s="3347"/>
      <c r="DQ296" s="3347"/>
      <c r="DR296" s="3347"/>
      <c r="DS296" s="3347"/>
      <c r="DT296" s="3347"/>
      <c r="DU296" s="3347"/>
      <c r="DV296" s="3347"/>
      <c r="DW296" s="3347"/>
      <c r="DX296" s="3347"/>
      <c r="DY296" s="3347"/>
      <c r="DZ296" s="3347"/>
      <c r="EA296" s="3347"/>
      <c r="EB296" s="3347"/>
      <c r="EC296" s="3347"/>
      <c r="ED296" s="3347"/>
      <c r="EE296" s="3347"/>
      <c r="EF296" s="3347"/>
      <c r="EG296" s="3347"/>
      <c r="EH296" s="3347"/>
      <c r="EI296" s="3347"/>
      <c r="EJ296" s="3347"/>
      <c r="EK296" s="3347"/>
      <c r="EL296" s="3347"/>
      <c r="EM296" s="3347"/>
      <c r="EN296" s="3347"/>
      <c r="EO296" s="3347"/>
      <c r="EP296" s="3347"/>
      <c r="EQ296" s="3347"/>
      <c r="ER296" s="3347"/>
      <c r="ES296" s="3347"/>
      <c r="ET296" s="3347"/>
      <c r="EU296" s="3347"/>
      <c r="EV296" s="3347"/>
      <c r="EW296" s="3347"/>
      <c r="EX296" s="3347"/>
      <c r="EY296" s="3347"/>
      <c r="EZ296" s="3347"/>
      <c r="FA296" s="3347"/>
      <c r="FB296" s="3347"/>
      <c r="FC296" s="3347"/>
      <c r="FD296" s="3347"/>
      <c r="FE296" s="3347"/>
      <c r="FF296" s="3347"/>
      <c r="FG296" s="3347"/>
      <c r="FH296" s="3347"/>
      <c r="FI296" s="3347"/>
      <c r="FJ296" s="3347"/>
      <c r="FK296" s="3347"/>
      <c r="FL296" s="3347"/>
      <c r="FM296" s="3347"/>
      <c r="FN296" s="3347"/>
      <c r="FO296" s="3347"/>
      <c r="FP296" s="3347"/>
      <c r="FQ296" s="3347"/>
      <c r="FR296" s="3347"/>
      <c r="FS296" s="3347"/>
      <c r="FT296" s="3347"/>
      <c r="FU296" s="3347"/>
      <c r="FV296" s="3347"/>
      <c r="FW296" s="3347"/>
      <c r="FX296" s="3347"/>
      <c r="FY296" s="3347"/>
      <c r="FZ296" s="3347"/>
      <c r="GA296" s="3347"/>
      <c r="GB296" s="3347"/>
      <c r="GC296" s="3347"/>
      <c r="GD296" s="3347"/>
      <c r="GE296" s="3347"/>
      <c r="GF296" s="3347"/>
      <c r="GG296" s="3347"/>
      <c r="GH296" s="3347"/>
      <c r="GI296" s="3347"/>
      <c r="GJ296" s="3347"/>
      <c r="GK296" s="3347"/>
      <c r="GL296" s="3347"/>
      <c r="GM296" s="3347"/>
      <c r="GN296" s="3347"/>
      <c r="GO296" s="3347"/>
      <c r="GP296" s="3347"/>
      <c r="GQ296" s="3347"/>
      <c r="GR296" s="3347"/>
      <c r="GS296" s="3347"/>
      <c r="GT296" s="3347"/>
      <c r="GU296" s="3347"/>
      <c r="GV296" s="3347"/>
      <c r="GW296" s="3347"/>
      <c r="GX296" s="3347"/>
      <c r="GY296" s="3347"/>
      <c r="GZ296" s="3347"/>
      <c r="HA296" s="3347"/>
      <c r="HB296" s="3347"/>
      <c r="HC296" s="3347"/>
      <c r="HD296" s="3347"/>
      <c r="HE296" s="3347"/>
      <c r="HF296" s="3347"/>
      <c r="HG296" s="3347"/>
      <c r="HH296" s="3347"/>
      <c r="HI296" s="3347"/>
      <c r="HJ296" s="3347"/>
      <c r="HK296" s="3347"/>
      <c r="HL296" s="3347"/>
      <c r="HM296" s="3347"/>
      <c r="HN296" s="3347"/>
      <c r="HO296" s="3347"/>
      <c r="HP296" s="3347"/>
      <c r="HQ296" s="3347"/>
      <c r="HR296" s="3347"/>
      <c r="HS296" s="3347"/>
      <c r="HT296" s="3347"/>
      <c r="HU296" s="3347"/>
      <c r="HV296" s="3347"/>
      <c r="HW296" s="3347"/>
      <c r="HX296" s="3347"/>
      <c r="HY296" s="3347"/>
      <c r="HZ296" s="3347"/>
      <c r="IA296" s="3347"/>
      <c r="IB296" s="3347"/>
    </row>
    <row r="297" spans="1:243" hidden="1">
      <c r="A297" s="3267" t="s">
        <v>5202</v>
      </c>
      <c r="B297" s="3267" t="s">
        <v>5203</v>
      </c>
      <c r="C297" s="3269" t="s">
        <v>5204</v>
      </c>
      <c r="D297" s="3267">
        <v>13717642910</v>
      </c>
      <c r="E297" s="3267" t="s">
        <v>2985</v>
      </c>
      <c r="F297" s="3267" t="s">
        <v>3385</v>
      </c>
      <c r="G297" s="3267"/>
      <c r="H297" s="3267" t="s">
        <v>3130</v>
      </c>
      <c r="I297" s="3267"/>
      <c r="J297" s="3267" t="s">
        <v>5205</v>
      </c>
      <c r="K297" s="3268" t="s">
        <v>5206</v>
      </c>
      <c r="L297" s="3267">
        <v>204.77</v>
      </c>
      <c r="M297" s="3354" t="s">
        <v>5207</v>
      </c>
      <c r="N297" s="3267" t="s">
        <v>3129</v>
      </c>
      <c r="O297" s="3267"/>
      <c r="P297" s="3267" t="s">
        <v>3495</v>
      </c>
      <c r="Q297" s="3267">
        <v>1250000</v>
      </c>
      <c r="R297" s="3267">
        <v>6104</v>
      </c>
      <c r="S297" s="3272">
        <v>126.58</v>
      </c>
      <c r="T297" s="3273">
        <v>1265800</v>
      </c>
      <c r="U297" s="3267">
        <v>6182</v>
      </c>
      <c r="V297" s="3274">
        <v>0.2</v>
      </c>
      <c r="W297" s="3272">
        <v>101.26</v>
      </c>
      <c r="X297" s="3275">
        <v>1012600</v>
      </c>
      <c r="Y297" s="3267">
        <v>2006</v>
      </c>
      <c r="Z297" s="3267">
        <v>6</v>
      </c>
      <c r="AA297" s="3276">
        <v>13</v>
      </c>
      <c r="AB297" s="3267">
        <v>1500</v>
      </c>
      <c r="AC297" s="3267" t="s">
        <v>3110</v>
      </c>
      <c r="AD297" s="3267"/>
      <c r="AE297" s="3267" t="s">
        <v>2991</v>
      </c>
      <c r="AF297" s="3267" t="s">
        <v>2966</v>
      </c>
      <c r="AG297" s="3267" t="s">
        <v>2967</v>
      </c>
      <c r="AH297" s="3267"/>
      <c r="AI297" s="3267" t="s">
        <v>3115</v>
      </c>
      <c r="AJ297" s="3284"/>
      <c r="AK297" s="3267" t="s">
        <v>3160</v>
      </c>
      <c r="AL297" s="3267">
        <v>82253558</v>
      </c>
      <c r="AM297" s="3267"/>
      <c r="AN297" s="3267" t="s">
        <v>3114</v>
      </c>
      <c r="AO297" s="3267" t="s">
        <v>2968</v>
      </c>
      <c r="AP297" s="3267" t="s">
        <v>2991</v>
      </c>
      <c r="AQ297" s="3276" t="s">
        <v>2996</v>
      </c>
      <c r="AR297" s="3267"/>
      <c r="AS297" s="3267"/>
      <c r="AT297" s="3267"/>
      <c r="AU297" s="3267"/>
      <c r="AV297" s="3267"/>
      <c r="AW297" s="3267" t="s">
        <v>2997</v>
      </c>
      <c r="AX297" s="3267"/>
      <c r="AY297" s="3269"/>
      <c r="AZ297" s="3267"/>
      <c r="BA297" s="3267"/>
      <c r="BB297" s="3267"/>
      <c r="BC297" s="3267"/>
      <c r="BD297" s="3267"/>
      <c r="BE297" s="3267"/>
      <c r="BF297" s="3267"/>
      <c r="BG297" s="3307">
        <v>38875</v>
      </c>
      <c r="BH297" s="3267"/>
      <c r="BI297" s="3276" t="s">
        <v>2991</v>
      </c>
      <c r="BJ297" s="3299"/>
      <c r="BK297" s="3283"/>
      <c r="BL297" s="3267" t="s">
        <v>2998</v>
      </c>
      <c r="BM297" s="3267" t="s">
        <v>2879</v>
      </c>
      <c r="BN297" s="3267" t="s">
        <v>2999</v>
      </c>
      <c r="BO297" s="3267" t="s">
        <v>3000</v>
      </c>
      <c r="BP297" s="3267"/>
      <c r="BQ297" s="3276" t="e">
        <v>#DIV/0!</v>
      </c>
      <c r="BR297" s="3276" t="e">
        <v>#DIV/0!</v>
      </c>
      <c r="BS297" s="3285"/>
      <c r="BT297" s="3285"/>
      <c r="BU297" s="3285"/>
      <c r="BV297" s="3347"/>
      <c r="BW297" s="3347"/>
      <c r="BX297" s="3347"/>
      <c r="BY297" s="3347"/>
      <c r="BZ297" s="3347"/>
      <c r="CA297" s="3347"/>
      <c r="CB297" s="3347"/>
      <c r="CC297" s="3347"/>
      <c r="CD297" s="3347"/>
      <c r="CE297" s="3347"/>
      <c r="CF297" s="3347"/>
      <c r="CG297" s="3347"/>
      <c r="CH297" s="3347"/>
      <c r="CI297" s="3347"/>
      <c r="CJ297" s="3347"/>
      <c r="CK297" s="3347"/>
      <c r="CL297" s="3347"/>
      <c r="CM297" s="3347"/>
      <c r="CN297" s="3347"/>
      <c r="CO297" s="3347"/>
      <c r="CP297" s="3347"/>
      <c r="CQ297" s="3347"/>
      <c r="CR297" s="3347"/>
      <c r="CS297" s="3347"/>
      <c r="CT297" s="3347"/>
      <c r="CU297" s="3347"/>
      <c r="CV297" s="3347"/>
      <c r="CW297" s="3347"/>
      <c r="CX297" s="3347"/>
      <c r="CY297" s="3347"/>
      <c r="CZ297" s="3347"/>
      <c r="DA297" s="3347"/>
      <c r="DB297" s="3347"/>
      <c r="DC297" s="3347"/>
      <c r="DD297" s="3347"/>
      <c r="DE297" s="3347"/>
      <c r="DF297" s="3347"/>
      <c r="DG297" s="3347"/>
      <c r="DH297" s="3347"/>
      <c r="DI297" s="3347"/>
      <c r="DJ297" s="3347"/>
      <c r="DK297" s="3347"/>
      <c r="DL297" s="3347"/>
      <c r="DM297" s="3347"/>
      <c r="DN297" s="3347"/>
      <c r="DO297" s="3347"/>
      <c r="DP297" s="3347"/>
      <c r="DQ297" s="3347"/>
      <c r="DR297" s="3347"/>
      <c r="DS297" s="3347"/>
      <c r="DT297" s="3347"/>
      <c r="DU297" s="3347"/>
      <c r="DV297" s="3347"/>
      <c r="DW297" s="3347"/>
      <c r="DX297" s="3347"/>
      <c r="DY297" s="3347"/>
      <c r="DZ297" s="3347"/>
      <c r="EA297" s="3347"/>
      <c r="EB297" s="3347"/>
      <c r="EC297" s="3347"/>
      <c r="ED297" s="3347"/>
      <c r="EE297" s="3347"/>
      <c r="EF297" s="3347"/>
      <c r="EG297" s="3347"/>
      <c r="EH297" s="3347"/>
      <c r="EI297" s="3347"/>
      <c r="EJ297" s="3347"/>
      <c r="EK297" s="3347"/>
      <c r="EL297" s="3347"/>
      <c r="EM297" s="3347"/>
      <c r="EN297" s="3347"/>
      <c r="EO297" s="3347"/>
      <c r="EP297" s="3347"/>
      <c r="EQ297" s="3347"/>
      <c r="ER297" s="3347"/>
      <c r="ES297" s="3347"/>
      <c r="ET297" s="3347"/>
      <c r="EU297" s="3347"/>
      <c r="EV297" s="3347"/>
      <c r="EW297" s="3347"/>
      <c r="EX297" s="3347"/>
      <c r="EY297" s="3347"/>
      <c r="EZ297" s="3347"/>
      <c r="FA297" s="3347"/>
      <c r="FB297" s="3347"/>
      <c r="FC297" s="3347"/>
      <c r="FD297" s="3347"/>
      <c r="FE297" s="3347"/>
      <c r="FF297" s="3347"/>
      <c r="FG297" s="3347"/>
      <c r="FH297" s="3347"/>
      <c r="FI297" s="3347"/>
      <c r="FJ297" s="3347"/>
      <c r="FK297" s="3347"/>
      <c r="FL297" s="3347"/>
      <c r="FM297" s="3347"/>
      <c r="FN297" s="3347"/>
      <c r="FO297" s="3347"/>
      <c r="FP297" s="3347"/>
      <c r="FQ297" s="3347"/>
      <c r="FR297" s="3347"/>
      <c r="FS297" s="3347"/>
      <c r="FT297" s="3347"/>
      <c r="FU297" s="3347"/>
      <c r="FV297" s="3347"/>
      <c r="FW297" s="3347"/>
      <c r="FX297" s="3347"/>
      <c r="FY297" s="3347"/>
      <c r="FZ297" s="3347"/>
      <c r="GA297" s="3347"/>
      <c r="GB297" s="3347"/>
      <c r="GC297" s="3347"/>
      <c r="GD297" s="3347"/>
      <c r="GE297" s="3347"/>
      <c r="GF297" s="3347"/>
      <c r="GG297" s="3347"/>
      <c r="GH297" s="3347"/>
      <c r="GI297" s="3347"/>
      <c r="GJ297" s="3347"/>
      <c r="GK297" s="3347"/>
      <c r="GL297" s="3347"/>
      <c r="GM297" s="3347"/>
      <c r="GN297" s="3347"/>
      <c r="GO297" s="3347"/>
      <c r="GP297" s="3347"/>
      <c r="GQ297" s="3347"/>
      <c r="GR297" s="3347"/>
      <c r="GS297" s="3347"/>
      <c r="GT297" s="3347"/>
      <c r="GU297" s="3347"/>
      <c r="GV297" s="3347"/>
      <c r="GW297" s="3347"/>
      <c r="GX297" s="3347"/>
      <c r="GY297" s="3347"/>
      <c r="GZ297" s="3347"/>
      <c r="HA297" s="3347"/>
      <c r="HB297" s="3347"/>
      <c r="HC297" s="3347"/>
      <c r="HD297" s="3347"/>
      <c r="HE297" s="3347"/>
      <c r="HF297" s="3347"/>
      <c r="HG297" s="3347"/>
      <c r="HH297" s="3347"/>
      <c r="HI297" s="3347"/>
      <c r="HJ297" s="3347"/>
      <c r="HK297" s="3347"/>
      <c r="HL297" s="3347"/>
      <c r="HM297" s="3347"/>
      <c r="HN297" s="3347"/>
      <c r="HO297" s="3347"/>
      <c r="HP297" s="3347"/>
      <c r="HQ297" s="3347"/>
      <c r="HR297" s="3347"/>
      <c r="HS297" s="3347"/>
      <c r="HT297" s="3347"/>
      <c r="HU297" s="3347"/>
      <c r="HV297" s="3347"/>
      <c r="HW297" s="3347"/>
      <c r="HX297" s="3347"/>
      <c r="HY297" s="3347"/>
      <c r="HZ297" s="3347"/>
      <c r="IA297" s="3347"/>
      <c r="IB297" s="3347"/>
    </row>
    <row r="298" spans="1:243" ht="14.25" hidden="1">
      <c r="A298" s="3267" t="s">
        <v>5208</v>
      </c>
      <c r="B298" s="3267" t="s">
        <v>5209</v>
      </c>
      <c r="C298" s="3269" t="s">
        <v>5210</v>
      </c>
      <c r="D298" s="3269" t="s">
        <v>5211</v>
      </c>
      <c r="E298" s="3268" t="s">
        <v>2985</v>
      </c>
      <c r="F298" s="3268" t="s">
        <v>3279</v>
      </c>
      <c r="G298" s="3267"/>
      <c r="H298" s="3267" t="s">
        <v>3727</v>
      </c>
      <c r="I298" s="3268"/>
      <c r="J298" s="3267" t="s">
        <v>5212</v>
      </c>
      <c r="K298" s="3267" t="s">
        <v>5209</v>
      </c>
      <c r="L298" s="3267">
        <v>79.930000000000007</v>
      </c>
      <c r="M298" s="3267">
        <v>9</v>
      </c>
      <c r="N298" s="3267" t="s">
        <v>3122</v>
      </c>
      <c r="O298" s="3267" t="s">
        <v>2968</v>
      </c>
      <c r="P298" s="3267" t="s">
        <v>2963</v>
      </c>
      <c r="Q298" s="3271">
        <v>565000</v>
      </c>
      <c r="R298" s="3288">
        <v>7069</v>
      </c>
      <c r="S298" s="3272">
        <v>45.56</v>
      </c>
      <c r="T298" s="3273">
        <v>455600</v>
      </c>
      <c r="U298" s="3267">
        <v>5700</v>
      </c>
      <c r="V298" s="3289">
        <v>0.2</v>
      </c>
      <c r="W298" s="3272">
        <v>36.44</v>
      </c>
      <c r="X298" s="3273">
        <v>364400</v>
      </c>
      <c r="Y298" s="3267">
        <v>2006</v>
      </c>
      <c r="Z298" s="3276">
        <v>7</v>
      </c>
      <c r="AA298" s="3276">
        <v>26</v>
      </c>
      <c r="AB298" s="3267">
        <v>1365</v>
      </c>
      <c r="AC298" s="3267" t="s">
        <v>3444</v>
      </c>
      <c r="AD298" s="3267"/>
      <c r="AE298" s="3279" t="s">
        <v>3245</v>
      </c>
      <c r="AF298" s="3268" t="s">
        <v>2966</v>
      </c>
      <c r="AG298" s="3279" t="s">
        <v>2967</v>
      </c>
      <c r="AH298" s="3267" t="s">
        <v>2968</v>
      </c>
      <c r="AI298" s="3279" t="s">
        <v>2992</v>
      </c>
      <c r="AJ298" s="3284"/>
      <c r="AK298" s="3278">
        <v>7</v>
      </c>
      <c r="AL298" s="3276">
        <v>52</v>
      </c>
      <c r="AM298" s="3267" t="s">
        <v>5213</v>
      </c>
      <c r="AN298" s="3279" t="s">
        <v>2994</v>
      </c>
      <c r="AO298" s="3267"/>
      <c r="AP298" s="3279" t="s">
        <v>3305</v>
      </c>
      <c r="AQ298" s="3267" t="s">
        <v>3228</v>
      </c>
      <c r="AR298" s="3276"/>
      <c r="AS298" s="3276"/>
      <c r="AT298" s="3276"/>
      <c r="AU298" s="3276"/>
      <c r="AV298" s="3276" t="s">
        <v>2968</v>
      </c>
      <c r="AW298" s="3276" t="s">
        <v>2997</v>
      </c>
      <c r="AX298" s="3276"/>
      <c r="AY298" s="3291"/>
      <c r="AZ298" s="3267"/>
      <c r="BA298" s="3296"/>
      <c r="BB298" s="3297"/>
      <c r="BC298" s="3296"/>
      <c r="BD298" s="3298"/>
      <c r="BE298" s="3276"/>
      <c r="BF298" s="3281"/>
      <c r="BG298" s="3293">
        <v>38880</v>
      </c>
      <c r="BH298" s="3267" t="s">
        <v>2998</v>
      </c>
      <c r="BI298" s="3276" t="s">
        <v>5214</v>
      </c>
      <c r="BJ298" s="3283">
        <v>38894</v>
      </c>
      <c r="BK298" s="3283"/>
      <c r="BL298" s="3267" t="s">
        <v>3249</v>
      </c>
      <c r="BM298" s="3276" t="s">
        <v>2879</v>
      </c>
      <c r="BN298" s="3276" t="s">
        <v>2999</v>
      </c>
      <c r="BO298" s="3276" t="s">
        <v>3146</v>
      </c>
      <c r="BP298" s="3276"/>
      <c r="BQ298" s="3276" t="e">
        <v>#VALUE!</v>
      </c>
      <c r="BR298" s="3276" t="e">
        <v>#VALUE!</v>
      </c>
      <c r="BS298" s="3285"/>
      <c r="BT298" s="3285"/>
      <c r="BU298" s="3285"/>
      <c r="BV298" s="3341"/>
      <c r="BW298" s="3341"/>
      <c r="BX298" s="3341"/>
      <c r="BY298" s="3341"/>
      <c r="BZ298" s="3341"/>
      <c r="CA298" s="3341"/>
      <c r="CB298" s="3341"/>
      <c r="CC298" s="3341"/>
      <c r="CD298" s="3341"/>
      <c r="CE298" s="3341"/>
      <c r="CF298" s="3341"/>
      <c r="CG298" s="3341"/>
      <c r="CH298" s="3341"/>
      <c r="CI298" s="3341"/>
      <c r="CJ298" s="3341"/>
      <c r="CK298" s="3341"/>
      <c r="CL298" s="3341"/>
      <c r="CM298" s="3341"/>
      <c r="CN298" s="3341"/>
      <c r="CO298" s="3341"/>
      <c r="CP298" s="3341"/>
      <c r="CQ298" s="3341"/>
      <c r="CR298" s="3341"/>
      <c r="CS298" s="3341"/>
      <c r="CT298" s="3341"/>
      <c r="CU298" s="3341"/>
      <c r="CV298" s="3341"/>
      <c r="CW298" s="3341"/>
      <c r="CX298" s="3341"/>
      <c r="CY298" s="3341"/>
      <c r="CZ298" s="3341"/>
      <c r="DA298" s="3341"/>
      <c r="DB298" s="3341"/>
      <c r="DC298" s="3341"/>
      <c r="DD298" s="3341"/>
      <c r="DE298" s="3341"/>
      <c r="DF298" s="3341"/>
      <c r="DG298" s="3341"/>
      <c r="DH298" s="3341"/>
      <c r="DI298" s="3341"/>
      <c r="DJ298" s="3341"/>
      <c r="DK298" s="3341"/>
      <c r="DL298" s="3341"/>
      <c r="DM298" s="3341"/>
      <c r="DN298" s="3341"/>
      <c r="DO298" s="3341"/>
      <c r="DP298" s="3341"/>
      <c r="DQ298" s="3341"/>
      <c r="DR298" s="3341"/>
      <c r="DS298" s="3341"/>
      <c r="DT298" s="3341"/>
      <c r="DU298" s="3341"/>
      <c r="DV298" s="3341"/>
      <c r="DW298" s="3341"/>
      <c r="DX298" s="3341"/>
      <c r="DY298" s="3341"/>
      <c r="DZ298" s="3341"/>
      <c r="EA298" s="3341"/>
      <c r="EB298" s="3341"/>
      <c r="EC298" s="3341"/>
      <c r="ED298" s="3341"/>
      <c r="EE298" s="3341"/>
      <c r="EF298" s="3341"/>
      <c r="EG298" s="3341"/>
      <c r="EH298" s="3341"/>
      <c r="EI298" s="3341"/>
      <c r="EJ298" s="3341"/>
      <c r="EK298" s="3341"/>
      <c r="EL298" s="3341"/>
      <c r="EM298" s="3341"/>
      <c r="EN298" s="3341"/>
      <c r="EO298" s="3341"/>
      <c r="EP298" s="3341"/>
      <c r="EQ298" s="3341"/>
      <c r="ER298" s="3341"/>
      <c r="ES298" s="3341"/>
      <c r="ET298" s="3341"/>
      <c r="EU298" s="3341"/>
      <c r="EV298" s="3341"/>
      <c r="EW298" s="3341"/>
      <c r="EX298" s="3341"/>
      <c r="EY298" s="3341"/>
      <c r="EZ298" s="3341"/>
      <c r="FA298" s="3341"/>
      <c r="FB298" s="3341"/>
      <c r="FC298" s="3341"/>
      <c r="FD298" s="3341"/>
      <c r="FE298" s="3341"/>
      <c r="FF298" s="3341"/>
      <c r="FG298" s="3341"/>
      <c r="FH298" s="3341"/>
      <c r="FI298" s="3341"/>
      <c r="FJ298" s="3341"/>
      <c r="FK298" s="3341"/>
      <c r="FL298" s="3341"/>
      <c r="FM298" s="3341"/>
      <c r="FN298" s="3341"/>
      <c r="FO298" s="3341"/>
      <c r="FP298" s="3341"/>
      <c r="FQ298" s="3341"/>
      <c r="FR298" s="3341"/>
      <c r="FS298" s="3341"/>
      <c r="FT298" s="3341"/>
      <c r="FU298" s="3341"/>
      <c r="FV298" s="3341"/>
      <c r="FW298" s="3341"/>
      <c r="FX298" s="3341"/>
      <c r="FY298" s="3341"/>
      <c r="FZ298" s="3341"/>
      <c r="GA298" s="3341"/>
      <c r="GB298" s="3341"/>
      <c r="GC298" s="3341"/>
      <c r="GD298" s="3341"/>
      <c r="GE298" s="3341"/>
      <c r="GF298" s="3341"/>
      <c r="GG298" s="3341"/>
      <c r="GH298" s="3341"/>
      <c r="GI298" s="3341"/>
      <c r="GJ298" s="3341"/>
      <c r="GK298" s="3341"/>
      <c r="GL298" s="3341"/>
      <c r="GM298" s="3341"/>
      <c r="GN298" s="3341"/>
      <c r="GO298" s="3341"/>
      <c r="GP298" s="3341"/>
      <c r="GQ298" s="3341"/>
      <c r="GR298" s="3341"/>
      <c r="GS298" s="3341"/>
      <c r="GT298" s="3341"/>
      <c r="GU298" s="3341"/>
      <c r="GV298" s="3341"/>
      <c r="GW298" s="3341"/>
      <c r="GX298" s="3341"/>
      <c r="GY298" s="3341"/>
      <c r="GZ298" s="3341"/>
      <c r="HA298" s="3341"/>
      <c r="HB298" s="3341"/>
      <c r="HC298" s="3341"/>
      <c r="HD298" s="3341"/>
      <c r="HE298" s="3341"/>
      <c r="HF298" s="3341"/>
      <c r="HG298" s="3341"/>
      <c r="HH298" s="3341"/>
      <c r="HI298" s="3341"/>
      <c r="HJ298" s="3341"/>
      <c r="HK298" s="3341"/>
      <c r="HL298" s="3341"/>
      <c r="HM298" s="3341"/>
      <c r="HN298" s="3341"/>
      <c r="HO298" s="3341"/>
      <c r="HP298" s="3341"/>
      <c r="HQ298" s="3341"/>
      <c r="HR298" s="3341"/>
      <c r="HS298" s="3341"/>
      <c r="HT298" s="3341"/>
      <c r="HU298" s="3341"/>
      <c r="HV298" s="3341"/>
      <c r="HW298" s="3341"/>
      <c r="HX298" s="3341"/>
      <c r="HY298" s="3341"/>
      <c r="HZ298" s="3341"/>
      <c r="IA298" s="3341"/>
      <c r="IB298" s="3341"/>
    </row>
    <row r="299" spans="1:243" hidden="1">
      <c r="A299" s="3267" t="s">
        <v>5215</v>
      </c>
      <c r="B299" s="3267" t="s">
        <v>5216</v>
      </c>
      <c r="C299" s="3269" t="s">
        <v>5217</v>
      </c>
      <c r="D299" s="3269" t="s">
        <v>5218</v>
      </c>
      <c r="E299" s="3268" t="s">
        <v>2985</v>
      </c>
      <c r="F299" s="3268" t="s">
        <v>4334</v>
      </c>
      <c r="G299" s="3267"/>
      <c r="H299" s="3268" t="s">
        <v>3999</v>
      </c>
      <c r="I299" s="3268" t="s">
        <v>3264</v>
      </c>
      <c r="J299" s="3267">
        <v>501</v>
      </c>
      <c r="K299" s="3267"/>
      <c r="L299" s="3267">
        <v>132.09</v>
      </c>
      <c r="M299" s="3267">
        <v>5</v>
      </c>
      <c r="N299" s="3267" t="s">
        <v>3129</v>
      </c>
      <c r="O299" s="3267">
        <v>115.48</v>
      </c>
      <c r="P299" s="3267" t="s">
        <v>2963</v>
      </c>
      <c r="Q299" s="3271">
        <v>554778</v>
      </c>
      <c r="R299" s="3267">
        <v>4200</v>
      </c>
      <c r="S299" s="3272">
        <v>83.94</v>
      </c>
      <c r="T299" s="3273">
        <v>839400</v>
      </c>
      <c r="U299" s="3267">
        <v>6355</v>
      </c>
      <c r="V299" s="3289">
        <v>0.3</v>
      </c>
      <c r="W299" s="3272">
        <v>58.75</v>
      </c>
      <c r="X299" s="3275">
        <v>587500</v>
      </c>
      <c r="Y299" s="3276">
        <v>2006</v>
      </c>
      <c r="Z299" s="3276">
        <v>7</v>
      </c>
      <c r="AA299" s="3276">
        <v>11</v>
      </c>
      <c r="AB299" s="3267">
        <v>1500</v>
      </c>
      <c r="AC299" s="3267" t="s">
        <v>2980</v>
      </c>
      <c r="AD299" s="3269" t="s">
        <v>5219</v>
      </c>
      <c r="AE299" s="3267" t="s">
        <v>3344</v>
      </c>
      <c r="AF299" s="3268" t="s">
        <v>2966</v>
      </c>
      <c r="AG299" s="3279" t="s">
        <v>2967</v>
      </c>
      <c r="AH299" s="3267" t="s">
        <v>2968</v>
      </c>
      <c r="AI299" s="3279" t="s">
        <v>2992</v>
      </c>
      <c r="AJ299" s="3284"/>
      <c r="AK299" s="3278">
        <v>7</v>
      </c>
      <c r="AL299" s="3276">
        <v>46</v>
      </c>
      <c r="AM299" s="3276"/>
      <c r="AN299" s="3279" t="s">
        <v>3140</v>
      </c>
      <c r="AO299" s="3267" t="s">
        <v>5220</v>
      </c>
      <c r="AP299" s="3279" t="s">
        <v>4395</v>
      </c>
      <c r="AQ299" s="3267" t="s">
        <v>3228</v>
      </c>
      <c r="AR299" s="3276"/>
      <c r="AS299" s="3276"/>
      <c r="AT299" s="3276"/>
      <c r="AU299" s="3276"/>
      <c r="AV299" s="3276"/>
      <c r="AW299" s="3276" t="s">
        <v>3171</v>
      </c>
      <c r="AX299" s="3276"/>
      <c r="AY299" s="3291"/>
      <c r="AZ299" s="3267" t="s">
        <v>5221</v>
      </c>
      <c r="BA299" s="3296"/>
      <c r="BB299" s="3297"/>
      <c r="BC299" s="3296"/>
      <c r="BD299" s="3298"/>
      <c r="BE299" s="3276"/>
      <c r="BF299" s="3281"/>
      <c r="BG299" s="3293">
        <v>38901</v>
      </c>
      <c r="BH299" s="3267"/>
      <c r="BI299" s="3267" t="s">
        <v>4395</v>
      </c>
      <c r="BJ299" s="3283">
        <v>38901</v>
      </c>
      <c r="BK299" s="3283"/>
      <c r="BL299" s="3267" t="s">
        <v>2998</v>
      </c>
      <c r="BM299" s="3276" t="s">
        <v>2879</v>
      </c>
      <c r="BN299" s="3276" t="s">
        <v>3111</v>
      </c>
      <c r="BO299" s="3276" t="s">
        <v>3000</v>
      </c>
      <c r="BP299" s="3276"/>
      <c r="BQ299" s="3276">
        <v>7269</v>
      </c>
      <c r="BR299" s="3276">
        <v>4804</v>
      </c>
      <c r="BS299" s="3285"/>
      <c r="BT299" s="3285"/>
      <c r="BU299" s="3285"/>
      <c r="BV299" s="3262"/>
      <c r="BW299" s="3262"/>
      <c r="BX299" s="3262"/>
      <c r="BY299" s="3262"/>
      <c r="BZ299" s="3262"/>
      <c r="CA299" s="3262"/>
      <c r="CB299" s="3262"/>
      <c r="CC299" s="3262"/>
      <c r="CD299" s="3262"/>
      <c r="CE299" s="3262"/>
      <c r="CF299" s="3262"/>
      <c r="CG299" s="3262"/>
      <c r="CH299" s="3262"/>
      <c r="CI299" s="3262"/>
      <c r="CJ299" s="3262"/>
      <c r="CK299" s="3262"/>
      <c r="CL299" s="3262"/>
      <c r="CM299" s="3262"/>
      <c r="CN299" s="3262"/>
      <c r="CO299" s="3262"/>
      <c r="CP299" s="3262"/>
      <c r="CQ299" s="3262"/>
      <c r="CR299" s="3262"/>
      <c r="CS299" s="3262"/>
      <c r="CT299" s="3262"/>
      <c r="CU299" s="3262"/>
      <c r="CV299" s="3262"/>
      <c r="CW299" s="3262"/>
      <c r="CX299" s="3262"/>
      <c r="CY299" s="3262"/>
      <c r="CZ299" s="3262"/>
      <c r="DA299" s="3262"/>
      <c r="DB299" s="3262"/>
      <c r="DC299" s="3262"/>
      <c r="DD299" s="3262"/>
      <c r="DE299" s="3262"/>
      <c r="DF299" s="3262"/>
      <c r="DG299" s="3262"/>
      <c r="DH299" s="3262"/>
      <c r="DI299" s="3262"/>
      <c r="DJ299" s="3262"/>
      <c r="DK299" s="3262"/>
      <c r="DL299" s="3262"/>
      <c r="DM299" s="3262"/>
      <c r="DN299" s="3262"/>
      <c r="DO299" s="3262"/>
      <c r="DP299" s="3262"/>
      <c r="DQ299" s="3262"/>
      <c r="DR299" s="3262"/>
      <c r="DS299" s="3262"/>
      <c r="DT299" s="3262"/>
      <c r="DU299" s="3262"/>
      <c r="DV299" s="3262"/>
      <c r="DW299" s="3262"/>
      <c r="DX299" s="3262"/>
      <c r="DY299" s="3262"/>
      <c r="DZ299" s="3262"/>
      <c r="EA299" s="3262"/>
      <c r="EB299" s="3262"/>
      <c r="EC299" s="3262"/>
      <c r="ED299" s="3262"/>
      <c r="EE299" s="3262"/>
      <c r="EF299" s="3262"/>
      <c r="EG299" s="3262"/>
      <c r="EH299" s="3262"/>
      <c r="EI299" s="3262"/>
      <c r="EJ299" s="3262"/>
      <c r="EK299" s="3262"/>
      <c r="EL299" s="3262"/>
      <c r="EM299" s="3262"/>
      <c r="EN299" s="3262"/>
      <c r="EO299" s="3262"/>
      <c r="EP299" s="3262"/>
      <c r="EQ299" s="3262"/>
      <c r="ER299" s="3262"/>
      <c r="ES299" s="3262"/>
      <c r="ET299" s="3262"/>
      <c r="EU299" s="3262"/>
      <c r="EV299" s="3262"/>
      <c r="EW299" s="3262"/>
      <c r="EX299" s="3262"/>
      <c r="EY299" s="3262"/>
      <c r="EZ299" s="3262"/>
      <c r="FA299" s="3262"/>
      <c r="FB299" s="3262"/>
      <c r="FC299" s="3262"/>
      <c r="FD299" s="3262"/>
      <c r="FE299" s="3262"/>
      <c r="FF299" s="3262"/>
      <c r="FG299" s="3262"/>
      <c r="FH299" s="3262"/>
      <c r="FI299" s="3262"/>
      <c r="FJ299" s="3262"/>
      <c r="FK299" s="3262"/>
      <c r="FL299" s="3262"/>
      <c r="FM299" s="3262"/>
      <c r="FN299" s="3262"/>
      <c r="FO299" s="3262"/>
      <c r="FP299" s="3262"/>
      <c r="FQ299" s="3262"/>
      <c r="FR299" s="3262"/>
      <c r="FS299" s="3262"/>
      <c r="FT299" s="3262"/>
      <c r="FU299" s="3262"/>
      <c r="FV299" s="3262"/>
      <c r="FW299" s="3262"/>
      <c r="FX299" s="3262"/>
      <c r="FY299" s="3262"/>
      <c r="FZ299" s="3262"/>
      <c r="GA299" s="3262"/>
      <c r="GB299" s="3262"/>
      <c r="GC299" s="3262"/>
      <c r="GD299" s="3262"/>
      <c r="GE299" s="3262"/>
      <c r="GF299" s="3262"/>
      <c r="GG299" s="3262"/>
      <c r="GH299" s="3262"/>
      <c r="GI299" s="3262"/>
      <c r="GJ299" s="3262"/>
      <c r="GK299" s="3262"/>
      <c r="GL299" s="3262"/>
      <c r="GM299" s="3262"/>
      <c r="GN299" s="3262"/>
      <c r="GO299" s="3262"/>
      <c r="GP299" s="3262"/>
      <c r="GQ299" s="3262"/>
      <c r="GR299" s="3262"/>
      <c r="GS299" s="3262"/>
      <c r="GT299" s="3262"/>
      <c r="GU299" s="3262"/>
      <c r="GV299" s="3262"/>
      <c r="GW299" s="3262"/>
      <c r="GX299" s="3262"/>
      <c r="GY299" s="3262"/>
      <c r="GZ299" s="3262"/>
      <c r="HA299" s="3262"/>
      <c r="HB299" s="3262"/>
      <c r="HC299" s="3262"/>
      <c r="HD299" s="3262"/>
      <c r="HE299" s="3262"/>
      <c r="HF299" s="3262"/>
      <c r="HG299" s="3262"/>
      <c r="HH299" s="3262"/>
      <c r="HI299" s="3262"/>
      <c r="HJ299" s="3262"/>
      <c r="HK299" s="3262"/>
      <c r="HL299" s="3262"/>
      <c r="HM299" s="3262"/>
      <c r="HN299" s="3262"/>
      <c r="HO299" s="3262"/>
      <c r="HP299" s="3262"/>
      <c r="HQ299" s="3262"/>
      <c r="HR299" s="3262"/>
      <c r="HS299" s="3262"/>
      <c r="HT299" s="3262"/>
      <c r="HU299" s="3262"/>
      <c r="HV299" s="3262"/>
      <c r="HW299" s="3262"/>
      <c r="HX299" s="3262"/>
      <c r="HY299" s="3262"/>
      <c r="HZ299" s="3262"/>
      <c r="IA299" s="3262"/>
      <c r="IB299" s="3262"/>
    </row>
    <row r="300" spans="1:243" hidden="1">
      <c r="A300" s="3267" t="s">
        <v>5222</v>
      </c>
      <c r="B300" s="3267" t="s">
        <v>5223</v>
      </c>
      <c r="C300" s="3269" t="s">
        <v>5224</v>
      </c>
      <c r="D300" s="3269" t="s">
        <v>5225</v>
      </c>
      <c r="E300" s="3268" t="s">
        <v>2985</v>
      </c>
      <c r="F300" s="3268" t="s">
        <v>4129</v>
      </c>
      <c r="G300" s="3267"/>
      <c r="H300" s="3268" t="s">
        <v>3244</v>
      </c>
      <c r="I300" s="3268" t="s">
        <v>4347</v>
      </c>
      <c r="J300" s="3267">
        <v>202</v>
      </c>
      <c r="K300" s="3267" t="s">
        <v>5226</v>
      </c>
      <c r="L300" s="3267">
        <v>57.19</v>
      </c>
      <c r="M300" s="3267">
        <v>2</v>
      </c>
      <c r="N300" s="3267" t="s">
        <v>3152</v>
      </c>
      <c r="O300" s="3267">
        <v>50.45</v>
      </c>
      <c r="P300" s="3267" t="s">
        <v>2963</v>
      </c>
      <c r="Q300" s="3271">
        <v>327000</v>
      </c>
      <c r="R300" s="3267">
        <v>5718</v>
      </c>
      <c r="S300" s="3272">
        <v>30.02</v>
      </c>
      <c r="T300" s="3273">
        <v>300200</v>
      </c>
      <c r="U300" s="3267">
        <v>5250</v>
      </c>
      <c r="V300" s="3289">
        <v>0.2</v>
      </c>
      <c r="W300" s="3272">
        <v>24.01</v>
      </c>
      <c r="X300" s="3275">
        <v>240100</v>
      </c>
      <c r="Y300" s="3276">
        <v>2006</v>
      </c>
      <c r="Z300" s="3276">
        <v>7</v>
      </c>
      <c r="AA300" s="3276">
        <v>28</v>
      </c>
      <c r="AB300" s="3267">
        <v>900</v>
      </c>
      <c r="AC300" s="3267" t="s">
        <v>2980</v>
      </c>
      <c r="AD300" s="3280" t="s">
        <v>5227</v>
      </c>
      <c r="AE300" s="3279" t="s">
        <v>3180</v>
      </c>
      <c r="AF300" s="3268" t="s">
        <v>2966</v>
      </c>
      <c r="AG300" s="3279" t="s">
        <v>2967</v>
      </c>
      <c r="AH300" s="3267" t="s">
        <v>2968</v>
      </c>
      <c r="AI300" s="3279" t="s">
        <v>2992</v>
      </c>
      <c r="AJ300" s="3284"/>
      <c r="AK300" s="3278">
        <v>7</v>
      </c>
      <c r="AL300" s="3276">
        <v>54</v>
      </c>
      <c r="AM300" s="3276"/>
      <c r="AN300" s="3279" t="s">
        <v>3140</v>
      </c>
      <c r="AO300" s="3267" t="s">
        <v>5228</v>
      </c>
      <c r="AP300" s="3279" t="s">
        <v>3180</v>
      </c>
      <c r="AQ300" s="3267" t="s">
        <v>3228</v>
      </c>
      <c r="AR300" s="3276">
        <v>2006</v>
      </c>
      <c r="AS300" s="3276">
        <v>7</v>
      </c>
      <c r="AT300" s="3276">
        <v>12</v>
      </c>
      <c r="AU300" s="3276"/>
      <c r="AV300" s="3276"/>
      <c r="AW300" s="3276" t="s">
        <v>3119</v>
      </c>
      <c r="AX300" s="3276"/>
      <c r="AY300" s="3291"/>
      <c r="AZ300" s="3267" t="s">
        <v>5226</v>
      </c>
      <c r="BA300" s="3296"/>
      <c r="BB300" s="3297"/>
      <c r="BC300" s="3296"/>
      <c r="BD300" s="3298"/>
      <c r="BE300" s="3276"/>
      <c r="BF300" s="3281"/>
      <c r="BG300" s="3293">
        <v>38902</v>
      </c>
      <c r="BH300" s="3267"/>
      <c r="BI300" s="3267" t="s">
        <v>3180</v>
      </c>
      <c r="BJ300" s="3283">
        <v>38908</v>
      </c>
      <c r="BK300" s="3283"/>
      <c r="BL300" s="3267" t="s">
        <v>2998</v>
      </c>
      <c r="BM300" s="3276" t="s">
        <v>2879</v>
      </c>
      <c r="BN300" s="3276" t="s">
        <v>2999</v>
      </c>
      <c r="BO300" s="3276" t="s">
        <v>3146</v>
      </c>
      <c r="BP300" s="3276"/>
      <c r="BQ300" s="3276">
        <v>5950</v>
      </c>
      <c r="BR300" s="3276">
        <v>6482</v>
      </c>
      <c r="BS300" s="3285"/>
      <c r="BT300" s="3285"/>
      <c r="BU300" s="3285"/>
      <c r="BV300" s="3347"/>
      <c r="BW300" s="3347"/>
      <c r="BX300" s="3347"/>
      <c r="BY300" s="3347"/>
      <c r="BZ300" s="3347"/>
      <c r="CA300" s="3347"/>
      <c r="CB300" s="3347"/>
      <c r="CC300" s="3347"/>
      <c r="CD300" s="3347"/>
      <c r="CE300" s="3347"/>
      <c r="CF300" s="3347"/>
      <c r="CG300" s="3347"/>
      <c r="CH300" s="3347"/>
      <c r="CI300" s="3347"/>
      <c r="CJ300" s="3347"/>
      <c r="CK300" s="3347"/>
      <c r="CL300" s="3347"/>
      <c r="CM300" s="3347"/>
      <c r="CN300" s="3347"/>
      <c r="CO300" s="3347"/>
      <c r="CP300" s="3347"/>
      <c r="CQ300" s="3347"/>
      <c r="CR300" s="3347"/>
      <c r="CS300" s="3347"/>
      <c r="CT300" s="3347"/>
      <c r="CU300" s="3347"/>
      <c r="CV300" s="3347"/>
      <c r="CW300" s="3347"/>
      <c r="CX300" s="3347"/>
      <c r="CY300" s="3347"/>
      <c r="CZ300" s="3347"/>
      <c r="DA300" s="3347"/>
      <c r="DB300" s="3347"/>
      <c r="DC300" s="3347"/>
      <c r="DD300" s="3347"/>
      <c r="DE300" s="3347"/>
      <c r="DF300" s="3347"/>
      <c r="DG300" s="3347"/>
      <c r="DH300" s="3347"/>
      <c r="DI300" s="3347"/>
      <c r="DJ300" s="3347"/>
      <c r="DK300" s="3347"/>
      <c r="DL300" s="3347"/>
      <c r="DM300" s="3347"/>
      <c r="DN300" s="3347"/>
      <c r="DO300" s="3347"/>
      <c r="DP300" s="3347"/>
      <c r="DQ300" s="3347"/>
      <c r="DR300" s="3347"/>
      <c r="DS300" s="3347"/>
      <c r="DT300" s="3347"/>
      <c r="DU300" s="3347"/>
      <c r="DV300" s="3347"/>
      <c r="DW300" s="3347"/>
      <c r="DX300" s="3347"/>
      <c r="DY300" s="3347"/>
      <c r="DZ300" s="3347"/>
      <c r="EA300" s="3347"/>
      <c r="EB300" s="3347"/>
      <c r="EC300" s="3347"/>
      <c r="ED300" s="3347"/>
      <c r="EE300" s="3347"/>
      <c r="EF300" s="3347"/>
      <c r="EG300" s="3347"/>
      <c r="EH300" s="3347"/>
      <c r="EI300" s="3347"/>
      <c r="EJ300" s="3347"/>
      <c r="EK300" s="3347"/>
      <c r="EL300" s="3347"/>
      <c r="EM300" s="3347"/>
      <c r="EN300" s="3347"/>
      <c r="EO300" s="3347"/>
      <c r="EP300" s="3347"/>
      <c r="EQ300" s="3347"/>
      <c r="ER300" s="3347"/>
      <c r="ES300" s="3347"/>
      <c r="ET300" s="3347"/>
      <c r="EU300" s="3347"/>
      <c r="EV300" s="3347"/>
      <c r="EW300" s="3347"/>
      <c r="EX300" s="3347"/>
      <c r="EY300" s="3347"/>
      <c r="EZ300" s="3347"/>
      <c r="FA300" s="3347"/>
      <c r="FB300" s="3347"/>
      <c r="FC300" s="3347"/>
      <c r="FD300" s="3347"/>
      <c r="FE300" s="3347"/>
      <c r="FF300" s="3347"/>
      <c r="FG300" s="3347"/>
      <c r="FH300" s="3347"/>
      <c r="FI300" s="3347"/>
      <c r="FJ300" s="3347"/>
      <c r="FK300" s="3347"/>
      <c r="FL300" s="3347"/>
      <c r="FM300" s="3347"/>
      <c r="FN300" s="3347"/>
      <c r="FO300" s="3347"/>
      <c r="FP300" s="3347"/>
      <c r="FQ300" s="3347"/>
      <c r="FR300" s="3347"/>
      <c r="FS300" s="3347"/>
      <c r="FT300" s="3347"/>
      <c r="FU300" s="3347"/>
      <c r="FV300" s="3347"/>
      <c r="FW300" s="3347"/>
      <c r="FX300" s="3347"/>
      <c r="FY300" s="3347"/>
      <c r="FZ300" s="3347"/>
      <c r="GA300" s="3347"/>
      <c r="GB300" s="3347"/>
      <c r="GC300" s="3347"/>
      <c r="GD300" s="3347"/>
      <c r="GE300" s="3347"/>
      <c r="GF300" s="3347"/>
      <c r="GG300" s="3347"/>
      <c r="GH300" s="3347"/>
      <c r="GI300" s="3347"/>
      <c r="GJ300" s="3347"/>
      <c r="GK300" s="3347"/>
      <c r="GL300" s="3347"/>
      <c r="GM300" s="3347"/>
      <c r="GN300" s="3347"/>
      <c r="GO300" s="3347"/>
      <c r="GP300" s="3347"/>
      <c r="GQ300" s="3347"/>
      <c r="GR300" s="3347"/>
      <c r="GS300" s="3347"/>
      <c r="GT300" s="3347"/>
      <c r="GU300" s="3347"/>
      <c r="GV300" s="3347"/>
      <c r="GW300" s="3347"/>
      <c r="GX300" s="3347"/>
      <c r="GY300" s="3347"/>
      <c r="GZ300" s="3347"/>
      <c r="HA300" s="3347"/>
      <c r="HB300" s="3347"/>
      <c r="HC300" s="3347"/>
      <c r="HD300" s="3347"/>
      <c r="HE300" s="3347"/>
      <c r="HF300" s="3347"/>
      <c r="HG300" s="3347"/>
      <c r="HH300" s="3347"/>
      <c r="HI300" s="3347"/>
      <c r="HJ300" s="3347"/>
      <c r="HK300" s="3347"/>
      <c r="HL300" s="3347"/>
      <c r="HM300" s="3347"/>
      <c r="HN300" s="3347"/>
      <c r="HO300" s="3347"/>
      <c r="HP300" s="3347"/>
      <c r="HQ300" s="3347"/>
      <c r="HR300" s="3347"/>
      <c r="HS300" s="3347"/>
      <c r="HT300" s="3347"/>
      <c r="HU300" s="3347"/>
      <c r="HV300" s="3347"/>
      <c r="HW300" s="3347"/>
      <c r="HX300" s="3347"/>
      <c r="HY300" s="3347"/>
      <c r="HZ300" s="3347"/>
      <c r="IA300" s="3347"/>
      <c r="IB300" s="3347"/>
    </row>
    <row r="301" spans="1:243">
      <c r="A301" s="3267" t="s">
        <v>5229</v>
      </c>
      <c r="B301" s="3267" t="s">
        <v>5230</v>
      </c>
      <c r="C301" s="3269" t="s">
        <v>5231</v>
      </c>
      <c r="D301" s="3269" t="s">
        <v>5232</v>
      </c>
      <c r="E301" s="3268" t="s">
        <v>2985</v>
      </c>
      <c r="F301" s="3268" t="s">
        <v>5233</v>
      </c>
      <c r="G301" s="3267"/>
      <c r="H301" s="3268" t="s">
        <v>3124</v>
      </c>
      <c r="I301" s="3268" t="s">
        <v>3586</v>
      </c>
      <c r="J301" s="3267" t="s">
        <v>3151</v>
      </c>
      <c r="K301" s="3267" t="s">
        <v>5234</v>
      </c>
      <c r="L301" s="3267">
        <v>71.150000000000006</v>
      </c>
      <c r="M301" s="3267">
        <v>5</v>
      </c>
      <c r="N301" s="3267" t="s">
        <v>3152</v>
      </c>
      <c r="O301" s="3267"/>
      <c r="P301" s="3267" t="s">
        <v>2963</v>
      </c>
      <c r="Q301" s="3271">
        <v>620000</v>
      </c>
      <c r="R301" s="3267">
        <v>8714</v>
      </c>
      <c r="S301" s="3272">
        <v>47.32</v>
      </c>
      <c r="T301" s="3273">
        <v>473200</v>
      </c>
      <c r="U301" s="3267">
        <v>6652</v>
      </c>
      <c r="V301" s="3289">
        <v>0.2</v>
      </c>
      <c r="W301" s="3272">
        <v>37.85</v>
      </c>
      <c r="X301" s="3275">
        <v>378500</v>
      </c>
      <c r="Y301" s="3276">
        <v>2006</v>
      </c>
      <c r="Z301" s="3276">
        <v>7</v>
      </c>
      <c r="AA301" s="3276">
        <v>18</v>
      </c>
      <c r="AB301" s="3267">
        <v>1415</v>
      </c>
      <c r="AC301" s="3267" t="s">
        <v>2980</v>
      </c>
      <c r="AD301" s="3280" t="s">
        <v>5235</v>
      </c>
      <c r="AE301" s="3279" t="s">
        <v>3344</v>
      </c>
      <c r="AF301" s="3268" t="s">
        <v>2966</v>
      </c>
      <c r="AG301" s="3279" t="s">
        <v>2967</v>
      </c>
      <c r="AH301" s="3268" t="s">
        <v>2968</v>
      </c>
      <c r="AI301" s="3279" t="s">
        <v>2992</v>
      </c>
      <c r="AJ301" s="3284"/>
      <c r="AK301" s="3278">
        <v>7</v>
      </c>
      <c r="AL301" s="3276">
        <v>39</v>
      </c>
      <c r="AM301" s="3276"/>
      <c r="AN301" s="3279" t="s">
        <v>3114</v>
      </c>
      <c r="AO301" s="3267" t="s">
        <v>5236</v>
      </c>
      <c r="AP301" s="3279" t="s">
        <v>3305</v>
      </c>
      <c r="AQ301" s="3267" t="s">
        <v>3228</v>
      </c>
      <c r="AR301" s="3276"/>
      <c r="AS301" s="3276"/>
      <c r="AT301" s="3276"/>
      <c r="AU301" s="3276"/>
      <c r="AV301" s="3276"/>
      <c r="AW301" s="3276" t="s">
        <v>3171</v>
      </c>
      <c r="AX301" s="3276"/>
      <c r="AY301" s="3291"/>
      <c r="AZ301" s="3267" t="s">
        <v>5234</v>
      </c>
      <c r="BA301" s="3296"/>
      <c r="BB301" s="3297"/>
      <c r="BC301" s="3296"/>
      <c r="BD301" s="3298"/>
      <c r="BE301" s="3276">
        <v>13801078147</v>
      </c>
      <c r="BF301" s="3281"/>
      <c r="BG301" s="3293">
        <v>38902</v>
      </c>
      <c r="BH301" s="3267" t="s">
        <v>2998</v>
      </c>
      <c r="BI301" s="3314" t="s">
        <v>3305</v>
      </c>
      <c r="BJ301" s="3283">
        <v>38909</v>
      </c>
      <c r="BK301" s="3283"/>
      <c r="BL301" s="3267" t="s">
        <v>3249</v>
      </c>
      <c r="BM301" s="3276" t="s">
        <v>2879</v>
      </c>
      <c r="BN301" s="3276" t="s">
        <v>2999</v>
      </c>
      <c r="BO301" s="3276" t="s">
        <v>3000</v>
      </c>
      <c r="BP301" s="3276"/>
      <c r="BQ301" s="3276" t="e">
        <v>#DIV/0!</v>
      </c>
      <c r="BR301" s="3276" t="e">
        <v>#DIV/0!</v>
      </c>
      <c r="BS301" s="3285"/>
      <c r="BT301" s="3285"/>
      <c r="BU301" s="3285"/>
      <c r="BV301" s="3347"/>
      <c r="BW301" s="3347"/>
      <c r="BX301" s="3347"/>
      <c r="BY301" s="3347"/>
      <c r="BZ301" s="3347"/>
      <c r="CA301" s="3347"/>
      <c r="CB301" s="3347"/>
      <c r="CC301" s="3347"/>
      <c r="CD301" s="3347"/>
      <c r="CE301" s="3347"/>
      <c r="CF301" s="3347"/>
      <c r="CG301" s="3347"/>
      <c r="CH301" s="3347"/>
      <c r="CI301" s="3347"/>
      <c r="CJ301" s="3347"/>
      <c r="CK301" s="3347"/>
      <c r="CL301" s="3347"/>
      <c r="CM301" s="3347"/>
      <c r="CN301" s="3347"/>
      <c r="CO301" s="3347"/>
      <c r="CP301" s="3347"/>
      <c r="CQ301" s="3347"/>
      <c r="CR301" s="3347"/>
      <c r="CS301" s="3347"/>
      <c r="CT301" s="3347"/>
      <c r="CU301" s="3347"/>
      <c r="CV301" s="3347"/>
      <c r="CW301" s="3347"/>
      <c r="CX301" s="3347"/>
      <c r="CY301" s="3347"/>
      <c r="CZ301" s="3347"/>
      <c r="DA301" s="3347"/>
      <c r="DB301" s="3347"/>
      <c r="DC301" s="3347"/>
      <c r="DD301" s="3347"/>
      <c r="DE301" s="3347"/>
      <c r="DF301" s="3347"/>
      <c r="DG301" s="3347"/>
      <c r="DH301" s="3347"/>
      <c r="DI301" s="3347"/>
      <c r="DJ301" s="3347"/>
      <c r="DK301" s="3347"/>
      <c r="DL301" s="3347"/>
      <c r="DM301" s="3347"/>
      <c r="DN301" s="3347"/>
      <c r="DO301" s="3347"/>
      <c r="DP301" s="3347"/>
      <c r="DQ301" s="3347"/>
      <c r="DR301" s="3347"/>
      <c r="DS301" s="3347"/>
      <c r="DT301" s="3347"/>
      <c r="DU301" s="3347"/>
      <c r="DV301" s="3347"/>
      <c r="DW301" s="3347"/>
      <c r="DX301" s="3347"/>
      <c r="DY301" s="3347"/>
      <c r="DZ301" s="3347"/>
      <c r="EA301" s="3347"/>
      <c r="EB301" s="3347"/>
      <c r="EC301" s="3347"/>
      <c r="ED301" s="3347"/>
      <c r="EE301" s="3347"/>
      <c r="EF301" s="3347"/>
      <c r="EG301" s="3347"/>
      <c r="EH301" s="3347"/>
      <c r="EI301" s="3347"/>
      <c r="EJ301" s="3347"/>
      <c r="EK301" s="3347"/>
      <c r="EL301" s="3347"/>
      <c r="EM301" s="3347"/>
      <c r="EN301" s="3347"/>
      <c r="EO301" s="3347"/>
      <c r="EP301" s="3347"/>
      <c r="EQ301" s="3347"/>
      <c r="ER301" s="3347"/>
      <c r="ES301" s="3347"/>
      <c r="ET301" s="3347"/>
      <c r="EU301" s="3347"/>
      <c r="EV301" s="3347"/>
      <c r="EW301" s="3347"/>
      <c r="EX301" s="3347"/>
      <c r="EY301" s="3347"/>
      <c r="EZ301" s="3347"/>
      <c r="FA301" s="3347"/>
      <c r="FB301" s="3347"/>
      <c r="FC301" s="3347"/>
      <c r="FD301" s="3347"/>
      <c r="FE301" s="3347"/>
      <c r="FF301" s="3347"/>
      <c r="FG301" s="3347"/>
      <c r="FH301" s="3347"/>
      <c r="FI301" s="3347"/>
      <c r="FJ301" s="3347"/>
      <c r="FK301" s="3347"/>
      <c r="FL301" s="3347"/>
      <c r="FM301" s="3347"/>
      <c r="FN301" s="3347"/>
      <c r="FO301" s="3347"/>
      <c r="FP301" s="3347"/>
      <c r="FQ301" s="3347"/>
      <c r="FR301" s="3347"/>
      <c r="FS301" s="3347"/>
      <c r="FT301" s="3347"/>
      <c r="FU301" s="3347"/>
      <c r="FV301" s="3347"/>
      <c r="FW301" s="3347"/>
      <c r="FX301" s="3347"/>
      <c r="FY301" s="3347"/>
      <c r="FZ301" s="3347"/>
      <c r="GA301" s="3347"/>
      <c r="GB301" s="3347"/>
      <c r="GC301" s="3347"/>
      <c r="GD301" s="3347"/>
      <c r="GE301" s="3347"/>
      <c r="GF301" s="3347"/>
      <c r="GG301" s="3347"/>
      <c r="GH301" s="3347"/>
      <c r="GI301" s="3347"/>
      <c r="GJ301" s="3347"/>
      <c r="GK301" s="3347"/>
      <c r="GL301" s="3347"/>
      <c r="GM301" s="3347"/>
      <c r="GN301" s="3347"/>
      <c r="GO301" s="3347"/>
      <c r="GP301" s="3347"/>
      <c r="GQ301" s="3347"/>
      <c r="GR301" s="3347"/>
      <c r="GS301" s="3347"/>
      <c r="GT301" s="3347"/>
      <c r="GU301" s="3347"/>
      <c r="GV301" s="3347"/>
      <c r="GW301" s="3347"/>
      <c r="GX301" s="3347"/>
      <c r="GY301" s="3347"/>
      <c r="GZ301" s="3347"/>
      <c r="HA301" s="3347"/>
      <c r="HB301" s="3347"/>
      <c r="HC301" s="3347"/>
      <c r="HD301" s="3347"/>
      <c r="HE301" s="3347"/>
      <c r="HF301" s="3347"/>
      <c r="HG301" s="3347"/>
      <c r="HH301" s="3347"/>
      <c r="HI301" s="3347"/>
      <c r="HJ301" s="3347"/>
      <c r="HK301" s="3347"/>
      <c r="HL301" s="3347"/>
      <c r="HM301" s="3347"/>
      <c r="HN301" s="3347"/>
      <c r="HO301" s="3347"/>
      <c r="HP301" s="3347"/>
      <c r="HQ301" s="3347"/>
      <c r="HR301" s="3347"/>
      <c r="HS301" s="3347"/>
      <c r="HT301" s="3347"/>
      <c r="HU301" s="3347"/>
      <c r="HV301" s="3347"/>
      <c r="HW301" s="3347"/>
      <c r="HX301" s="3347"/>
      <c r="HY301" s="3347"/>
      <c r="HZ301" s="3347"/>
      <c r="IA301" s="3347"/>
      <c r="IB301" s="3347"/>
    </row>
    <row r="302" spans="1:243" hidden="1">
      <c r="A302" s="3268" t="s">
        <v>5237</v>
      </c>
      <c r="B302" s="3267" t="s">
        <v>5238</v>
      </c>
      <c r="C302" s="3269" t="s">
        <v>5239</v>
      </c>
      <c r="D302" s="3269" t="s">
        <v>5240</v>
      </c>
      <c r="E302" s="3267" t="s">
        <v>2985</v>
      </c>
      <c r="F302" s="3268" t="s">
        <v>5241</v>
      </c>
      <c r="G302" s="3267"/>
      <c r="H302" s="3267" t="s">
        <v>3182</v>
      </c>
      <c r="I302" s="3267"/>
      <c r="J302" s="3269" t="s">
        <v>5242</v>
      </c>
      <c r="K302" s="3267" t="s">
        <v>5243</v>
      </c>
      <c r="L302" s="3267">
        <v>91.08</v>
      </c>
      <c r="M302" s="3267">
        <v>6</v>
      </c>
      <c r="N302" s="3267" t="s">
        <v>3125</v>
      </c>
      <c r="O302" s="3267"/>
      <c r="P302" s="3363" t="s">
        <v>2963</v>
      </c>
      <c r="Q302" s="3271">
        <v>570000</v>
      </c>
      <c r="R302" s="3267">
        <v>6258</v>
      </c>
      <c r="S302" s="3272">
        <v>52.99</v>
      </c>
      <c r="T302" s="3273">
        <v>529900</v>
      </c>
      <c r="U302" s="3267">
        <v>5819</v>
      </c>
      <c r="V302" s="3289">
        <v>0.3</v>
      </c>
      <c r="W302" s="3272">
        <v>37.090000000000003</v>
      </c>
      <c r="X302" s="3275">
        <v>370900</v>
      </c>
      <c r="Y302" s="3267">
        <v>2006</v>
      </c>
      <c r="Z302" s="3276">
        <v>8</v>
      </c>
      <c r="AA302" s="3276">
        <v>3</v>
      </c>
      <c r="AB302" s="3267">
        <v>1500</v>
      </c>
      <c r="AC302" s="3267" t="s">
        <v>3444</v>
      </c>
      <c r="AD302" s="3267"/>
      <c r="AE302" s="3267" t="s">
        <v>3487</v>
      </c>
      <c r="AF302" s="3267" t="s">
        <v>2966</v>
      </c>
      <c r="AG302" s="3267" t="s">
        <v>2967</v>
      </c>
      <c r="AH302" s="3267" t="s">
        <v>2968</v>
      </c>
      <c r="AI302" s="3270" t="s">
        <v>2992</v>
      </c>
      <c r="AJ302" s="3284"/>
      <c r="AK302" s="3278">
        <v>8</v>
      </c>
      <c r="AL302" s="3276">
        <v>42</v>
      </c>
      <c r="AM302" s="3267" t="s">
        <v>5244</v>
      </c>
      <c r="AN302" s="3279" t="s">
        <v>3131</v>
      </c>
      <c r="AO302" s="3276" t="s">
        <v>2968</v>
      </c>
      <c r="AP302" s="3276" t="s">
        <v>3487</v>
      </c>
      <c r="AQ302" s="3276" t="s">
        <v>2996</v>
      </c>
      <c r="AR302" s="3276"/>
      <c r="AS302" s="3276"/>
      <c r="AT302" s="3276"/>
      <c r="AU302" s="3276"/>
      <c r="AV302" s="3276" t="s">
        <v>2968</v>
      </c>
      <c r="AW302" s="3276" t="s">
        <v>3171</v>
      </c>
      <c r="AX302" s="3276"/>
      <c r="AY302" s="3291"/>
      <c r="AZ302" s="3267"/>
      <c r="BA302" s="3276"/>
      <c r="BB302" s="3291"/>
      <c r="BC302" s="3276"/>
      <c r="BD302" s="3292"/>
      <c r="BE302" s="3276"/>
      <c r="BF302" s="3281"/>
      <c r="BG302" s="3290">
        <v>38889</v>
      </c>
      <c r="BH302" s="3276" t="s">
        <v>2998</v>
      </c>
      <c r="BI302" s="3267" t="s">
        <v>3487</v>
      </c>
      <c r="BJ302" s="3283">
        <v>38902</v>
      </c>
      <c r="BK302" s="3283"/>
      <c r="BL302" s="3267" t="s">
        <v>2998</v>
      </c>
      <c r="BM302" s="3276"/>
      <c r="BN302" s="3276"/>
      <c r="BO302" s="3276"/>
      <c r="BP302" s="3276"/>
      <c r="BQ302" s="3276" t="e">
        <v>#DIV/0!</v>
      </c>
      <c r="BR302" s="3276" t="e">
        <v>#DIV/0!</v>
      </c>
      <c r="BS302" s="3285"/>
      <c r="BT302" s="3285"/>
      <c r="BU302" s="3285"/>
      <c r="BV302" s="3347"/>
      <c r="BW302" s="3347"/>
      <c r="BX302" s="3347"/>
      <c r="BY302" s="3347"/>
      <c r="BZ302" s="3347"/>
      <c r="CA302" s="3347"/>
      <c r="CB302" s="3347"/>
      <c r="CC302" s="3347"/>
      <c r="CD302" s="3347"/>
      <c r="CE302" s="3347"/>
      <c r="CF302" s="3347"/>
      <c r="CG302" s="3347"/>
      <c r="CH302" s="3347"/>
      <c r="CI302" s="3347"/>
      <c r="CJ302" s="3347"/>
      <c r="CK302" s="3347"/>
      <c r="CL302" s="3347"/>
      <c r="CM302" s="3347"/>
      <c r="CN302" s="3347"/>
      <c r="CO302" s="3347"/>
      <c r="CP302" s="3347"/>
      <c r="CQ302" s="3347"/>
      <c r="CR302" s="3347"/>
      <c r="CS302" s="3347"/>
      <c r="CT302" s="3347"/>
      <c r="CU302" s="3347"/>
      <c r="CV302" s="3347"/>
      <c r="CW302" s="3347"/>
      <c r="CX302" s="3347"/>
      <c r="CY302" s="3347"/>
      <c r="CZ302" s="3347"/>
      <c r="DA302" s="3347"/>
      <c r="DB302" s="3347"/>
      <c r="DC302" s="3347"/>
      <c r="DD302" s="3347"/>
      <c r="DE302" s="3347"/>
      <c r="DF302" s="3347"/>
      <c r="DG302" s="3347"/>
      <c r="DH302" s="3347"/>
      <c r="DI302" s="3347"/>
      <c r="DJ302" s="3347"/>
      <c r="DK302" s="3347"/>
      <c r="DL302" s="3347"/>
      <c r="DM302" s="3347"/>
      <c r="DN302" s="3347"/>
      <c r="DO302" s="3347"/>
      <c r="DP302" s="3347"/>
      <c r="DQ302" s="3347"/>
      <c r="DR302" s="3347"/>
      <c r="DS302" s="3347"/>
      <c r="DT302" s="3347"/>
      <c r="DU302" s="3347"/>
      <c r="DV302" s="3347"/>
      <c r="DW302" s="3347"/>
      <c r="DX302" s="3347"/>
      <c r="DY302" s="3347"/>
      <c r="DZ302" s="3347"/>
      <c r="EA302" s="3347"/>
      <c r="EB302" s="3347"/>
      <c r="EC302" s="3347"/>
      <c r="ED302" s="3347"/>
      <c r="EE302" s="3347"/>
      <c r="EF302" s="3347"/>
      <c r="EG302" s="3347"/>
      <c r="EH302" s="3347"/>
      <c r="EI302" s="3347"/>
      <c r="EJ302" s="3347"/>
      <c r="EK302" s="3347"/>
      <c r="EL302" s="3347"/>
      <c r="EM302" s="3347"/>
      <c r="EN302" s="3347"/>
      <c r="EO302" s="3347"/>
      <c r="EP302" s="3347"/>
      <c r="EQ302" s="3347"/>
      <c r="ER302" s="3347"/>
      <c r="ES302" s="3347"/>
      <c r="ET302" s="3347"/>
      <c r="EU302" s="3347"/>
      <c r="EV302" s="3347"/>
      <c r="EW302" s="3347"/>
      <c r="EX302" s="3347"/>
      <c r="EY302" s="3347"/>
      <c r="EZ302" s="3347"/>
      <c r="FA302" s="3347"/>
      <c r="FB302" s="3347"/>
      <c r="FC302" s="3347"/>
      <c r="FD302" s="3347"/>
      <c r="FE302" s="3347"/>
      <c r="FF302" s="3347"/>
      <c r="FG302" s="3347"/>
      <c r="FH302" s="3347"/>
      <c r="FI302" s="3347"/>
      <c r="FJ302" s="3347"/>
      <c r="FK302" s="3347"/>
      <c r="FL302" s="3347"/>
      <c r="FM302" s="3347"/>
      <c r="FN302" s="3347"/>
      <c r="FO302" s="3347"/>
      <c r="FP302" s="3347"/>
      <c r="FQ302" s="3347"/>
      <c r="FR302" s="3347"/>
      <c r="FS302" s="3347"/>
      <c r="FT302" s="3347"/>
      <c r="FU302" s="3347"/>
      <c r="FV302" s="3347"/>
      <c r="FW302" s="3347"/>
      <c r="FX302" s="3347"/>
      <c r="FY302" s="3347"/>
      <c r="FZ302" s="3347"/>
      <c r="GA302" s="3347"/>
      <c r="GB302" s="3347"/>
      <c r="GC302" s="3347"/>
      <c r="GD302" s="3347"/>
      <c r="GE302" s="3347"/>
      <c r="GF302" s="3347"/>
      <c r="GG302" s="3347"/>
      <c r="GH302" s="3347"/>
      <c r="GI302" s="3347"/>
      <c r="GJ302" s="3347"/>
      <c r="GK302" s="3347"/>
      <c r="GL302" s="3347"/>
      <c r="GM302" s="3347"/>
      <c r="GN302" s="3347"/>
      <c r="GO302" s="3347"/>
      <c r="GP302" s="3347"/>
      <c r="GQ302" s="3347"/>
      <c r="GR302" s="3347"/>
      <c r="GS302" s="3347"/>
      <c r="GT302" s="3347"/>
      <c r="GU302" s="3347"/>
      <c r="GV302" s="3347"/>
      <c r="GW302" s="3347"/>
      <c r="GX302" s="3347"/>
      <c r="GY302" s="3347"/>
      <c r="GZ302" s="3347"/>
      <c r="HA302" s="3347"/>
      <c r="HB302" s="3347"/>
      <c r="HC302" s="3347"/>
      <c r="HD302" s="3347"/>
      <c r="HE302" s="3347"/>
      <c r="HF302" s="3347"/>
      <c r="HG302" s="3347"/>
      <c r="HH302" s="3347"/>
      <c r="HI302" s="3347"/>
      <c r="HJ302" s="3347"/>
      <c r="HK302" s="3347"/>
      <c r="HL302" s="3347"/>
      <c r="HM302" s="3347"/>
      <c r="HN302" s="3347"/>
      <c r="HO302" s="3347"/>
      <c r="HP302" s="3347"/>
      <c r="HQ302" s="3347"/>
      <c r="HR302" s="3347"/>
      <c r="HS302" s="3347"/>
      <c r="HT302" s="3347"/>
      <c r="HU302" s="3347"/>
      <c r="HV302" s="3347"/>
      <c r="HW302" s="3347"/>
      <c r="HX302" s="3347"/>
      <c r="HY302" s="3347"/>
      <c r="HZ302" s="3347"/>
      <c r="IA302" s="3347"/>
      <c r="IB302" s="3347"/>
    </row>
    <row r="303" spans="1:243" ht="14.25" hidden="1">
      <c r="A303" s="3268" t="s">
        <v>5245</v>
      </c>
      <c r="B303" s="3267" t="s">
        <v>4487</v>
      </c>
      <c r="C303" s="3269" t="s">
        <v>5246</v>
      </c>
      <c r="D303" s="3269" t="s">
        <v>5247</v>
      </c>
      <c r="E303" s="3267" t="s">
        <v>2985</v>
      </c>
      <c r="F303" s="3308" t="s">
        <v>5248</v>
      </c>
      <c r="G303" s="3267"/>
      <c r="H303" s="3267" t="s">
        <v>3182</v>
      </c>
      <c r="I303" s="3267" t="s">
        <v>3458</v>
      </c>
      <c r="J303" s="3269" t="s">
        <v>3165</v>
      </c>
      <c r="K303" s="3267" t="s">
        <v>4487</v>
      </c>
      <c r="L303" s="3267">
        <v>69.06</v>
      </c>
      <c r="M303" s="3267">
        <v>6</v>
      </c>
      <c r="N303" s="3267" t="s">
        <v>5249</v>
      </c>
      <c r="O303" s="3267"/>
      <c r="P303" s="3267" t="s">
        <v>2963</v>
      </c>
      <c r="Q303" s="3271">
        <v>448890</v>
      </c>
      <c r="R303" s="3267">
        <v>6500</v>
      </c>
      <c r="S303" s="3272">
        <v>44.34</v>
      </c>
      <c r="T303" s="3273">
        <v>443400</v>
      </c>
      <c r="U303" s="3267">
        <v>6421</v>
      </c>
      <c r="V303" s="3289">
        <v>0.2</v>
      </c>
      <c r="W303" s="3272">
        <v>35.47</v>
      </c>
      <c r="X303" s="3275">
        <v>354700</v>
      </c>
      <c r="Y303" s="3276">
        <v>2006</v>
      </c>
      <c r="Z303" s="3276">
        <v>8</v>
      </c>
      <c r="AA303" s="3276">
        <v>2</v>
      </c>
      <c r="AB303" s="3267">
        <v>1330</v>
      </c>
      <c r="AC303" s="3267" t="s">
        <v>3444</v>
      </c>
      <c r="AD303" s="3364"/>
      <c r="AE303" s="3276" t="s">
        <v>3304</v>
      </c>
      <c r="AF303" s="3267" t="s">
        <v>2966</v>
      </c>
      <c r="AG303" s="3267" t="s">
        <v>2967</v>
      </c>
      <c r="AH303" s="3267"/>
      <c r="AI303" s="3267" t="s">
        <v>2992</v>
      </c>
      <c r="AJ303" s="3284"/>
      <c r="AK303" s="3278">
        <v>8</v>
      </c>
      <c r="AL303" s="3282" t="s">
        <v>4008</v>
      </c>
      <c r="AM303" s="3267" t="s">
        <v>5250</v>
      </c>
      <c r="AN303" s="3279" t="s">
        <v>3131</v>
      </c>
      <c r="AO303" s="3276"/>
      <c r="AP303" s="3267" t="s">
        <v>3342</v>
      </c>
      <c r="AQ303" s="3267" t="s">
        <v>3228</v>
      </c>
      <c r="AR303" s="3276"/>
      <c r="AS303" s="3276"/>
      <c r="AT303" s="3276"/>
      <c r="AU303" s="3276"/>
      <c r="AV303" s="3276"/>
      <c r="AW303" s="3267" t="s">
        <v>3112</v>
      </c>
      <c r="AX303" s="3276"/>
      <c r="AY303" s="3291"/>
      <c r="AZ303" s="3276" t="s">
        <v>5251</v>
      </c>
      <c r="BA303" s="3276"/>
      <c r="BB303" s="3291"/>
      <c r="BC303" s="3276"/>
      <c r="BD303" s="3292"/>
      <c r="BE303" s="3276"/>
      <c r="BF303" s="3281"/>
      <c r="BG303" s="3307">
        <v>38890</v>
      </c>
      <c r="BH303" s="3276"/>
      <c r="BI303" s="3276" t="s">
        <v>3342</v>
      </c>
      <c r="BJ303" s="3299">
        <v>38902</v>
      </c>
      <c r="BK303" s="3283"/>
      <c r="BL303" s="3267" t="s">
        <v>2998</v>
      </c>
      <c r="BM303" s="3276" t="s">
        <v>2879</v>
      </c>
      <c r="BN303" s="3276" t="s">
        <v>2999</v>
      </c>
      <c r="BO303" s="3276" t="s">
        <v>3146</v>
      </c>
      <c r="BP303" s="3276"/>
      <c r="BQ303" s="3276" t="e">
        <v>#DIV/0!</v>
      </c>
      <c r="BR303" s="3276" t="e">
        <v>#DIV/0!</v>
      </c>
      <c r="BS303" s="3285"/>
      <c r="BT303" s="3285"/>
      <c r="BU303" s="3285"/>
      <c r="BV303" s="3341"/>
      <c r="BW303" s="3341"/>
      <c r="BX303" s="3341"/>
      <c r="BY303" s="3341"/>
      <c r="BZ303" s="3341"/>
      <c r="CA303" s="3341"/>
      <c r="CB303" s="3341"/>
      <c r="CC303" s="3341"/>
      <c r="CD303" s="3341"/>
      <c r="CE303" s="3341"/>
      <c r="CF303" s="3341"/>
      <c r="CG303" s="3341"/>
      <c r="CH303" s="3341"/>
      <c r="CI303" s="3341"/>
      <c r="CJ303" s="3341"/>
      <c r="CK303" s="3341"/>
      <c r="CL303" s="3341"/>
      <c r="CM303" s="3341"/>
      <c r="CN303" s="3341"/>
      <c r="CO303" s="3341"/>
      <c r="CP303" s="3341"/>
      <c r="CQ303" s="3341"/>
      <c r="CR303" s="3341"/>
      <c r="CS303" s="3341"/>
      <c r="CT303" s="3341"/>
      <c r="CU303" s="3341"/>
      <c r="CV303" s="3341"/>
      <c r="CW303" s="3341"/>
      <c r="CX303" s="3341"/>
      <c r="CY303" s="3341"/>
      <c r="CZ303" s="3341"/>
      <c r="DA303" s="3341"/>
      <c r="DB303" s="3341"/>
      <c r="DC303" s="3341"/>
      <c r="DD303" s="3341"/>
      <c r="DE303" s="3341"/>
      <c r="DF303" s="3341"/>
      <c r="DG303" s="3341"/>
      <c r="DH303" s="3341"/>
      <c r="DI303" s="3341"/>
      <c r="DJ303" s="3341"/>
      <c r="DK303" s="3341"/>
      <c r="DL303" s="3341"/>
      <c r="DM303" s="3341"/>
      <c r="DN303" s="3341"/>
      <c r="DO303" s="3341"/>
      <c r="DP303" s="3341"/>
      <c r="DQ303" s="3341"/>
      <c r="DR303" s="3341"/>
      <c r="DS303" s="3341"/>
      <c r="DT303" s="3341"/>
      <c r="DU303" s="3341"/>
      <c r="DV303" s="3341"/>
      <c r="DW303" s="3341"/>
      <c r="DX303" s="3341"/>
      <c r="DY303" s="3341"/>
      <c r="DZ303" s="3341"/>
      <c r="EA303" s="3341"/>
      <c r="EB303" s="3341"/>
      <c r="EC303" s="3341"/>
      <c r="ED303" s="3341"/>
      <c r="EE303" s="3341"/>
      <c r="EF303" s="3341"/>
      <c r="EG303" s="3341"/>
      <c r="EH303" s="3341"/>
      <c r="EI303" s="3341"/>
      <c r="EJ303" s="3341"/>
      <c r="EK303" s="3341"/>
      <c r="EL303" s="3341"/>
      <c r="EM303" s="3341"/>
      <c r="EN303" s="3341"/>
      <c r="EO303" s="3341"/>
      <c r="EP303" s="3341"/>
      <c r="EQ303" s="3341"/>
      <c r="ER303" s="3341"/>
      <c r="ES303" s="3341"/>
      <c r="ET303" s="3341"/>
      <c r="EU303" s="3341"/>
      <c r="EV303" s="3341"/>
      <c r="EW303" s="3341"/>
      <c r="EX303" s="3341"/>
      <c r="EY303" s="3341"/>
      <c r="EZ303" s="3341"/>
      <c r="FA303" s="3341"/>
      <c r="FB303" s="3341"/>
      <c r="FC303" s="3341"/>
      <c r="FD303" s="3341"/>
      <c r="FE303" s="3341"/>
      <c r="FF303" s="3341"/>
      <c r="FG303" s="3341"/>
      <c r="FH303" s="3341"/>
      <c r="FI303" s="3341"/>
      <c r="FJ303" s="3341"/>
      <c r="FK303" s="3341"/>
      <c r="FL303" s="3341"/>
      <c r="FM303" s="3341"/>
      <c r="FN303" s="3341"/>
      <c r="FO303" s="3341"/>
      <c r="FP303" s="3341"/>
      <c r="FQ303" s="3341"/>
      <c r="FR303" s="3341"/>
      <c r="FS303" s="3341"/>
      <c r="FT303" s="3341"/>
      <c r="FU303" s="3341"/>
      <c r="FV303" s="3341"/>
      <c r="FW303" s="3341"/>
      <c r="FX303" s="3341"/>
      <c r="FY303" s="3341"/>
      <c r="FZ303" s="3341"/>
      <c r="GA303" s="3341"/>
      <c r="GB303" s="3341"/>
      <c r="GC303" s="3341"/>
      <c r="GD303" s="3341"/>
      <c r="GE303" s="3341"/>
      <c r="GF303" s="3341"/>
      <c r="GG303" s="3341"/>
      <c r="GH303" s="3341"/>
      <c r="GI303" s="3341"/>
      <c r="GJ303" s="3341"/>
      <c r="GK303" s="3341"/>
      <c r="GL303" s="3341"/>
      <c r="GM303" s="3341"/>
      <c r="GN303" s="3341"/>
      <c r="GO303" s="3341"/>
      <c r="GP303" s="3341"/>
      <c r="GQ303" s="3341"/>
      <c r="GR303" s="3341"/>
      <c r="GS303" s="3341"/>
      <c r="GT303" s="3341"/>
      <c r="GU303" s="3341"/>
      <c r="GV303" s="3341"/>
      <c r="GW303" s="3341"/>
      <c r="GX303" s="3341"/>
      <c r="GY303" s="3341"/>
      <c r="GZ303" s="3341"/>
      <c r="HA303" s="3341"/>
      <c r="HB303" s="3341"/>
      <c r="HC303" s="3341"/>
      <c r="HD303" s="3341"/>
      <c r="HE303" s="3341"/>
      <c r="HF303" s="3341"/>
      <c r="HG303" s="3341"/>
      <c r="HH303" s="3341"/>
      <c r="HI303" s="3341"/>
      <c r="HJ303" s="3341"/>
      <c r="HK303" s="3341"/>
      <c r="HL303" s="3341"/>
      <c r="HM303" s="3341"/>
      <c r="HN303" s="3341"/>
      <c r="HO303" s="3341"/>
      <c r="HP303" s="3341"/>
      <c r="HQ303" s="3341"/>
      <c r="HR303" s="3341"/>
      <c r="HS303" s="3341"/>
      <c r="HT303" s="3341"/>
      <c r="HU303" s="3341"/>
      <c r="HV303" s="3341"/>
      <c r="HW303" s="3341"/>
      <c r="HX303" s="3341"/>
      <c r="HY303" s="3341"/>
      <c r="HZ303" s="3341"/>
      <c r="IA303" s="3341"/>
      <c r="IB303" s="3341"/>
    </row>
    <row r="304" spans="1:243" hidden="1">
      <c r="A304" s="3268" t="s">
        <v>5252</v>
      </c>
      <c r="B304" s="3267" t="s">
        <v>5253</v>
      </c>
      <c r="C304" s="3269" t="s">
        <v>5254</v>
      </c>
      <c r="D304" s="3269" t="s">
        <v>5255</v>
      </c>
      <c r="E304" s="3267" t="s">
        <v>2985</v>
      </c>
      <c r="F304" s="3308" t="s">
        <v>5256</v>
      </c>
      <c r="G304" s="3267"/>
      <c r="H304" s="3267" t="s">
        <v>3244</v>
      </c>
      <c r="I304" s="3267" t="s">
        <v>3642</v>
      </c>
      <c r="J304" s="3269" t="s">
        <v>5257</v>
      </c>
      <c r="K304" s="3267" t="s">
        <v>5258</v>
      </c>
      <c r="L304" s="3267">
        <v>48.29</v>
      </c>
      <c r="M304" s="3267">
        <v>5</v>
      </c>
      <c r="N304" s="3267" t="s">
        <v>3122</v>
      </c>
      <c r="O304" s="3267"/>
      <c r="P304" s="3267" t="s">
        <v>2963</v>
      </c>
      <c r="Q304" s="3271">
        <v>370000</v>
      </c>
      <c r="R304" s="3267">
        <v>7662</v>
      </c>
      <c r="S304" s="3272">
        <v>29.97</v>
      </c>
      <c r="T304" s="3273">
        <v>299700</v>
      </c>
      <c r="U304" s="3267">
        <v>6207</v>
      </c>
      <c r="V304" s="3289">
        <v>0.2</v>
      </c>
      <c r="W304" s="3272">
        <v>23.97</v>
      </c>
      <c r="X304" s="3275">
        <v>239700</v>
      </c>
      <c r="Y304" s="3276">
        <v>2006</v>
      </c>
      <c r="Z304" s="3276">
        <v>7</v>
      </c>
      <c r="AA304" s="3276">
        <v>18</v>
      </c>
      <c r="AB304" s="3267">
        <v>895</v>
      </c>
      <c r="AC304" s="3267" t="s">
        <v>2980</v>
      </c>
      <c r="AD304" s="3364">
        <v>91302006070169</v>
      </c>
      <c r="AE304" s="3276" t="s">
        <v>3304</v>
      </c>
      <c r="AF304" s="3267" t="s">
        <v>2966</v>
      </c>
      <c r="AG304" s="3267" t="s">
        <v>2967</v>
      </c>
      <c r="AH304" s="3267"/>
      <c r="AI304" s="3267" t="s">
        <v>2992</v>
      </c>
      <c r="AJ304" s="3284"/>
      <c r="AK304" s="3278">
        <v>7</v>
      </c>
      <c r="AL304" s="3282" t="s">
        <v>5259</v>
      </c>
      <c r="AM304" s="3276"/>
      <c r="AN304" s="3279" t="s">
        <v>3114</v>
      </c>
      <c r="AO304" s="3276" t="s">
        <v>5260</v>
      </c>
      <c r="AP304" s="3267" t="s">
        <v>3342</v>
      </c>
      <c r="AQ304" s="3267" t="s">
        <v>3228</v>
      </c>
      <c r="AR304" s="3276"/>
      <c r="AS304" s="3276"/>
      <c r="AT304" s="3276"/>
      <c r="AU304" s="3276"/>
      <c r="AV304" s="3276"/>
      <c r="AW304" s="3267" t="s">
        <v>3112</v>
      </c>
      <c r="AX304" s="3276"/>
      <c r="AY304" s="3291"/>
      <c r="AZ304" s="3276" t="s">
        <v>5258</v>
      </c>
      <c r="BA304" s="3276"/>
      <c r="BB304" s="3291"/>
      <c r="BC304" s="3276"/>
      <c r="BD304" s="3292"/>
      <c r="BE304" s="3276"/>
      <c r="BF304" s="3281"/>
      <c r="BG304" s="3307">
        <v>38903</v>
      </c>
      <c r="BH304" s="3276"/>
      <c r="BI304" s="3276" t="s">
        <v>3342</v>
      </c>
      <c r="BJ304" s="3299">
        <v>38903</v>
      </c>
      <c r="BK304" s="3283"/>
      <c r="BL304" s="3267" t="s">
        <v>2998</v>
      </c>
      <c r="BM304" s="3276" t="s">
        <v>2879</v>
      </c>
      <c r="BN304" s="3276" t="s">
        <v>2999</v>
      </c>
      <c r="BO304" s="3276" t="s">
        <v>3146</v>
      </c>
      <c r="BP304" s="3276"/>
      <c r="BQ304" s="3276" t="e">
        <v>#DIV/0!</v>
      </c>
      <c r="BR304" s="3276" t="e">
        <v>#DIV/0!</v>
      </c>
      <c r="BS304" s="3285"/>
      <c r="BT304" s="3285"/>
      <c r="BU304" s="3285"/>
      <c r="BV304" s="3347"/>
      <c r="BW304" s="3347"/>
      <c r="BX304" s="3347"/>
      <c r="BY304" s="3347"/>
      <c r="BZ304" s="3347"/>
      <c r="CA304" s="3347"/>
      <c r="CB304" s="3347"/>
      <c r="CC304" s="3347"/>
      <c r="CD304" s="3347"/>
      <c r="CE304" s="3347"/>
      <c r="CF304" s="3347"/>
      <c r="CG304" s="3347"/>
      <c r="CH304" s="3347"/>
      <c r="CI304" s="3347"/>
      <c r="CJ304" s="3347"/>
      <c r="CK304" s="3347"/>
      <c r="CL304" s="3347"/>
      <c r="CM304" s="3347"/>
      <c r="CN304" s="3347"/>
      <c r="CO304" s="3347"/>
      <c r="CP304" s="3347"/>
      <c r="CQ304" s="3347"/>
      <c r="CR304" s="3347"/>
      <c r="CS304" s="3347"/>
      <c r="CT304" s="3347"/>
      <c r="CU304" s="3347"/>
      <c r="CV304" s="3347"/>
      <c r="CW304" s="3347"/>
      <c r="CX304" s="3347"/>
      <c r="CY304" s="3347"/>
      <c r="CZ304" s="3347"/>
      <c r="DA304" s="3347"/>
      <c r="DB304" s="3347"/>
      <c r="DC304" s="3347"/>
      <c r="DD304" s="3347"/>
      <c r="DE304" s="3347"/>
      <c r="DF304" s="3347"/>
      <c r="DG304" s="3347"/>
      <c r="DH304" s="3347"/>
      <c r="DI304" s="3347"/>
      <c r="DJ304" s="3347"/>
      <c r="DK304" s="3347"/>
      <c r="DL304" s="3347"/>
      <c r="DM304" s="3347"/>
      <c r="DN304" s="3347"/>
      <c r="DO304" s="3347"/>
      <c r="DP304" s="3347"/>
      <c r="DQ304" s="3347"/>
      <c r="DR304" s="3347"/>
      <c r="DS304" s="3347"/>
      <c r="DT304" s="3347"/>
      <c r="DU304" s="3347"/>
      <c r="DV304" s="3347"/>
      <c r="DW304" s="3347"/>
      <c r="DX304" s="3347"/>
      <c r="DY304" s="3347"/>
      <c r="DZ304" s="3347"/>
      <c r="EA304" s="3347"/>
      <c r="EB304" s="3347"/>
      <c r="EC304" s="3347"/>
      <c r="ED304" s="3347"/>
      <c r="EE304" s="3347"/>
      <c r="EF304" s="3347"/>
      <c r="EG304" s="3347"/>
      <c r="EH304" s="3347"/>
      <c r="EI304" s="3347"/>
      <c r="EJ304" s="3347"/>
      <c r="EK304" s="3347"/>
      <c r="EL304" s="3347"/>
      <c r="EM304" s="3347"/>
      <c r="EN304" s="3347"/>
      <c r="EO304" s="3347"/>
      <c r="EP304" s="3347"/>
      <c r="EQ304" s="3347"/>
      <c r="ER304" s="3347"/>
      <c r="ES304" s="3347"/>
      <c r="ET304" s="3347"/>
      <c r="EU304" s="3347"/>
      <c r="EV304" s="3347"/>
      <c r="EW304" s="3347"/>
      <c r="EX304" s="3347"/>
      <c r="EY304" s="3347"/>
      <c r="EZ304" s="3347"/>
      <c r="FA304" s="3347"/>
      <c r="FB304" s="3347"/>
      <c r="FC304" s="3347"/>
      <c r="FD304" s="3347"/>
      <c r="FE304" s="3347"/>
      <c r="FF304" s="3347"/>
      <c r="FG304" s="3347"/>
      <c r="FH304" s="3347"/>
      <c r="FI304" s="3347"/>
      <c r="FJ304" s="3347"/>
      <c r="FK304" s="3347"/>
      <c r="FL304" s="3347"/>
      <c r="FM304" s="3347"/>
      <c r="FN304" s="3347"/>
      <c r="FO304" s="3347"/>
      <c r="FP304" s="3347"/>
      <c r="FQ304" s="3347"/>
      <c r="FR304" s="3347"/>
      <c r="FS304" s="3347"/>
      <c r="FT304" s="3347"/>
      <c r="FU304" s="3347"/>
      <c r="FV304" s="3347"/>
      <c r="FW304" s="3347"/>
      <c r="FX304" s="3347"/>
      <c r="FY304" s="3347"/>
      <c r="FZ304" s="3347"/>
      <c r="GA304" s="3347"/>
      <c r="GB304" s="3347"/>
      <c r="GC304" s="3347"/>
      <c r="GD304" s="3347"/>
      <c r="GE304" s="3347"/>
      <c r="GF304" s="3347"/>
      <c r="GG304" s="3347"/>
      <c r="GH304" s="3347"/>
      <c r="GI304" s="3347"/>
      <c r="GJ304" s="3347"/>
      <c r="GK304" s="3347"/>
      <c r="GL304" s="3347"/>
      <c r="GM304" s="3347"/>
      <c r="GN304" s="3347"/>
      <c r="GO304" s="3347"/>
      <c r="GP304" s="3347"/>
      <c r="GQ304" s="3347"/>
      <c r="GR304" s="3347"/>
      <c r="GS304" s="3347"/>
      <c r="GT304" s="3347"/>
      <c r="GU304" s="3347"/>
      <c r="GV304" s="3347"/>
      <c r="GW304" s="3347"/>
      <c r="GX304" s="3347"/>
      <c r="GY304" s="3347"/>
      <c r="GZ304" s="3347"/>
      <c r="HA304" s="3347"/>
      <c r="HB304" s="3347"/>
      <c r="HC304" s="3347"/>
      <c r="HD304" s="3347"/>
      <c r="HE304" s="3347"/>
      <c r="HF304" s="3347"/>
      <c r="HG304" s="3347"/>
      <c r="HH304" s="3347"/>
      <c r="HI304" s="3347"/>
      <c r="HJ304" s="3347"/>
      <c r="HK304" s="3347"/>
      <c r="HL304" s="3347"/>
      <c r="HM304" s="3347"/>
      <c r="HN304" s="3347"/>
      <c r="HO304" s="3347"/>
      <c r="HP304" s="3347"/>
      <c r="HQ304" s="3347"/>
      <c r="HR304" s="3347"/>
      <c r="HS304" s="3347"/>
      <c r="HT304" s="3347"/>
      <c r="HU304" s="3347"/>
      <c r="HV304" s="3347"/>
      <c r="HW304" s="3347"/>
      <c r="HX304" s="3347"/>
      <c r="HY304" s="3347"/>
      <c r="HZ304" s="3347"/>
      <c r="IA304" s="3347"/>
      <c r="IB304" s="3347"/>
    </row>
    <row r="305" spans="1:238" hidden="1">
      <c r="A305" s="3267" t="s">
        <v>5261</v>
      </c>
      <c r="B305" s="3267" t="s">
        <v>5262</v>
      </c>
      <c r="C305" s="3269" t="s">
        <v>5263</v>
      </c>
      <c r="D305" s="3268">
        <v>13381057847</v>
      </c>
      <c r="E305" s="3267" t="s">
        <v>2985</v>
      </c>
      <c r="F305" s="3267" t="s">
        <v>5117</v>
      </c>
      <c r="G305" s="3267"/>
      <c r="H305" s="3270" t="s">
        <v>3118</v>
      </c>
      <c r="I305" s="3268"/>
      <c r="J305" s="3270" t="s">
        <v>5264</v>
      </c>
      <c r="K305" s="3267" t="s">
        <v>5265</v>
      </c>
      <c r="L305" s="3286">
        <v>65.290000000000006</v>
      </c>
      <c r="M305" s="3270">
        <v>11</v>
      </c>
      <c r="N305" s="3267" t="s">
        <v>3122</v>
      </c>
      <c r="O305" s="3267"/>
      <c r="P305" s="3267" t="s">
        <v>2963</v>
      </c>
      <c r="Q305" s="3287">
        <v>450000</v>
      </c>
      <c r="R305" s="3267">
        <v>6892</v>
      </c>
      <c r="S305" s="3272">
        <v>45.04</v>
      </c>
      <c r="T305" s="3273">
        <v>450400</v>
      </c>
      <c r="U305" s="3287">
        <v>6899</v>
      </c>
      <c r="V305" s="3274">
        <v>0.2</v>
      </c>
      <c r="W305" s="3272">
        <v>36.03</v>
      </c>
      <c r="X305" s="3275">
        <v>360300</v>
      </c>
      <c r="Y305" s="3267">
        <v>2006</v>
      </c>
      <c r="Z305" s="3267">
        <v>7</v>
      </c>
      <c r="AA305" s="3267">
        <v>21</v>
      </c>
      <c r="AB305" s="3267">
        <v>1350</v>
      </c>
      <c r="AC305" s="3267" t="s">
        <v>2980</v>
      </c>
      <c r="AD305" s="3269" t="s">
        <v>5266</v>
      </c>
      <c r="AE305" s="3267" t="s">
        <v>2991</v>
      </c>
      <c r="AF305" s="3267" t="s">
        <v>2966</v>
      </c>
      <c r="AG305" s="3267" t="s">
        <v>2967</v>
      </c>
      <c r="AH305" s="3267"/>
      <c r="AI305" s="3267" t="s">
        <v>2992</v>
      </c>
      <c r="AJ305" s="3290"/>
      <c r="AK305" s="3267" t="s">
        <v>2993</v>
      </c>
      <c r="AL305" s="3267">
        <v>58</v>
      </c>
      <c r="AM305" s="3267"/>
      <c r="AN305" s="3267" t="s">
        <v>3114</v>
      </c>
      <c r="AO305" s="3267" t="s">
        <v>5267</v>
      </c>
      <c r="AP305" s="3267" t="s">
        <v>2991</v>
      </c>
      <c r="AQ305" s="3267" t="s">
        <v>3228</v>
      </c>
      <c r="AR305" s="3267">
        <v>2006</v>
      </c>
      <c r="AS305" s="3267">
        <v>7</v>
      </c>
      <c r="AT305" s="3267">
        <v>21</v>
      </c>
      <c r="AU305" s="3267"/>
      <c r="AV305" s="3267"/>
      <c r="AW305" s="3267" t="s">
        <v>3119</v>
      </c>
      <c r="AX305" s="3267" t="s">
        <v>2968</v>
      </c>
      <c r="AY305" s="3279"/>
      <c r="AZ305" s="3267" t="s">
        <v>5265</v>
      </c>
      <c r="BA305" s="3267"/>
      <c r="BB305" s="3267"/>
      <c r="BC305" s="3267"/>
      <c r="BD305" s="3267"/>
      <c r="BE305" s="3267"/>
      <c r="BF305" s="3267"/>
      <c r="BG305" s="3290">
        <v>38903</v>
      </c>
      <c r="BH305" s="3267"/>
      <c r="BI305" s="3267" t="s">
        <v>2991</v>
      </c>
      <c r="BJ305" s="3284">
        <v>38908</v>
      </c>
      <c r="BK305" s="3284"/>
      <c r="BL305" s="3276" t="s">
        <v>2998</v>
      </c>
      <c r="BM305" s="3267" t="s">
        <v>2879</v>
      </c>
      <c r="BN305" s="3267" t="s">
        <v>2999</v>
      </c>
      <c r="BO305" s="3267" t="s">
        <v>3000</v>
      </c>
      <c r="BP305" s="3267"/>
      <c r="BQ305" s="3276" t="e">
        <v>#DIV/0!</v>
      </c>
      <c r="BR305" s="3276" t="e">
        <v>#DIV/0!</v>
      </c>
      <c r="BS305" s="3285"/>
      <c r="BT305" s="3285"/>
      <c r="BU305" s="3285"/>
      <c r="BV305" s="3262"/>
      <c r="BW305" s="3262"/>
      <c r="BX305" s="3262"/>
      <c r="BY305" s="3262"/>
      <c r="BZ305" s="3262"/>
      <c r="CA305" s="3262"/>
      <c r="CB305" s="3262"/>
      <c r="CC305" s="3262"/>
      <c r="CD305" s="3262"/>
      <c r="CE305" s="3262"/>
      <c r="CF305" s="3262"/>
      <c r="CG305" s="3262"/>
      <c r="CH305" s="3262"/>
      <c r="CI305" s="3262"/>
      <c r="CJ305" s="3262"/>
      <c r="CK305" s="3262"/>
      <c r="CL305" s="3262"/>
      <c r="CM305" s="3262"/>
      <c r="CN305" s="3262"/>
      <c r="CO305" s="3262"/>
      <c r="CP305" s="3262"/>
      <c r="CQ305" s="3262"/>
      <c r="CR305" s="3262"/>
      <c r="CS305" s="3262"/>
      <c r="CT305" s="3262"/>
      <c r="CU305" s="3262"/>
      <c r="CV305" s="3262"/>
      <c r="CW305" s="3262"/>
      <c r="CX305" s="3262"/>
      <c r="CY305" s="3262"/>
      <c r="CZ305" s="3262"/>
      <c r="DA305" s="3262"/>
      <c r="DB305" s="3262"/>
      <c r="DC305" s="3262"/>
      <c r="DD305" s="3262"/>
      <c r="DE305" s="3262"/>
      <c r="DF305" s="3262"/>
      <c r="DG305" s="3262"/>
      <c r="DH305" s="3262"/>
      <c r="DI305" s="3262"/>
      <c r="DJ305" s="3262"/>
      <c r="DK305" s="3262"/>
      <c r="DL305" s="3262"/>
      <c r="DM305" s="3262"/>
      <c r="DN305" s="3262"/>
      <c r="DO305" s="3262"/>
      <c r="DP305" s="3262"/>
      <c r="DQ305" s="3262"/>
      <c r="DR305" s="3262"/>
      <c r="DS305" s="3262"/>
      <c r="DT305" s="3262"/>
      <c r="DU305" s="3262"/>
      <c r="DV305" s="3262"/>
      <c r="DW305" s="3262"/>
      <c r="DX305" s="3262"/>
      <c r="DY305" s="3262"/>
      <c r="DZ305" s="3262"/>
      <c r="EA305" s="3262"/>
      <c r="EB305" s="3262"/>
      <c r="EC305" s="3262"/>
      <c r="ED305" s="3262"/>
      <c r="EE305" s="3262"/>
      <c r="EF305" s="3262"/>
      <c r="EG305" s="3262"/>
      <c r="EH305" s="3262"/>
      <c r="EI305" s="3262"/>
      <c r="EJ305" s="3262"/>
      <c r="EK305" s="3262"/>
      <c r="EL305" s="3262"/>
      <c r="EM305" s="3262"/>
      <c r="EN305" s="3262"/>
      <c r="EO305" s="3262"/>
      <c r="EP305" s="3262"/>
      <c r="EQ305" s="3262"/>
      <c r="ER305" s="3262"/>
      <c r="ES305" s="3262"/>
      <c r="ET305" s="3262"/>
      <c r="EU305" s="3262"/>
      <c r="EV305" s="3262"/>
      <c r="EW305" s="3262"/>
      <c r="EX305" s="3262"/>
      <c r="EY305" s="3262"/>
      <c r="EZ305" s="3262"/>
      <c r="FA305" s="3262"/>
      <c r="FB305" s="3262"/>
      <c r="FC305" s="3262"/>
      <c r="FD305" s="3262"/>
      <c r="FE305" s="3262"/>
      <c r="FF305" s="3262"/>
      <c r="FG305" s="3262"/>
      <c r="FH305" s="3262"/>
      <c r="FI305" s="3262"/>
      <c r="FJ305" s="3262"/>
      <c r="FK305" s="3262"/>
      <c r="FL305" s="3262"/>
      <c r="FM305" s="3262"/>
      <c r="FN305" s="3262"/>
      <c r="FO305" s="3262"/>
      <c r="FP305" s="3262"/>
      <c r="FQ305" s="3262"/>
      <c r="FR305" s="3262"/>
      <c r="FS305" s="3262"/>
      <c r="FT305" s="3262"/>
      <c r="FU305" s="3262"/>
      <c r="FV305" s="3262"/>
      <c r="FW305" s="3262"/>
      <c r="FX305" s="3262"/>
      <c r="FY305" s="3262"/>
      <c r="FZ305" s="3262"/>
      <c r="GA305" s="3262"/>
      <c r="GB305" s="3262"/>
      <c r="GC305" s="3262"/>
      <c r="GD305" s="3262"/>
      <c r="GE305" s="3262"/>
      <c r="GF305" s="3262"/>
      <c r="GG305" s="3262"/>
      <c r="GH305" s="3262"/>
      <c r="GI305" s="3262"/>
      <c r="GJ305" s="3262"/>
      <c r="GK305" s="3262"/>
      <c r="GL305" s="3262"/>
      <c r="GM305" s="3262"/>
      <c r="GN305" s="3262"/>
      <c r="GO305" s="3262"/>
      <c r="GP305" s="3262"/>
      <c r="GQ305" s="3262"/>
      <c r="GR305" s="3262"/>
      <c r="GS305" s="3262"/>
      <c r="GT305" s="3262"/>
      <c r="GU305" s="3262"/>
      <c r="GV305" s="3262"/>
      <c r="GW305" s="3262"/>
      <c r="GX305" s="3262"/>
      <c r="GY305" s="3262"/>
      <c r="GZ305" s="3262"/>
      <c r="HA305" s="3262"/>
      <c r="HB305" s="3262"/>
      <c r="HC305" s="3262"/>
      <c r="HD305" s="3262"/>
      <c r="HE305" s="3262"/>
      <c r="HF305" s="3262"/>
      <c r="HG305" s="3262"/>
      <c r="HH305" s="3262"/>
      <c r="HI305" s="3262"/>
      <c r="HJ305" s="3262"/>
      <c r="HK305" s="3262"/>
      <c r="HL305" s="3262"/>
      <c r="HM305" s="3262"/>
      <c r="HN305" s="3262"/>
      <c r="HO305" s="3262"/>
      <c r="HP305" s="3262"/>
      <c r="HQ305" s="3262"/>
      <c r="HR305" s="3262"/>
      <c r="HS305" s="3262"/>
      <c r="HT305" s="3262"/>
      <c r="HU305" s="3262"/>
      <c r="HV305" s="3262"/>
      <c r="HW305" s="3262"/>
      <c r="HX305" s="3262"/>
      <c r="HY305" s="3262"/>
      <c r="HZ305" s="3262"/>
      <c r="IA305" s="3262"/>
      <c r="IB305" s="3262"/>
    </row>
    <row r="306" spans="1:238" hidden="1">
      <c r="A306" s="3267" t="s">
        <v>5268</v>
      </c>
      <c r="B306" s="3267" t="s">
        <v>5269</v>
      </c>
      <c r="C306" s="3269" t="s">
        <v>5270</v>
      </c>
      <c r="D306" s="3269" t="s">
        <v>5271</v>
      </c>
      <c r="E306" s="3268" t="s">
        <v>2985</v>
      </c>
      <c r="F306" s="3268" t="s">
        <v>3813</v>
      </c>
      <c r="G306" s="3267"/>
      <c r="H306" s="3267" t="s">
        <v>5272</v>
      </c>
      <c r="I306" s="3268"/>
      <c r="J306" s="3267" t="s">
        <v>5273</v>
      </c>
      <c r="K306" s="3267" t="s">
        <v>5274</v>
      </c>
      <c r="L306" s="3267">
        <v>69.33</v>
      </c>
      <c r="M306" s="3270">
        <v>18</v>
      </c>
      <c r="N306" s="3267" t="s">
        <v>3122</v>
      </c>
      <c r="O306" s="3267">
        <v>54.71</v>
      </c>
      <c r="P306" s="3267" t="s">
        <v>2963</v>
      </c>
      <c r="Q306" s="3271">
        <v>505000</v>
      </c>
      <c r="R306" s="3288">
        <v>7284</v>
      </c>
      <c r="S306" s="3272">
        <v>37.61</v>
      </c>
      <c r="T306" s="3273">
        <v>376100</v>
      </c>
      <c r="U306" s="3267">
        <v>5426</v>
      </c>
      <c r="V306" s="3274">
        <v>0.2</v>
      </c>
      <c r="W306" s="3272">
        <v>30.08</v>
      </c>
      <c r="X306" s="3273">
        <v>300800</v>
      </c>
      <c r="Y306" s="3267">
        <v>2006</v>
      </c>
      <c r="Z306" s="3276">
        <v>8</v>
      </c>
      <c r="AA306" s="3276">
        <v>2</v>
      </c>
      <c r="AB306" s="3267">
        <v>1125</v>
      </c>
      <c r="AC306" s="3267" t="s">
        <v>5275</v>
      </c>
      <c r="AD306" s="3269" t="s">
        <v>5276</v>
      </c>
      <c r="AE306" s="3279" t="s">
        <v>3245</v>
      </c>
      <c r="AF306" s="3268" t="s">
        <v>2966</v>
      </c>
      <c r="AG306" s="3279" t="s">
        <v>2967</v>
      </c>
      <c r="AH306" s="3267" t="s">
        <v>2968</v>
      </c>
      <c r="AI306" s="3279" t="s">
        <v>2992</v>
      </c>
      <c r="AJ306" s="3284"/>
      <c r="AK306" s="3278">
        <v>8</v>
      </c>
      <c r="AL306" s="3276">
        <v>55</v>
      </c>
      <c r="AM306" s="3267"/>
      <c r="AN306" s="3279" t="s">
        <v>3131</v>
      </c>
      <c r="AO306" s="3267" t="s">
        <v>5277</v>
      </c>
      <c r="AP306" s="3279" t="s">
        <v>3305</v>
      </c>
      <c r="AQ306" s="3267" t="s">
        <v>3228</v>
      </c>
      <c r="AR306" s="3276"/>
      <c r="AS306" s="3276"/>
      <c r="AT306" s="3276"/>
      <c r="AU306" s="3276"/>
      <c r="AV306" s="3276" t="s">
        <v>2968</v>
      </c>
      <c r="AW306" s="3276" t="s">
        <v>3119</v>
      </c>
      <c r="AX306" s="3276"/>
      <c r="AY306" s="3291"/>
      <c r="AZ306" s="3267" t="s">
        <v>5274</v>
      </c>
      <c r="BA306" s="3296"/>
      <c r="BB306" s="3297"/>
      <c r="BC306" s="3296"/>
      <c r="BD306" s="3298"/>
      <c r="BE306" s="3276">
        <v>13366090866</v>
      </c>
      <c r="BF306" s="3281"/>
      <c r="BG306" s="3293">
        <v>38889</v>
      </c>
      <c r="BH306" s="3267" t="s">
        <v>2998</v>
      </c>
      <c r="BI306" s="3314" t="s">
        <v>3305</v>
      </c>
      <c r="BJ306" s="3283">
        <v>38909</v>
      </c>
      <c r="BK306" s="3283"/>
      <c r="BL306" s="3267" t="s">
        <v>3249</v>
      </c>
      <c r="BM306" s="3276" t="s">
        <v>2879</v>
      </c>
      <c r="BN306" s="3276" t="s">
        <v>3111</v>
      </c>
      <c r="BO306" s="3276" t="s">
        <v>3000</v>
      </c>
      <c r="BP306" s="3276"/>
      <c r="BQ306" s="3276">
        <v>6874</v>
      </c>
      <c r="BR306" s="3276">
        <v>9230</v>
      </c>
      <c r="BS306" s="3285"/>
      <c r="BT306" s="3285"/>
      <c r="BU306" s="3285"/>
    </row>
    <row r="307" spans="1:238" hidden="1">
      <c r="A307" s="3267" t="s">
        <v>5278</v>
      </c>
      <c r="B307" s="3267" t="s">
        <v>5279</v>
      </c>
      <c r="C307" s="3269" t="s">
        <v>5280</v>
      </c>
      <c r="D307" s="3267" t="s">
        <v>5281</v>
      </c>
      <c r="E307" s="3267" t="s">
        <v>2985</v>
      </c>
      <c r="F307" s="3267" t="s">
        <v>3764</v>
      </c>
      <c r="G307" s="3267"/>
      <c r="H307" s="3267" t="s">
        <v>3134</v>
      </c>
      <c r="I307" s="3267"/>
      <c r="J307" s="3267" t="s">
        <v>5282</v>
      </c>
      <c r="K307" s="3268" t="s">
        <v>5283</v>
      </c>
      <c r="L307" s="3267">
        <v>49.86</v>
      </c>
      <c r="M307" s="3267">
        <v>4</v>
      </c>
      <c r="N307" s="3267" t="s">
        <v>3122</v>
      </c>
      <c r="O307" s="3267"/>
      <c r="P307" s="3267" t="s">
        <v>2963</v>
      </c>
      <c r="Q307" s="3267">
        <v>350000</v>
      </c>
      <c r="R307" s="3267">
        <v>7020</v>
      </c>
      <c r="S307" s="3272">
        <v>30.86</v>
      </c>
      <c r="T307" s="3273">
        <v>308600</v>
      </c>
      <c r="U307" s="3267">
        <v>6190</v>
      </c>
      <c r="V307" s="3274">
        <v>0.2</v>
      </c>
      <c r="W307" s="3272">
        <v>24.68</v>
      </c>
      <c r="X307" s="3275">
        <v>246800</v>
      </c>
      <c r="Y307" s="3267">
        <v>2006</v>
      </c>
      <c r="Z307" s="3267">
        <v>8</v>
      </c>
      <c r="AA307" s="3276">
        <v>8</v>
      </c>
      <c r="AB307" s="3267">
        <v>925</v>
      </c>
      <c r="AC307" s="3267" t="s">
        <v>2980</v>
      </c>
      <c r="AD307" s="3269" t="s">
        <v>5284</v>
      </c>
      <c r="AE307" s="3279" t="s">
        <v>3069</v>
      </c>
      <c r="AF307" s="3267" t="s">
        <v>2966</v>
      </c>
      <c r="AG307" s="3267" t="s">
        <v>2967</v>
      </c>
      <c r="AH307" s="3267"/>
      <c r="AI307" s="3267" t="s">
        <v>3115</v>
      </c>
      <c r="AJ307" s="3284"/>
      <c r="AK307" s="3278">
        <v>8</v>
      </c>
      <c r="AL307" s="3267">
        <v>34</v>
      </c>
      <c r="AM307" s="3267"/>
      <c r="AN307" s="3267" t="s">
        <v>3140</v>
      </c>
      <c r="AO307" s="3267" t="s">
        <v>5285</v>
      </c>
      <c r="AP307" s="3267" t="s">
        <v>3342</v>
      </c>
      <c r="AQ307" s="3267" t="s">
        <v>3228</v>
      </c>
      <c r="AR307" s="3267"/>
      <c r="AS307" s="3267"/>
      <c r="AT307" s="3267"/>
      <c r="AU307" s="3267"/>
      <c r="AV307" s="3267"/>
      <c r="AW307" s="3267" t="s">
        <v>2997</v>
      </c>
      <c r="AX307" s="3267"/>
      <c r="AY307" s="3269"/>
      <c r="AZ307" s="3267" t="s">
        <v>5283</v>
      </c>
      <c r="BA307" s="3267"/>
      <c r="BB307" s="3267"/>
      <c r="BC307" s="3267"/>
      <c r="BD307" s="3267"/>
      <c r="BE307" s="3267"/>
      <c r="BF307" s="3267"/>
      <c r="BG307" s="3307">
        <v>38903</v>
      </c>
      <c r="BH307" s="3267"/>
      <c r="BI307" s="3267" t="s">
        <v>3069</v>
      </c>
      <c r="BJ307" s="3283">
        <v>38909</v>
      </c>
      <c r="BK307" s="3283"/>
      <c r="BL307" s="3267" t="s">
        <v>2998</v>
      </c>
      <c r="BM307" s="3267" t="s">
        <v>2879</v>
      </c>
      <c r="BN307" s="3267" t="s">
        <v>3111</v>
      </c>
      <c r="BO307" s="3267" t="s">
        <v>3000</v>
      </c>
      <c r="BP307" s="3267"/>
      <c r="BQ307" s="3276" t="e">
        <v>#DIV/0!</v>
      </c>
      <c r="BR307" s="3276" t="e">
        <v>#DIV/0!</v>
      </c>
      <c r="BS307" s="3285"/>
      <c r="BT307" s="3285"/>
      <c r="BU307" s="3285"/>
    </row>
    <row r="308" spans="1:238" hidden="1">
      <c r="A308" s="3267" t="s">
        <v>5286</v>
      </c>
      <c r="B308" s="3267" t="s">
        <v>5287</v>
      </c>
      <c r="C308" s="3269" t="s">
        <v>5288</v>
      </c>
      <c r="D308" s="3269" t="s">
        <v>5289</v>
      </c>
      <c r="E308" s="3268" t="s">
        <v>2985</v>
      </c>
      <c r="F308" s="3268" t="s">
        <v>4379</v>
      </c>
      <c r="G308" s="3267"/>
      <c r="H308" s="3267" t="s">
        <v>5290</v>
      </c>
      <c r="I308" s="3268" t="s">
        <v>3191</v>
      </c>
      <c r="J308" s="3267" t="s">
        <v>3512</v>
      </c>
      <c r="K308" s="3267" t="s">
        <v>5291</v>
      </c>
      <c r="L308" s="3267">
        <v>46.64</v>
      </c>
      <c r="M308" s="3267" t="s">
        <v>3266</v>
      </c>
      <c r="N308" s="3267" t="s">
        <v>3152</v>
      </c>
      <c r="O308" s="3267"/>
      <c r="P308" s="3267" t="s">
        <v>2963</v>
      </c>
      <c r="Q308" s="3271">
        <v>390000</v>
      </c>
      <c r="R308" s="3267">
        <v>8362</v>
      </c>
      <c r="S308" s="3272">
        <v>33.229999999999997</v>
      </c>
      <c r="T308" s="3273">
        <v>332300</v>
      </c>
      <c r="U308" s="3267">
        <v>7125</v>
      </c>
      <c r="V308" s="3274">
        <v>0.2</v>
      </c>
      <c r="W308" s="3272">
        <v>26.58</v>
      </c>
      <c r="X308" s="3275">
        <v>265800</v>
      </c>
      <c r="Y308" s="3276">
        <v>2006</v>
      </c>
      <c r="Z308" s="3276">
        <v>7</v>
      </c>
      <c r="AA308" s="3276">
        <v>18</v>
      </c>
      <c r="AB308" s="3267">
        <v>995</v>
      </c>
      <c r="AC308" s="3267" t="s">
        <v>2980</v>
      </c>
      <c r="AD308" s="3280" t="s">
        <v>5292</v>
      </c>
      <c r="AE308" s="3279" t="s">
        <v>3295</v>
      </c>
      <c r="AF308" s="3268" t="s">
        <v>2966</v>
      </c>
      <c r="AG308" s="3279" t="s">
        <v>2967</v>
      </c>
      <c r="AH308" s="3267"/>
      <c r="AI308" s="3279" t="s">
        <v>2992</v>
      </c>
      <c r="AJ308" s="3284"/>
      <c r="AK308" s="3278">
        <v>7</v>
      </c>
      <c r="AL308" s="3276">
        <v>37</v>
      </c>
      <c r="AM308" s="3276"/>
      <c r="AN308" s="3279" t="s">
        <v>3114</v>
      </c>
      <c r="AO308" s="3267" t="s">
        <v>5293</v>
      </c>
      <c r="AP308" s="3279" t="s">
        <v>3305</v>
      </c>
      <c r="AQ308" s="3267" t="s">
        <v>3228</v>
      </c>
      <c r="AR308" s="3276"/>
      <c r="AS308" s="3276"/>
      <c r="AT308" s="3276"/>
      <c r="AU308" s="3276"/>
      <c r="AV308" s="3276"/>
      <c r="AW308" s="3276" t="s">
        <v>3112</v>
      </c>
      <c r="AX308" s="3276"/>
      <c r="AY308" s="3291"/>
      <c r="AZ308" s="3267" t="s">
        <v>5291</v>
      </c>
      <c r="BA308" s="3296"/>
      <c r="BB308" s="3297"/>
      <c r="BC308" s="3296"/>
      <c r="BD308" s="3298"/>
      <c r="BE308" s="3276"/>
      <c r="BF308" s="3281"/>
      <c r="BG308" s="3293">
        <v>38905</v>
      </c>
      <c r="BH308" s="3267" t="s">
        <v>2998</v>
      </c>
      <c r="BI308" s="3314" t="s">
        <v>3305</v>
      </c>
      <c r="BJ308" s="3283">
        <v>38905</v>
      </c>
      <c r="BK308" s="3283"/>
      <c r="BL308" s="3267" t="s">
        <v>3249</v>
      </c>
      <c r="BM308" s="3276" t="s">
        <v>2879</v>
      </c>
      <c r="BN308" s="3276" t="s">
        <v>2999</v>
      </c>
      <c r="BO308" s="3276" t="s">
        <v>3000</v>
      </c>
      <c r="BP308" s="3276"/>
      <c r="BQ308" s="3276" t="e">
        <v>#DIV/0!</v>
      </c>
      <c r="BR308" s="3276" t="e">
        <v>#DIV/0!</v>
      </c>
      <c r="BS308" s="3285"/>
      <c r="BT308" s="3285"/>
      <c r="BU308" s="3285"/>
    </row>
    <row r="309" spans="1:238">
      <c r="A309" s="3267" t="s">
        <v>5294</v>
      </c>
      <c r="B309" s="3267" t="s">
        <v>5295</v>
      </c>
      <c r="C309" s="3269" t="s">
        <v>5296</v>
      </c>
      <c r="D309" s="3269" t="s">
        <v>5297</v>
      </c>
      <c r="E309" s="3268" t="s">
        <v>2985</v>
      </c>
      <c r="F309" s="3268" t="s">
        <v>3957</v>
      </c>
      <c r="G309" s="3267"/>
      <c r="H309" s="3267" t="s">
        <v>3263</v>
      </c>
      <c r="I309" s="3268" t="s">
        <v>3608</v>
      </c>
      <c r="J309" s="3267" t="s">
        <v>3634</v>
      </c>
      <c r="K309" s="3267" t="s">
        <v>5298</v>
      </c>
      <c r="L309" s="3267">
        <v>96.78</v>
      </c>
      <c r="M309" s="3267">
        <v>7</v>
      </c>
      <c r="N309" s="3267" t="s">
        <v>5299</v>
      </c>
      <c r="O309" s="3267"/>
      <c r="P309" s="3267" t="s">
        <v>3495</v>
      </c>
      <c r="Q309" s="3271">
        <v>700000</v>
      </c>
      <c r="R309" s="3267">
        <v>7233</v>
      </c>
      <c r="S309" s="3272">
        <v>59.01</v>
      </c>
      <c r="T309" s="3273">
        <v>590100</v>
      </c>
      <c r="U309" s="3267">
        <v>6098</v>
      </c>
      <c r="V309" s="3274">
        <v>0.3</v>
      </c>
      <c r="W309" s="3272">
        <v>41.3</v>
      </c>
      <c r="X309" s="3275">
        <v>413000</v>
      </c>
      <c r="Y309" s="3276">
        <v>2006</v>
      </c>
      <c r="Z309" s="3276">
        <v>7</v>
      </c>
      <c r="AA309" s="3276">
        <v>18</v>
      </c>
      <c r="AB309" s="3267">
        <v>1500</v>
      </c>
      <c r="AC309" s="3267" t="s">
        <v>2980</v>
      </c>
      <c r="AD309" s="3280" t="s">
        <v>5300</v>
      </c>
      <c r="AE309" s="3279" t="s">
        <v>3344</v>
      </c>
      <c r="AF309" s="3268" t="s">
        <v>2966</v>
      </c>
      <c r="AG309" s="3279" t="s">
        <v>2967</v>
      </c>
      <c r="AH309" s="3267" t="s">
        <v>2968</v>
      </c>
      <c r="AI309" s="3279" t="s">
        <v>2992</v>
      </c>
      <c r="AJ309" s="3284"/>
      <c r="AK309" s="3278">
        <v>7</v>
      </c>
      <c r="AL309" s="3276">
        <v>51</v>
      </c>
      <c r="AM309" s="3276"/>
      <c r="AN309" s="3279" t="s">
        <v>3114</v>
      </c>
      <c r="AO309" s="3267" t="s">
        <v>5301</v>
      </c>
      <c r="AP309" s="3279" t="s">
        <v>3305</v>
      </c>
      <c r="AQ309" s="3267" t="s">
        <v>3228</v>
      </c>
      <c r="AR309" s="3276"/>
      <c r="AS309" s="3276"/>
      <c r="AT309" s="3276"/>
      <c r="AU309" s="3276"/>
      <c r="AV309" s="3276"/>
      <c r="AW309" s="3276" t="s">
        <v>3171</v>
      </c>
      <c r="AX309" s="3276"/>
      <c r="AY309" s="3291"/>
      <c r="AZ309" s="3267" t="s">
        <v>5298</v>
      </c>
      <c r="BA309" s="3296"/>
      <c r="BB309" s="3297"/>
      <c r="BC309" s="3296"/>
      <c r="BD309" s="3298"/>
      <c r="BE309" s="3276">
        <v>13381202306</v>
      </c>
      <c r="BF309" s="3281"/>
      <c r="BG309" s="3293">
        <v>38896</v>
      </c>
      <c r="BH309" s="3267" t="s">
        <v>2998</v>
      </c>
      <c r="BI309" s="3314" t="s">
        <v>3305</v>
      </c>
      <c r="BJ309" s="3283">
        <v>38909</v>
      </c>
      <c r="BK309" s="3283"/>
      <c r="BL309" s="3267" t="s">
        <v>3249</v>
      </c>
      <c r="BM309" s="3276" t="s">
        <v>2879</v>
      </c>
      <c r="BN309" s="3276" t="s">
        <v>2999</v>
      </c>
      <c r="BO309" s="3276" t="s">
        <v>3000</v>
      </c>
      <c r="BP309" s="3276"/>
      <c r="BQ309" s="3276" t="e">
        <v>#DIV/0!</v>
      </c>
      <c r="BR309" s="3276" t="e">
        <v>#DIV/0!</v>
      </c>
      <c r="BS309" s="3285"/>
      <c r="BT309" s="3285"/>
      <c r="BU309" s="3285"/>
    </row>
    <row r="310" spans="1:238">
      <c r="A310" s="3267" t="s">
        <v>5302</v>
      </c>
      <c r="B310" s="3267" t="s">
        <v>5303</v>
      </c>
      <c r="C310" s="3269" t="s">
        <v>5304</v>
      </c>
      <c r="D310" s="3269" t="s">
        <v>5305</v>
      </c>
      <c r="E310" s="3268" t="s">
        <v>2985</v>
      </c>
      <c r="F310" s="3268" t="s">
        <v>5306</v>
      </c>
      <c r="G310" s="3267"/>
      <c r="H310" s="3268" t="s">
        <v>3138</v>
      </c>
      <c r="I310" s="3268"/>
      <c r="J310" s="3267" t="s">
        <v>3544</v>
      </c>
      <c r="K310" s="3268" t="s">
        <v>5307</v>
      </c>
      <c r="L310" s="3267">
        <v>100.73</v>
      </c>
      <c r="M310" s="3270">
        <v>24</v>
      </c>
      <c r="N310" s="3267" t="s">
        <v>3098</v>
      </c>
      <c r="O310" s="3267"/>
      <c r="P310" s="3267" t="s">
        <v>2963</v>
      </c>
      <c r="Q310" s="3271">
        <v>600000</v>
      </c>
      <c r="R310" s="3267">
        <v>5957</v>
      </c>
      <c r="S310" s="3272">
        <v>65.209999999999994</v>
      </c>
      <c r="T310" s="3273">
        <v>652100</v>
      </c>
      <c r="U310" s="3267">
        <v>6474</v>
      </c>
      <c r="V310" s="3289">
        <v>0.3</v>
      </c>
      <c r="W310" s="3272">
        <v>45.64</v>
      </c>
      <c r="X310" s="3275">
        <v>456400</v>
      </c>
      <c r="Y310" s="3276">
        <v>2006</v>
      </c>
      <c r="Z310" s="3276">
        <v>7</v>
      </c>
      <c r="AA310" s="3276">
        <v>25</v>
      </c>
      <c r="AB310" s="3267">
        <v>1500</v>
      </c>
      <c r="AC310" s="3267" t="s">
        <v>2980</v>
      </c>
      <c r="AD310" s="3269" t="s">
        <v>5308</v>
      </c>
      <c r="AE310" s="3279" t="s">
        <v>3344</v>
      </c>
      <c r="AF310" s="3268" t="s">
        <v>2966</v>
      </c>
      <c r="AG310" s="3279" t="s">
        <v>2967</v>
      </c>
      <c r="AH310" s="3268" t="s">
        <v>2968</v>
      </c>
      <c r="AI310" s="3279" t="s">
        <v>2992</v>
      </c>
      <c r="AJ310" s="3284"/>
      <c r="AK310" s="3278">
        <v>7</v>
      </c>
      <c r="AL310" s="3276">
        <v>52</v>
      </c>
      <c r="AM310" s="3267"/>
      <c r="AN310" s="3279" t="s">
        <v>2994</v>
      </c>
      <c r="AO310" s="3267" t="s">
        <v>5309</v>
      </c>
      <c r="AP310" s="3279" t="s">
        <v>3305</v>
      </c>
      <c r="AQ310" s="3267" t="s">
        <v>3228</v>
      </c>
      <c r="AR310" s="3276"/>
      <c r="AS310" s="3276"/>
      <c r="AT310" s="3276"/>
      <c r="AU310" s="3276"/>
      <c r="AV310" s="3276"/>
      <c r="AW310" s="3276" t="s">
        <v>3171</v>
      </c>
      <c r="AX310" s="3276"/>
      <c r="AY310" s="3291"/>
      <c r="AZ310" s="3267" t="s">
        <v>5307</v>
      </c>
      <c r="BA310" s="3296"/>
      <c r="BB310" s="3297"/>
      <c r="BC310" s="3296"/>
      <c r="BD310" s="3298"/>
      <c r="BE310" s="3276">
        <v>13901099248</v>
      </c>
      <c r="BF310" s="3281"/>
      <c r="BG310" s="3293">
        <v>38905</v>
      </c>
      <c r="BH310" s="3267" t="s">
        <v>2998</v>
      </c>
      <c r="BI310" s="3314" t="s">
        <v>3305</v>
      </c>
      <c r="BJ310" s="3283">
        <v>38910</v>
      </c>
      <c r="BK310" s="3283"/>
      <c r="BL310" s="3267" t="s">
        <v>3249</v>
      </c>
      <c r="BM310" s="3276" t="s">
        <v>2879</v>
      </c>
      <c r="BN310" s="3276" t="s">
        <v>2999</v>
      </c>
      <c r="BO310" s="3276" t="s">
        <v>3000</v>
      </c>
      <c r="BP310" s="3276"/>
      <c r="BQ310" s="3276" t="e">
        <v>#DIV/0!</v>
      </c>
      <c r="BR310" s="3276" t="e">
        <v>#DIV/0!</v>
      </c>
      <c r="BS310" s="3285"/>
      <c r="BT310" s="3285"/>
      <c r="BU310" s="3285"/>
    </row>
    <row r="311" spans="1:238" hidden="1">
      <c r="A311" s="3267" t="s">
        <v>5310</v>
      </c>
      <c r="B311" s="3267" t="s">
        <v>5311</v>
      </c>
      <c r="C311" s="3269" t="s">
        <v>5312</v>
      </c>
      <c r="D311" s="3269" t="s">
        <v>5313</v>
      </c>
      <c r="E311" s="3268" t="s">
        <v>2985</v>
      </c>
      <c r="F311" s="3268" t="s">
        <v>4884</v>
      </c>
      <c r="G311" s="3267"/>
      <c r="H311" s="3267" t="s">
        <v>5314</v>
      </c>
      <c r="I311" s="3268" t="s">
        <v>3458</v>
      </c>
      <c r="J311" s="3267" t="s">
        <v>2987</v>
      </c>
      <c r="K311" s="3267" t="s">
        <v>5315</v>
      </c>
      <c r="L311" s="3267">
        <v>50.14</v>
      </c>
      <c r="M311" s="3270">
        <v>3</v>
      </c>
      <c r="N311" s="3267" t="s">
        <v>3535</v>
      </c>
      <c r="O311" s="3267">
        <v>38.340000000000003</v>
      </c>
      <c r="P311" s="3267" t="s">
        <v>2963</v>
      </c>
      <c r="Q311" s="3271">
        <v>400000</v>
      </c>
      <c r="R311" s="3267">
        <v>7978</v>
      </c>
      <c r="S311" s="3272">
        <v>29.08</v>
      </c>
      <c r="T311" s="3273">
        <v>290800</v>
      </c>
      <c r="U311" s="3267">
        <v>5800</v>
      </c>
      <c r="V311" s="3274">
        <v>0.2</v>
      </c>
      <c r="W311" s="3272">
        <v>23.26</v>
      </c>
      <c r="X311" s="3275">
        <v>232600</v>
      </c>
      <c r="Y311" s="3276">
        <v>2006</v>
      </c>
      <c r="Z311" s="3276">
        <v>7</v>
      </c>
      <c r="AA311" s="3294">
        <v>31</v>
      </c>
      <c r="AB311" s="3295">
        <v>870</v>
      </c>
      <c r="AC311" s="3267" t="s">
        <v>2980</v>
      </c>
      <c r="AD311" s="3280" t="s">
        <v>5316</v>
      </c>
      <c r="AE311" s="3279" t="s">
        <v>3245</v>
      </c>
      <c r="AF311" s="3268" t="s">
        <v>2966</v>
      </c>
      <c r="AG311" s="3279" t="s">
        <v>2967</v>
      </c>
      <c r="AH311" s="3267" t="s">
        <v>2968</v>
      </c>
      <c r="AI311" s="3279" t="s">
        <v>2992</v>
      </c>
      <c r="AJ311" s="3284"/>
      <c r="AK311" s="3278">
        <v>7</v>
      </c>
      <c r="AL311" s="3276">
        <v>58</v>
      </c>
      <c r="AM311" s="3267"/>
      <c r="AN311" s="3279" t="s">
        <v>3099</v>
      </c>
      <c r="AO311" s="3267" t="s">
        <v>5317</v>
      </c>
      <c r="AP311" s="3279" t="s">
        <v>3305</v>
      </c>
      <c r="AQ311" s="3267" t="s">
        <v>3228</v>
      </c>
      <c r="AR311" s="3276"/>
      <c r="AS311" s="3276"/>
      <c r="AT311" s="3276"/>
      <c r="AU311" s="3276"/>
      <c r="AV311" s="3276"/>
      <c r="AW311" s="3276" t="s">
        <v>3119</v>
      </c>
      <c r="AX311" s="3276"/>
      <c r="AY311" s="3291"/>
      <c r="AZ311" s="3267" t="s">
        <v>5315</v>
      </c>
      <c r="BA311" s="3296"/>
      <c r="BB311" s="3297"/>
      <c r="BC311" s="3296"/>
      <c r="BD311" s="3298"/>
      <c r="BE311" s="3276" t="s">
        <v>5318</v>
      </c>
      <c r="BF311" s="3281"/>
      <c r="BG311" s="3293">
        <v>38910</v>
      </c>
      <c r="BH311" s="3267" t="s">
        <v>2998</v>
      </c>
      <c r="BI311" s="3314" t="s">
        <v>3305</v>
      </c>
      <c r="BJ311" s="3283">
        <v>38915</v>
      </c>
      <c r="BK311" s="3283"/>
      <c r="BL311" s="3267" t="s">
        <v>3249</v>
      </c>
      <c r="BM311" s="3276" t="s">
        <v>2879</v>
      </c>
      <c r="BN311" s="3276" t="s">
        <v>3111</v>
      </c>
      <c r="BO311" s="3276" t="s">
        <v>3146</v>
      </c>
      <c r="BP311" s="3276"/>
      <c r="BQ311" s="3276">
        <v>7585</v>
      </c>
      <c r="BR311" s="3276">
        <v>10433</v>
      </c>
      <c r="BS311" s="3285"/>
      <c r="BT311" s="3285"/>
      <c r="BU311" s="3285"/>
    </row>
    <row r="312" spans="1:238" hidden="1">
      <c r="A312" s="3267" t="s">
        <v>5319</v>
      </c>
      <c r="B312" s="3267" t="s">
        <v>5320</v>
      </c>
      <c r="C312" s="3269" t="s">
        <v>5321</v>
      </c>
      <c r="D312" s="3268">
        <v>13501261509</v>
      </c>
      <c r="E312" s="3267" t="s">
        <v>2985</v>
      </c>
      <c r="F312" s="3267" t="s">
        <v>5322</v>
      </c>
      <c r="G312" s="3267"/>
      <c r="H312" s="3270" t="s">
        <v>5323</v>
      </c>
      <c r="I312" s="3268"/>
      <c r="J312" s="3270" t="s">
        <v>5324</v>
      </c>
      <c r="K312" s="3267" t="s">
        <v>5325</v>
      </c>
      <c r="L312" s="3286">
        <v>43.19</v>
      </c>
      <c r="M312" s="3270">
        <v>5</v>
      </c>
      <c r="N312" s="3267" t="s">
        <v>3122</v>
      </c>
      <c r="O312" s="3267"/>
      <c r="P312" s="3267" t="s">
        <v>2963</v>
      </c>
      <c r="Q312" s="3287">
        <v>345000</v>
      </c>
      <c r="R312" s="3267">
        <v>7988</v>
      </c>
      <c r="S312" s="3272">
        <v>28.14</v>
      </c>
      <c r="T312" s="3273">
        <v>281400</v>
      </c>
      <c r="U312" s="3287">
        <v>6517</v>
      </c>
      <c r="V312" s="3289">
        <v>0.2</v>
      </c>
      <c r="W312" s="3272">
        <v>22.51</v>
      </c>
      <c r="X312" s="3275">
        <v>225100</v>
      </c>
      <c r="Y312" s="3276">
        <v>2006</v>
      </c>
      <c r="Z312" s="3267">
        <v>8</v>
      </c>
      <c r="AA312" s="3276">
        <v>25</v>
      </c>
      <c r="AB312" s="3267">
        <v>840</v>
      </c>
      <c r="AC312" s="3267" t="s">
        <v>2980</v>
      </c>
      <c r="AD312" s="3269" t="s">
        <v>5326</v>
      </c>
      <c r="AE312" s="3267" t="s">
        <v>3069</v>
      </c>
      <c r="AF312" s="3267" t="s">
        <v>2966</v>
      </c>
      <c r="AG312" s="3267" t="s">
        <v>2967</v>
      </c>
      <c r="AH312" s="3267"/>
      <c r="AI312" s="3267" t="s">
        <v>3295</v>
      </c>
      <c r="AJ312" s="3270"/>
      <c r="AK312" s="3278">
        <v>8</v>
      </c>
      <c r="AL312" s="3276" t="s">
        <v>5327</v>
      </c>
      <c r="AM312" s="3267"/>
      <c r="AN312" s="3279" t="s">
        <v>2994</v>
      </c>
      <c r="AO312" s="3276" t="s">
        <v>5328</v>
      </c>
      <c r="AP312" s="3267" t="s">
        <v>3069</v>
      </c>
      <c r="AQ312" s="3267" t="s">
        <v>3228</v>
      </c>
      <c r="AR312" s="3267">
        <v>2006</v>
      </c>
      <c r="AS312" s="3267">
        <v>8</v>
      </c>
      <c r="AT312" s="3267">
        <v>25</v>
      </c>
      <c r="AU312" s="3267"/>
      <c r="AV312" s="3267"/>
      <c r="AW312" s="3267" t="s">
        <v>3112</v>
      </c>
      <c r="AX312" s="3267"/>
      <c r="AY312" s="3279"/>
      <c r="AZ312" s="3267" t="s">
        <v>5325</v>
      </c>
      <c r="BA312" s="3267"/>
      <c r="BB312" s="3267"/>
      <c r="BC312" s="3267"/>
      <c r="BD312" s="3267"/>
      <c r="BE312" s="3267"/>
      <c r="BF312" s="3281"/>
      <c r="BG312" s="3290">
        <v>38932</v>
      </c>
      <c r="BH312" s="3268"/>
      <c r="BI312" s="3267" t="s">
        <v>3069</v>
      </c>
      <c r="BJ312" s="3299">
        <v>38938</v>
      </c>
      <c r="BK312" s="3284"/>
      <c r="BL312" s="3276" t="s">
        <v>2998</v>
      </c>
      <c r="BM312" s="3267" t="s">
        <v>2879</v>
      </c>
      <c r="BN312" s="3267" t="s">
        <v>2999</v>
      </c>
      <c r="BO312" s="3267" t="s">
        <v>3146</v>
      </c>
      <c r="BP312" s="3267"/>
      <c r="BQ312" s="3276"/>
      <c r="BR312" s="3276"/>
      <c r="BS312" s="3285"/>
      <c r="BT312" s="3285"/>
      <c r="BU312" s="3285"/>
    </row>
    <row r="313" spans="1:238" hidden="1">
      <c r="A313" s="3267" t="s">
        <v>5329</v>
      </c>
      <c r="B313" s="3267" t="s">
        <v>5330</v>
      </c>
      <c r="C313" s="3269" t="s">
        <v>5331</v>
      </c>
      <c r="D313" s="3267">
        <v>13811395692</v>
      </c>
      <c r="E313" s="3267" t="s">
        <v>2985</v>
      </c>
      <c r="F313" s="3267" t="s">
        <v>3676</v>
      </c>
      <c r="G313" s="3267"/>
      <c r="H313" s="3267" t="s">
        <v>3144</v>
      </c>
      <c r="I313" s="3267"/>
      <c r="J313" s="3267" t="s">
        <v>4827</v>
      </c>
      <c r="K313" s="3268" t="s">
        <v>5332</v>
      </c>
      <c r="L313" s="3267">
        <v>64.510000000000005</v>
      </c>
      <c r="M313" s="3267">
        <v>16</v>
      </c>
      <c r="N313" s="3267" t="s">
        <v>3122</v>
      </c>
      <c r="O313" s="3267"/>
      <c r="P313" s="3267" t="s">
        <v>2963</v>
      </c>
      <c r="Q313" s="3267">
        <v>400000</v>
      </c>
      <c r="R313" s="3267">
        <v>6201</v>
      </c>
      <c r="S313" s="3272">
        <v>32.9</v>
      </c>
      <c r="T313" s="3273">
        <v>329000</v>
      </c>
      <c r="U313" s="3267">
        <v>5100</v>
      </c>
      <c r="V313" s="3274">
        <v>0.2</v>
      </c>
      <c r="W313" s="3272">
        <v>26.32</v>
      </c>
      <c r="X313" s="3275">
        <v>263200</v>
      </c>
      <c r="Y313" s="3267">
        <v>2006</v>
      </c>
      <c r="Z313" s="3267">
        <v>8</v>
      </c>
      <c r="AA313" s="3267">
        <v>22</v>
      </c>
      <c r="AB313" s="3267">
        <v>985</v>
      </c>
      <c r="AC313" s="3267" t="s">
        <v>2980</v>
      </c>
      <c r="AD313" s="3280" t="s">
        <v>5333</v>
      </c>
      <c r="AE313" s="3276" t="s">
        <v>3180</v>
      </c>
      <c r="AF313" s="3267" t="s">
        <v>2966</v>
      </c>
      <c r="AG313" s="3267" t="s">
        <v>2967</v>
      </c>
      <c r="AH313" s="3267"/>
      <c r="AI313" s="3279" t="s">
        <v>2992</v>
      </c>
      <c r="AJ313" s="3284"/>
      <c r="AK313" s="3267" t="s">
        <v>4256</v>
      </c>
      <c r="AL313" s="3267">
        <v>51</v>
      </c>
      <c r="AM313" s="3267"/>
      <c r="AN313" s="3276" t="s">
        <v>2994</v>
      </c>
      <c r="AO313" s="3267" t="s">
        <v>5334</v>
      </c>
      <c r="AP313" s="3267" t="s">
        <v>3180</v>
      </c>
      <c r="AQ313" s="3267" t="s">
        <v>3228</v>
      </c>
      <c r="AR313" s="3267"/>
      <c r="AS313" s="3267"/>
      <c r="AT313" s="3267"/>
      <c r="AU313" s="3267"/>
      <c r="AV313" s="3267"/>
      <c r="AW313" s="3267" t="s">
        <v>2997</v>
      </c>
      <c r="AX313" s="3267"/>
      <c r="AY313" s="3269"/>
      <c r="AZ313" s="3267" t="s">
        <v>5332</v>
      </c>
      <c r="BA313" s="3267"/>
      <c r="BB313" s="3267"/>
      <c r="BC313" s="3267"/>
      <c r="BD313" s="3267"/>
      <c r="BE313" s="3267">
        <v>13521290482</v>
      </c>
      <c r="BF313" s="3267"/>
      <c r="BG313" s="3307">
        <v>38918</v>
      </c>
      <c r="BH313" s="3267"/>
      <c r="BI313" s="3267" t="s">
        <v>3180</v>
      </c>
      <c r="BJ313" s="3283">
        <v>38938</v>
      </c>
      <c r="BK313" s="3283"/>
      <c r="BL313" s="3267" t="s">
        <v>2998</v>
      </c>
      <c r="BM313" s="3267" t="s">
        <v>2879</v>
      </c>
      <c r="BN313" s="3267" t="s">
        <v>2999</v>
      </c>
      <c r="BO313" s="3267" t="s">
        <v>3000</v>
      </c>
      <c r="BP313" s="3267"/>
      <c r="BQ313" s="3276" t="e">
        <v>#DIV/0!</v>
      </c>
      <c r="BR313" s="3276" t="e">
        <v>#DIV/0!</v>
      </c>
      <c r="BS313" s="3285"/>
      <c r="BT313" s="3285"/>
      <c r="BU313" s="3285"/>
    </row>
    <row r="314" spans="1:238" hidden="1">
      <c r="A314" s="3267" t="s">
        <v>5335</v>
      </c>
      <c r="B314" s="3267" t="s">
        <v>5336</v>
      </c>
      <c r="C314" s="3269" t="s">
        <v>5337</v>
      </c>
      <c r="D314" s="3269" t="s">
        <v>5338</v>
      </c>
      <c r="E314" s="3268" t="s">
        <v>2985</v>
      </c>
      <c r="F314" s="3268" t="s">
        <v>5339</v>
      </c>
      <c r="G314" s="3267"/>
      <c r="H314" s="3267" t="s">
        <v>3124</v>
      </c>
      <c r="I314" s="3268"/>
      <c r="J314" s="3267" t="s">
        <v>5340</v>
      </c>
      <c r="K314" s="3267" t="s">
        <v>5341</v>
      </c>
      <c r="L314" s="3267">
        <v>111.87</v>
      </c>
      <c r="M314" s="3267">
        <v>21</v>
      </c>
      <c r="N314" s="3267" t="s">
        <v>2989</v>
      </c>
      <c r="O314" s="3267">
        <v>88</v>
      </c>
      <c r="P314" s="3267" t="s">
        <v>2963</v>
      </c>
      <c r="Q314" s="3271">
        <v>550000</v>
      </c>
      <c r="R314" s="3288">
        <v>4916</v>
      </c>
      <c r="S314" s="3272">
        <v>59.2</v>
      </c>
      <c r="T314" s="3273">
        <v>592000</v>
      </c>
      <c r="U314" s="3267">
        <v>5292</v>
      </c>
      <c r="V314" s="3289">
        <v>0.3</v>
      </c>
      <c r="W314" s="3272">
        <v>41.44</v>
      </c>
      <c r="X314" s="3273">
        <v>414400</v>
      </c>
      <c r="Y314" s="3267">
        <v>2006</v>
      </c>
      <c r="Z314" s="3276">
        <v>8</v>
      </c>
      <c r="AA314" s="3276">
        <v>9</v>
      </c>
      <c r="AB314" s="3267">
        <v>1500</v>
      </c>
      <c r="AC314" s="3267" t="s">
        <v>2980</v>
      </c>
      <c r="AD314" s="3269" t="s">
        <v>5342</v>
      </c>
      <c r="AE314" s="3279" t="s">
        <v>3344</v>
      </c>
      <c r="AF314" s="3268" t="s">
        <v>2966</v>
      </c>
      <c r="AG314" s="3279" t="s">
        <v>2967</v>
      </c>
      <c r="AH314" s="3267"/>
      <c r="AI314" s="3279" t="s">
        <v>2992</v>
      </c>
      <c r="AJ314" s="3284"/>
      <c r="AK314" s="3278">
        <v>8</v>
      </c>
      <c r="AL314" s="3276">
        <v>57</v>
      </c>
      <c r="AM314" s="3276"/>
      <c r="AN314" s="3279" t="s">
        <v>3140</v>
      </c>
      <c r="AO314" s="3267" t="s">
        <v>5343</v>
      </c>
      <c r="AP314" s="3279" t="s">
        <v>3305</v>
      </c>
      <c r="AQ314" s="3267" t="s">
        <v>3228</v>
      </c>
      <c r="AR314" s="3276"/>
      <c r="AS314" s="3276"/>
      <c r="AT314" s="3276"/>
      <c r="AU314" s="3276"/>
      <c r="AV314" s="3276"/>
      <c r="AW314" s="3276" t="s">
        <v>3119</v>
      </c>
      <c r="AX314" s="3276"/>
      <c r="AY314" s="3291"/>
      <c r="AZ314" s="3267" t="s">
        <v>5341</v>
      </c>
      <c r="BA314" s="3296"/>
      <c r="BB314" s="3297"/>
      <c r="BC314" s="3296"/>
      <c r="BD314" s="3298"/>
      <c r="BE314" s="3276">
        <v>13801352838</v>
      </c>
      <c r="BF314" s="3281"/>
      <c r="BG314" s="3293">
        <v>38900</v>
      </c>
      <c r="BH314" s="3267" t="s">
        <v>2998</v>
      </c>
      <c r="BI314" s="3314" t="s">
        <v>3305</v>
      </c>
      <c r="BJ314" s="3283">
        <v>38925</v>
      </c>
      <c r="BK314" s="3283"/>
      <c r="BL314" s="3267" t="s">
        <v>3249</v>
      </c>
      <c r="BM314" s="3276" t="s">
        <v>2879</v>
      </c>
      <c r="BN314" s="3276" t="s">
        <v>2999</v>
      </c>
      <c r="BO314" s="3276" t="s">
        <v>3000</v>
      </c>
      <c r="BP314" s="3276"/>
      <c r="BQ314" s="3276">
        <v>6727</v>
      </c>
      <c r="BR314" s="3276">
        <v>6250</v>
      </c>
      <c r="BS314" s="3285"/>
      <c r="BT314" s="3285"/>
      <c r="BU314" s="3285"/>
    </row>
    <row r="315" spans="1:238" hidden="1">
      <c r="A315" s="3267" t="s">
        <v>5344</v>
      </c>
      <c r="B315" s="3267" t="s">
        <v>5345</v>
      </c>
      <c r="C315" s="3269" t="s">
        <v>5346</v>
      </c>
      <c r="D315" s="3268">
        <v>13810292481</v>
      </c>
      <c r="E315" s="3267" t="s">
        <v>2985</v>
      </c>
      <c r="F315" s="3267" t="s">
        <v>5347</v>
      </c>
      <c r="G315" s="3267"/>
      <c r="H315" s="3270" t="s">
        <v>4724</v>
      </c>
      <c r="I315" s="3268"/>
      <c r="J315" s="3270" t="s">
        <v>5348</v>
      </c>
      <c r="K315" s="3267" t="s">
        <v>5349</v>
      </c>
      <c r="L315" s="3286">
        <v>51.62</v>
      </c>
      <c r="M315" s="3282" t="s">
        <v>3282</v>
      </c>
      <c r="N315" s="3267" t="s">
        <v>3122</v>
      </c>
      <c r="O315" s="3267" t="s">
        <v>2968</v>
      </c>
      <c r="P315" s="3267" t="s">
        <v>2963</v>
      </c>
      <c r="Q315" s="3287">
        <v>400000</v>
      </c>
      <c r="R315" s="3267">
        <v>7749</v>
      </c>
      <c r="S315" s="3272">
        <v>33.619999999999997</v>
      </c>
      <c r="T315" s="3273">
        <v>336200</v>
      </c>
      <c r="U315" s="3287">
        <v>6514</v>
      </c>
      <c r="V315" s="3289">
        <v>0.2</v>
      </c>
      <c r="W315" s="3272">
        <v>26.89</v>
      </c>
      <c r="X315" s="3275">
        <v>268900</v>
      </c>
      <c r="Y315" s="3267">
        <v>2006</v>
      </c>
      <c r="Z315" s="3267">
        <v>8</v>
      </c>
      <c r="AA315" s="3267">
        <v>23</v>
      </c>
      <c r="AB315" s="3267">
        <v>1005</v>
      </c>
      <c r="AC315" s="3267" t="s">
        <v>2980</v>
      </c>
      <c r="AD315" s="3269" t="s">
        <v>5350</v>
      </c>
      <c r="AE315" s="3276" t="s">
        <v>3069</v>
      </c>
      <c r="AF315" s="3267" t="s">
        <v>2966</v>
      </c>
      <c r="AG315" s="3267" t="s">
        <v>2967</v>
      </c>
      <c r="AH315" s="3267" t="s">
        <v>2968</v>
      </c>
      <c r="AI315" s="3267" t="s">
        <v>3115</v>
      </c>
      <c r="AJ315" s="3284"/>
      <c r="AK315" s="3267" t="s">
        <v>4256</v>
      </c>
      <c r="AL315" s="3267" t="s">
        <v>5351</v>
      </c>
      <c r="AM315" s="3267"/>
      <c r="AN315" s="3267" t="s">
        <v>2994</v>
      </c>
      <c r="AO315" s="3267" t="s">
        <v>5352</v>
      </c>
      <c r="AP315" s="3276" t="s">
        <v>3069</v>
      </c>
      <c r="AQ315" s="3267" t="s">
        <v>3228</v>
      </c>
      <c r="AR315" s="3267">
        <v>2006</v>
      </c>
      <c r="AS315" s="3267">
        <v>8</v>
      </c>
      <c r="AT315" s="3267">
        <v>23</v>
      </c>
      <c r="AU315" s="3267"/>
      <c r="AV315" s="3267" t="s">
        <v>2968</v>
      </c>
      <c r="AW315" s="3267" t="s">
        <v>2997</v>
      </c>
      <c r="AX315" s="3267"/>
      <c r="AY315" s="3279"/>
      <c r="AZ315" s="3267" t="s">
        <v>5349</v>
      </c>
      <c r="BA315" s="3267"/>
      <c r="BB315" s="3267"/>
      <c r="BC315" s="3267"/>
      <c r="BD315" s="3267"/>
      <c r="BE315" s="3267"/>
      <c r="BF315" s="3267"/>
      <c r="BG315" s="3290">
        <v>38919</v>
      </c>
      <c r="BH315" s="3267"/>
      <c r="BI315" s="3276" t="s">
        <v>3069</v>
      </c>
      <c r="BJ315" s="3284">
        <v>38936</v>
      </c>
      <c r="BK315" s="3284"/>
      <c r="BL315" s="3267" t="s">
        <v>2998</v>
      </c>
      <c r="BM315" s="3267" t="s">
        <v>2879</v>
      </c>
      <c r="BN315" s="3365" t="s">
        <v>3111</v>
      </c>
      <c r="BO315" s="3267" t="s">
        <v>3146</v>
      </c>
      <c r="BP315" s="3267"/>
      <c r="BQ315" s="3267" t="e">
        <v>#VALUE!</v>
      </c>
      <c r="BR315" s="3267" t="e">
        <v>#VALUE!</v>
      </c>
      <c r="BS315" s="3285"/>
      <c r="BT315" s="3285"/>
      <c r="BU315" s="3285"/>
    </row>
    <row r="316" spans="1:238" hidden="1">
      <c r="A316" s="3267" t="s">
        <v>5353</v>
      </c>
      <c r="B316" s="3267" t="s">
        <v>5354</v>
      </c>
      <c r="C316" s="3269" t="s">
        <v>5355</v>
      </c>
      <c r="D316" s="3269" t="s">
        <v>5356</v>
      </c>
      <c r="E316" s="3268" t="s">
        <v>2985</v>
      </c>
      <c r="F316" s="3268" t="s">
        <v>4761</v>
      </c>
      <c r="G316" s="3267"/>
      <c r="H316" s="3267" t="s">
        <v>3379</v>
      </c>
      <c r="I316" s="3268"/>
      <c r="J316" s="3267" t="s">
        <v>5357</v>
      </c>
      <c r="K316" s="3267" t="s">
        <v>5358</v>
      </c>
      <c r="L316" s="3267">
        <v>140.85</v>
      </c>
      <c r="M316" s="3267">
        <v>5</v>
      </c>
      <c r="N316" s="3267" t="s">
        <v>3129</v>
      </c>
      <c r="O316" s="3267">
        <v>118.6</v>
      </c>
      <c r="P316" s="3267" t="s">
        <v>2963</v>
      </c>
      <c r="Q316" s="3271">
        <v>700000</v>
      </c>
      <c r="R316" s="3288">
        <v>4970</v>
      </c>
      <c r="S316" s="3272">
        <v>72.27</v>
      </c>
      <c r="T316" s="3273">
        <v>722700</v>
      </c>
      <c r="U316" s="3267">
        <v>5131</v>
      </c>
      <c r="V316" s="3289">
        <v>0.3</v>
      </c>
      <c r="W316" s="3272">
        <v>50.58</v>
      </c>
      <c r="X316" s="3273">
        <v>505800</v>
      </c>
      <c r="Y316" s="3267">
        <v>2006</v>
      </c>
      <c r="Z316" s="3276">
        <v>8</v>
      </c>
      <c r="AA316" s="3276">
        <v>1</v>
      </c>
      <c r="AB316" s="3267">
        <v>1500</v>
      </c>
      <c r="AC316" s="3267" t="s">
        <v>2980</v>
      </c>
      <c r="AD316" s="3269">
        <v>91302006071538</v>
      </c>
      <c r="AE316" s="3279" t="s">
        <v>3121</v>
      </c>
      <c r="AF316" s="3268" t="s">
        <v>2966</v>
      </c>
      <c r="AG316" s="3279" t="s">
        <v>2967</v>
      </c>
      <c r="AH316" s="3267" t="s">
        <v>5359</v>
      </c>
      <c r="AI316" s="3279" t="s">
        <v>3115</v>
      </c>
      <c r="AJ316" s="3284"/>
      <c r="AK316" s="3278" t="s">
        <v>4256</v>
      </c>
      <c r="AL316" s="3276">
        <v>56</v>
      </c>
      <c r="AM316" s="3276"/>
      <c r="AN316" s="3279" t="s">
        <v>3131</v>
      </c>
      <c r="AO316" s="3267"/>
      <c r="AP316" s="3279" t="s">
        <v>4230</v>
      </c>
      <c r="AQ316" s="3267" t="s">
        <v>3228</v>
      </c>
      <c r="AR316" s="3276"/>
      <c r="AS316" s="3276"/>
      <c r="AT316" s="3276"/>
      <c r="AU316" s="3276"/>
      <c r="AV316" s="3276"/>
      <c r="AW316" s="3276" t="s">
        <v>2997</v>
      </c>
      <c r="AX316" s="3276"/>
      <c r="AY316" s="3291"/>
      <c r="AZ316" s="3267" t="s">
        <v>5358</v>
      </c>
      <c r="BA316" s="3296"/>
      <c r="BB316" s="3297"/>
      <c r="BC316" s="3296"/>
      <c r="BD316" s="3298"/>
      <c r="BE316" s="3276"/>
      <c r="BF316" s="3281"/>
      <c r="BG316" s="3293">
        <v>38924</v>
      </c>
      <c r="BH316" s="3267" t="s">
        <v>2998</v>
      </c>
      <c r="BI316" s="3314" t="s">
        <v>4230</v>
      </c>
      <c r="BJ316" s="3283">
        <v>38924</v>
      </c>
      <c r="BK316" s="3283"/>
      <c r="BL316" s="3267" t="s">
        <v>3249</v>
      </c>
      <c r="BM316" s="3276" t="s">
        <v>2999</v>
      </c>
      <c r="BN316" s="3276" t="s">
        <v>2879</v>
      </c>
      <c r="BO316" s="3276" t="s">
        <v>3000</v>
      </c>
      <c r="BP316" s="3276"/>
      <c r="BQ316" s="3276">
        <v>6094</v>
      </c>
      <c r="BR316" s="3276">
        <v>5902</v>
      </c>
      <c r="BS316" s="3285"/>
      <c r="BT316" s="3285"/>
      <c r="BU316" s="3285"/>
    </row>
    <row r="317" spans="1:238" hidden="1">
      <c r="A317" s="3267" t="s">
        <v>5360</v>
      </c>
      <c r="B317" s="3267" t="s">
        <v>3885</v>
      </c>
      <c r="C317" s="3269" t="s">
        <v>5361</v>
      </c>
      <c r="D317" s="3269" t="s">
        <v>5362</v>
      </c>
      <c r="E317" s="3268" t="s">
        <v>2985</v>
      </c>
      <c r="F317" s="3268" t="s">
        <v>5363</v>
      </c>
      <c r="G317" s="3267"/>
      <c r="H317" s="3267" t="s">
        <v>3127</v>
      </c>
      <c r="I317" s="3268" t="s">
        <v>3608</v>
      </c>
      <c r="J317" s="3268">
        <v>203</v>
      </c>
      <c r="K317" s="3267" t="s">
        <v>5364</v>
      </c>
      <c r="L317" s="3267">
        <v>56.5</v>
      </c>
      <c r="M317" s="3267">
        <v>2</v>
      </c>
      <c r="N317" s="3267" t="s">
        <v>3122</v>
      </c>
      <c r="O317" s="3267"/>
      <c r="P317" s="3267" t="s">
        <v>2963</v>
      </c>
      <c r="Q317" s="3271">
        <v>490000</v>
      </c>
      <c r="R317" s="3267">
        <v>8673</v>
      </c>
      <c r="S317" s="3272">
        <v>42.51</v>
      </c>
      <c r="T317" s="3273">
        <v>425100</v>
      </c>
      <c r="U317" s="3267">
        <v>7525</v>
      </c>
      <c r="V317" s="3289">
        <v>0.2</v>
      </c>
      <c r="W317" s="3272">
        <v>34</v>
      </c>
      <c r="X317" s="3275">
        <v>340000</v>
      </c>
      <c r="Y317" s="3276">
        <v>2006</v>
      </c>
      <c r="Z317" s="3276">
        <v>8</v>
      </c>
      <c r="AA317" s="3276">
        <v>22</v>
      </c>
      <c r="AB317" s="3267">
        <v>1275</v>
      </c>
      <c r="AC317" s="3267" t="s">
        <v>2980</v>
      </c>
      <c r="AD317" s="3366">
        <v>91302006080372</v>
      </c>
      <c r="AE317" s="3279" t="s">
        <v>2991</v>
      </c>
      <c r="AF317" s="3268"/>
      <c r="AG317" s="3279" t="s">
        <v>2967</v>
      </c>
      <c r="AH317" s="3267"/>
      <c r="AI317" s="3279" t="s">
        <v>2992</v>
      </c>
      <c r="AJ317" s="3284"/>
      <c r="AK317" s="3278">
        <v>8</v>
      </c>
      <c r="AL317" s="3276">
        <v>28</v>
      </c>
      <c r="AM317" s="3276"/>
      <c r="AN317" s="3279" t="s">
        <v>2994</v>
      </c>
      <c r="AO317" s="3267" t="s">
        <v>5365</v>
      </c>
      <c r="AP317" s="3279" t="s">
        <v>2991</v>
      </c>
      <c r="AQ317" s="3267" t="s">
        <v>3228</v>
      </c>
      <c r="AR317" s="3276">
        <v>2006</v>
      </c>
      <c r="AS317" s="3276">
        <v>8</v>
      </c>
      <c r="AT317" s="3276">
        <v>22</v>
      </c>
      <c r="AU317" s="3276"/>
      <c r="AV317" s="3276"/>
      <c r="AW317" s="3276" t="s">
        <v>2997</v>
      </c>
      <c r="AX317" s="3276"/>
      <c r="AY317" s="3291"/>
      <c r="AZ317" s="3267" t="s">
        <v>5364</v>
      </c>
      <c r="BA317" s="3296"/>
      <c r="BB317" s="3297"/>
      <c r="BC317" s="3296"/>
      <c r="BD317" s="3298"/>
      <c r="BE317" s="3276"/>
      <c r="BF317" s="3281"/>
      <c r="BG317" s="3293">
        <v>38929</v>
      </c>
      <c r="BH317" s="3267"/>
      <c r="BI317" s="3267" t="s">
        <v>2991</v>
      </c>
      <c r="BJ317" s="3299">
        <v>38936</v>
      </c>
      <c r="BK317" s="3283" t="s">
        <v>2968</v>
      </c>
      <c r="BL317" s="3267" t="s">
        <v>2998</v>
      </c>
      <c r="BM317" s="3276" t="s">
        <v>2879</v>
      </c>
      <c r="BN317" s="3276" t="s">
        <v>2999</v>
      </c>
      <c r="BO317" s="3276" t="s">
        <v>3146</v>
      </c>
      <c r="BP317" s="3276"/>
      <c r="BQ317" s="3276" t="e">
        <v>#DIV/0!</v>
      </c>
      <c r="BR317" s="3276" t="e">
        <v>#DIV/0!</v>
      </c>
      <c r="BS317" s="3285"/>
      <c r="BT317" s="3285"/>
      <c r="BU317" s="3285"/>
      <c r="BW317" s="3262" t="s">
        <v>3262</v>
      </c>
      <c r="BX317" s="3262" t="s">
        <v>3262</v>
      </c>
      <c r="BY317" s="3262" t="s">
        <v>3262</v>
      </c>
      <c r="BZ317" s="3262" t="s">
        <v>3262</v>
      </c>
      <c r="CA317" s="3262" t="s">
        <v>3262</v>
      </c>
      <c r="CB317" s="3262" t="s">
        <v>3262</v>
      </c>
      <c r="CC317" s="3262" t="s">
        <v>3262</v>
      </c>
      <c r="CD317" s="3262" t="s">
        <v>3262</v>
      </c>
      <c r="CE317" s="3262" t="s">
        <v>3262</v>
      </c>
      <c r="CF317" s="3262" t="s">
        <v>3262</v>
      </c>
      <c r="CG317" s="3262" t="s">
        <v>3262</v>
      </c>
      <c r="CH317" s="3262" t="s">
        <v>3262</v>
      </c>
      <c r="CI317" s="3262" t="s">
        <v>3262</v>
      </c>
      <c r="CJ317" s="3262" t="s">
        <v>3262</v>
      </c>
      <c r="CK317" s="3262" t="s">
        <v>3262</v>
      </c>
      <c r="CL317" s="3262" t="s">
        <v>3262</v>
      </c>
      <c r="CM317" s="3262" t="s">
        <v>3262</v>
      </c>
      <c r="CN317" s="3262" t="s">
        <v>3262</v>
      </c>
      <c r="CO317" s="3262" t="s">
        <v>3262</v>
      </c>
      <c r="CP317" s="3262" t="s">
        <v>3262</v>
      </c>
      <c r="CQ317" s="3262" t="s">
        <v>3262</v>
      </c>
      <c r="CR317" s="3262" t="s">
        <v>3262</v>
      </c>
      <c r="CS317" s="3262" t="s">
        <v>3262</v>
      </c>
      <c r="CT317" s="3262" t="s">
        <v>3262</v>
      </c>
      <c r="CU317" s="3262" t="s">
        <v>3262</v>
      </c>
      <c r="CV317" s="3262" t="s">
        <v>3262</v>
      </c>
      <c r="CW317" s="3262" t="s">
        <v>3262</v>
      </c>
      <c r="CX317" s="3262" t="s">
        <v>3262</v>
      </c>
      <c r="CY317" s="3262" t="s">
        <v>3262</v>
      </c>
      <c r="CZ317" s="3262" t="s">
        <v>3262</v>
      </c>
      <c r="DA317" s="3262" t="s">
        <v>3262</v>
      </c>
      <c r="DB317" s="3262" t="s">
        <v>3262</v>
      </c>
      <c r="DC317" s="3262" t="s">
        <v>3262</v>
      </c>
      <c r="DD317" s="3262" t="s">
        <v>3262</v>
      </c>
      <c r="DE317" s="3262" t="s">
        <v>3262</v>
      </c>
      <c r="DF317" s="3262" t="s">
        <v>3262</v>
      </c>
      <c r="DG317" s="3262" t="s">
        <v>3262</v>
      </c>
      <c r="DH317" s="3262" t="s">
        <v>3262</v>
      </c>
      <c r="DI317" s="3262" t="s">
        <v>3262</v>
      </c>
      <c r="DJ317" s="3262" t="s">
        <v>3262</v>
      </c>
      <c r="DK317" s="3262" t="s">
        <v>3262</v>
      </c>
      <c r="DL317" s="3262" t="s">
        <v>3262</v>
      </c>
      <c r="DM317" s="3262" t="s">
        <v>3262</v>
      </c>
      <c r="DN317" s="3262" t="s">
        <v>3262</v>
      </c>
      <c r="DO317" s="3262" t="s">
        <v>3262</v>
      </c>
      <c r="DP317" s="3262" t="s">
        <v>3262</v>
      </c>
      <c r="DQ317" s="3262" t="s">
        <v>3262</v>
      </c>
      <c r="DR317" s="3262" t="s">
        <v>3262</v>
      </c>
      <c r="DS317" s="3262" t="s">
        <v>3262</v>
      </c>
      <c r="DT317" s="3262" t="s">
        <v>3262</v>
      </c>
      <c r="DU317" s="3262" t="s">
        <v>3262</v>
      </c>
      <c r="DV317" s="3262" t="s">
        <v>3262</v>
      </c>
      <c r="DW317" s="3262" t="s">
        <v>3262</v>
      </c>
      <c r="DX317" s="3262" t="s">
        <v>3262</v>
      </c>
      <c r="DY317" s="3262" t="s">
        <v>3262</v>
      </c>
      <c r="DZ317" s="3262" t="s">
        <v>3262</v>
      </c>
      <c r="EA317" s="3262" t="s">
        <v>3262</v>
      </c>
      <c r="EB317" s="3262" t="s">
        <v>3262</v>
      </c>
      <c r="EC317" s="3262" t="s">
        <v>3262</v>
      </c>
      <c r="ED317" s="3262" t="s">
        <v>3262</v>
      </c>
      <c r="EE317" s="3262" t="s">
        <v>3262</v>
      </c>
      <c r="EF317" s="3262" t="s">
        <v>3262</v>
      </c>
      <c r="EG317" s="3262" t="s">
        <v>3262</v>
      </c>
      <c r="EH317" s="3262" t="s">
        <v>3262</v>
      </c>
      <c r="EI317" s="3262" t="s">
        <v>3262</v>
      </c>
      <c r="EJ317" s="3262" t="s">
        <v>3262</v>
      </c>
      <c r="EK317" s="3262" t="s">
        <v>3262</v>
      </c>
      <c r="EL317" s="3262" t="s">
        <v>3262</v>
      </c>
      <c r="EM317" s="3262" t="s">
        <v>3262</v>
      </c>
      <c r="EN317" s="3262" t="s">
        <v>3262</v>
      </c>
      <c r="EO317" s="3262" t="s">
        <v>3262</v>
      </c>
      <c r="EP317" s="3262" t="s">
        <v>3262</v>
      </c>
      <c r="EQ317" s="3262" t="s">
        <v>3262</v>
      </c>
      <c r="ER317" s="3262" t="s">
        <v>3262</v>
      </c>
      <c r="ES317" s="3262" t="s">
        <v>3262</v>
      </c>
      <c r="ET317" s="3262" t="s">
        <v>3262</v>
      </c>
      <c r="EU317" s="3262" t="s">
        <v>3262</v>
      </c>
      <c r="EV317" s="3262" t="s">
        <v>3262</v>
      </c>
      <c r="EW317" s="3262" t="s">
        <v>3262</v>
      </c>
      <c r="EX317" s="3262" t="s">
        <v>3262</v>
      </c>
      <c r="EY317" s="3262" t="s">
        <v>3262</v>
      </c>
      <c r="EZ317" s="3262" t="s">
        <v>3262</v>
      </c>
      <c r="FA317" s="3262" t="s">
        <v>3262</v>
      </c>
      <c r="FB317" s="3262" t="s">
        <v>3262</v>
      </c>
      <c r="FC317" s="3262" t="s">
        <v>3262</v>
      </c>
      <c r="FD317" s="3262" t="s">
        <v>3262</v>
      </c>
      <c r="FE317" s="3262" t="s">
        <v>3262</v>
      </c>
      <c r="FF317" s="3262" t="s">
        <v>3262</v>
      </c>
      <c r="FG317" s="3262" t="s">
        <v>3262</v>
      </c>
      <c r="FH317" s="3262" t="s">
        <v>3262</v>
      </c>
      <c r="FI317" s="3262" t="s">
        <v>3262</v>
      </c>
      <c r="FJ317" s="3262" t="s">
        <v>3262</v>
      </c>
      <c r="FK317" s="3262" t="s">
        <v>3262</v>
      </c>
      <c r="FL317" s="3262" t="s">
        <v>3262</v>
      </c>
      <c r="FM317" s="3262" t="s">
        <v>3262</v>
      </c>
      <c r="FN317" s="3262" t="s">
        <v>3262</v>
      </c>
      <c r="FO317" s="3262" t="s">
        <v>3262</v>
      </c>
      <c r="FP317" s="3262" t="s">
        <v>3262</v>
      </c>
      <c r="FQ317" s="3262" t="s">
        <v>3262</v>
      </c>
      <c r="FR317" s="3262" t="s">
        <v>3262</v>
      </c>
      <c r="FS317" s="3262" t="s">
        <v>3262</v>
      </c>
      <c r="FT317" s="3262" t="s">
        <v>3262</v>
      </c>
      <c r="FU317" s="3262" t="s">
        <v>3262</v>
      </c>
      <c r="FV317" s="3262" t="s">
        <v>3262</v>
      </c>
      <c r="FW317" s="3262" t="s">
        <v>3262</v>
      </c>
      <c r="FX317" s="3262" t="s">
        <v>3262</v>
      </c>
      <c r="FY317" s="3262" t="s">
        <v>3262</v>
      </c>
      <c r="FZ317" s="3262" t="s">
        <v>3262</v>
      </c>
      <c r="GA317" s="3262" t="s">
        <v>3262</v>
      </c>
      <c r="GB317" s="3262" t="s">
        <v>3262</v>
      </c>
      <c r="GC317" s="3262" t="s">
        <v>3262</v>
      </c>
      <c r="GD317" s="3262" t="s">
        <v>3262</v>
      </c>
      <c r="GE317" s="3262" t="s">
        <v>3262</v>
      </c>
      <c r="GF317" s="3262" t="s">
        <v>3262</v>
      </c>
      <c r="GG317" s="3262" t="s">
        <v>3262</v>
      </c>
      <c r="GH317" s="3262" t="s">
        <v>3262</v>
      </c>
      <c r="GI317" s="3262" t="s">
        <v>3262</v>
      </c>
      <c r="GJ317" s="3262" t="s">
        <v>3262</v>
      </c>
      <c r="GK317" s="3262" t="s">
        <v>3262</v>
      </c>
      <c r="GL317" s="3262" t="s">
        <v>3262</v>
      </c>
      <c r="GM317" s="3262" t="s">
        <v>3262</v>
      </c>
      <c r="GN317" s="3262" t="s">
        <v>3262</v>
      </c>
      <c r="GO317" s="3262" t="s">
        <v>3262</v>
      </c>
      <c r="GP317" s="3262" t="s">
        <v>3262</v>
      </c>
      <c r="GQ317" s="3262" t="s">
        <v>3262</v>
      </c>
      <c r="GR317" s="3262" t="s">
        <v>3262</v>
      </c>
      <c r="GS317" s="3262" t="s">
        <v>3262</v>
      </c>
      <c r="GT317" s="3262" t="s">
        <v>3262</v>
      </c>
      <c r="GU317" s="3262" t="s">
        <v>3262</v>
      </c>
      <c r="GV317" s="3262" t="s">
        <v>3262</v>
      </c>
      <c r="GW317" s="3262" t="s">
        <v>3262</v>
      </c>
      <c r="GX317" s="3262" t="s">
        <v>3262</v>
      </c>
      <c r="GY317" s="3262" t="s">
        <v>3262</v>
      </c>
      <c r="GZ317" s="3262" t="s">
        <v>3262</v>
      </c>
      <c r="HA317" s="3262" t="s">
        <v>3262</v>
      </c>
      <c r="HB317" s="3262" t="s">
        <v>3262</v>
      </c>
      <c r="HC317" s="3262" t="s">
        <v>3262</v>
      </c>
      <c r="HD317" s="3262" t="s">
        <v>3262</v>
      </c>
      <c r="HE317" s="3262" t="s">
        <v>3262</v>
      </c>
      <c r="HF317" s="3262" t="s">
        <v>3262</v>
      </c>
      <c r="HG317" s="3262" t="s">
        <v>3262</v>
      </c>
      <c r="HH317" s="3262" t="s">
        <v>3262</v>
      </c>
      <c r="HI317" s="3262" t="s">
        <v>3262</v>
      </c>
      <c r="HJ317" s="3262" t="s">
        <v>3262</v>
      </c>
      <c r="HK317" s="3262" t="s">
        <v>3262</v>
      </c>
      <c r="HL317" s="3262" t="s">
        <v>3262</v>
      </c>
      <c r="HM317" s="3262" t="s">
        <v>3262</v>
      </c>
      <c r="HN317" s="3262" t="s">
        <v>3262</v>
      </c>
      <c r="HO317" s="3262" t="s">
        <v>3262</v>
      </c>
      <c r="HP317" s="3262" t="s">
        <v>3262</v>
      </c>
      <c r="HQ317" s="3262" t="s">
        <v>3262</v>
      </c>
      <c r="HR317" s="3262" t="s">
        <v>3262</v>
      </c>
      <c r="HS317" s="3262" t="s">
        <v>3262</v>
      </c>
      <c r="HT317" s="3262" t="s">
        <v>3262</v>
      </c>
      <c r="HU317" s="3262" t="s">
        <v>3262</v>
      </c>
      <c r="HV317" s="3262" t="s">
        <v>3262</v>
      </c>
      <c r="HW317" s="3262" t="s">
        <v>3262</v>
      </c>
      <c r="HX317" s="3262" t="s">
        <v>3262</v>
      </c>
      <c r="HY317" s="3262" t="s">
        <v>3262</v>
      </c>
      <c r="HZ317" s="3262" t="s">
        <v>3262</v>
      </c>
      <c r="IA317" s="3262" t="s">
        <v>3262</v>
      </c>
      <c r="IB317" s="3262" t="s">
        <v>3262</v>
      </c>
      <c r="IC317" s="3262" t="s">
        <v>3262</v>
      </c>
      <c r="ID317" s="3262" t="s">
        <v>3262</v>
      </c>
    </row>
    <row r="318" spans="1:238" hidden="1">
      <c r="A318" s="3267" t="s">
        <v>5366</v>
      </c>
      <c r="B318" s="3267" t="s">
        <v>5367</v>
      </c>
      <c r="C318" s="3269" t="s">
        <v>5368</v>
      </c>
      <c r="D318" s="3269" t="s">
        <v>5369</v>
      </c>
      <c r="E318" s="3268" t="s">
        <v>2985</v>
      </c>
      <c r="F318" s="3268" t="s">
        <v>3601</v>
      </c>
      <c r="G318" s="3267"/>
      <c r="H318" s="3267" t="s">
        <v>3178</v>
      </c>
      <c r="I318" s="3268" t="s">
        <v>3188</v>
      </c>
      <c r="J318" s="3268" t="s">
        <v>3713</v>
      </c>
      <c r="K318" s="3267" t="s">
        <v>5370</v>
      </c>
      <c r="L318" s="3267">
        <v>54.08</v>
      </c>
      <c r="M318" s="3267">
        <v>2</v>
      </c>
      <c r="N318" s="3267" t="s">
        <v>3122</v>
      </c>
      <c r="O318" s="3267"/>
      <c r="P318" s="3267" t="s">
        <v>2963</v>
      </c>
      <c r="Q318" s="3271">
        <v>460000</v>
      </c>
      <c r="R318" s="3267">
        <v>8506</v>
      </c>
      <c r="S318" s="3272">
        <v>40.32</v>
      </c>
      <c r="T318" s="3273">
        <v>403200</v>
      </c>
      <c r="U318" s="3267">
        <v>7456</v>
      </c>
      <c r="V318" s="3289">
        <v>0.2</v>
      </c>
      <c r="W318" s="3272">
        <v>32.25</v>
      </c>
      <c r="X318" s="3275">
        <v>322500</v>
      </c>
      <c r="Y318" s="3276">
        <v>2006</v>
      </c>
      <c r="Z318" s="3276">
        <v>8</v>
      </c>
      <c r="AA318" s="3276">
        <v>18</v>
      </c>
      <c r="AB318" s="3267">
        <v>1205</v>
      </c>
      <c r="AC318" s="3267" t="s">
        <v>2980</v>
      </c>
      <c r="AD318" s="3366">
        <v>91302006080169</v>
      </c>
      <c r="AE318" s="3279" t="s">
        <v>2991</v>
      </c>
      <c r="AF318" s="3268"/>
      <c r="AG318" s="3279" t="s">
        <v>2967</v>
      </c>
      <c r="AH318" s="3267"/>
      <c r="AI318" s="3279" t="s">
        <v>2992</v>
      </c>
      <c r="AJ318" s="3284"/>
      <c r="AK318" s="3278">
        <v>8</v>
      </c>
      <c r="AL318" s="3276">
        <v>31</v>
      </c>
      <c r="AM318" s="3276"/>
      <c r="AN318" s="3279" t="s">
        <v>3114</v>
      </c>
      <c r="AO318" s="3267" t="s">
        <v>5371</v>
      </c>
      <c r="AP318" s="3279" t="s">
        <v>2991</v>
      </c>
      <c r="AQ318" s="3267" t="s">
        <v>3228</v>
      </c>
      <c r="AR318" s="3276">
        <v>2006</v>
      </c>
      <c r="AS318" s="3276">
        <v>8</v>
      </c>
      <c r="AT318" s="3276">
        <v>18</v>
      </c>
      <c r="AU318" s="3276"/>
      <c r="AV318" s="3276"/>
      <c r="AW318" s="3276" t="s">
        <v>2997</v>
      </c>
      <c r="AX318" s="3276"/>
      <c r="AY318" s="3291"/>
      <c r="AZ318" s="3267" t="s">
        <v>5372</v>
      </c>
      <c r="BA318" s="3296"/>
      <c r="BB318" s="3297"/>
      <c r="BC318" s="3296"/>
      <c r="BD318" s="3298"/>
      <c r="BE318" s="3276"/>
      <c r="BF318" s="3281"/>
      <c r="BG318" s="3293">
        <v>38915</v>
      </c>
      <c r="BH318" s="3267"/>
      <c r="BI318" s="3267" t="s">
        <v>2991</v>
      </c>
      <c r="BJ318" s="3299">
        <v>38932</v>
      </c>
      <c r="BK318" s="3283" t="s">
        <v>2968</v>
      </c>
      <c r="BL318" s="3267"/>
      <c r="BM318" s="3276" t="s">
        <v>2879</v>
      </c>
      <c r="BN318" s="3276" t="s">
        <v>2999</v>
      </c>
      <c r="BO318" s="3276" t="s">
        <v>3146</v>
      </c>
      <c r="BP318" s="3276"/>
      <c r="BQ318" s="3276" t="e">
        <v>#DIV/0!</v>
      </c>
      <c r="BR318" s="3276" t="e">
        <v>#DIV/0!</v>
      </c>
      <c r="BS318" s="3285"/>
      <c r="BT318" s="3285"/>
      <c r="BU318" s="3285"/>
      <c r="BW318" s="3262" t="s">
        <v>3262</v>
      </c>
      <c r="BX318" s="3262" t="s">
        <v>3262</v>
      </c>
      <c r="BY318" s="3262" t="s">
        <v>3262</v>
      </c>
      <c r="BZ318" s="3262" t="s">
        <v>3262</v>
      </c>
      <c r="CA318" s="3262" t="s">
        <v>3262</v>
      </c>
      <c r="CB318" s="3262" t="s">
        <v>3262</v>
      </c>
      <c r="CC318" s="3262" t="s">
        <v>3262</v>
      </c>
      <c r="CD318" s="3262" t="s">
        <v>3262</v>
      </c>
      <c r="CE318" s="3262" t="s">
        <v>3262</v>
      </c>
      <c r="CF318" s="3262" t="s">
        <v>3262</v>
      </c>
      <c r="CG318" s="3262" t="s">
        <v>3262</v>
      </c>
      <c r="CH318" s="3262" t="s">
        <v>3262</v>
      </c>
      <c r="CI318" s="3262" t="s">
        <v>3262</v>
      </c>
      <c r="CJ318" s="3262" t="s">
        <v>3262</v>
      </c>
      <c r="CK318" s="3262" t="s">
        <v>3262</v>
      </c>
      <c r="CL318" s="3262" t="s">
        <v>3262</v>
      </c>
      <c r="CM318" s="3262" t="s">
        <v>3262</v>
      </c>
      <c r="CN318" s="3262" t="s">
        <v>3262</v>
      </c>
      <c r="CO318" s="3262" t="s">
        <v>3262</v>
      </c>
      <c r="CP318" s="3262" t="s">
        <v>3262</v>
      </c>
      <c r="CQ318" s="3262" t="s">
        <v>3262</v>
      </c>
      <c r="CR318" s="3262" t="s">
        <v>3262</v>
      </c>
      <c r="CS318" s="3262" t="s">
        <v>3262</v>
      </c>
      <c r="CT318" s="3262" t="s">
        <v>3262</v>
      </c>
      <c r="CU318" s="3262" t="s">
        <v>3262</v>
      </c>
      <c r="CV318" s="3262" t="s">
        <v>3262</v>
      </c>
      <c r="CW318" s="3262" t="s">
        <v>3262</v>
      </c>
      <c r="CX318" s="3262" t="s">
        <v>3262</v>
      </c>
      <c r="CY318" s="3262" t="s">
        <v>3262</v>
      </c>
      <c r="CZ318" s="3262" t="s">
        <v>3262</v>
      </c>
      <c r="DA318" s="3262" t="s">
        <v>3262</v>
      </c>
      <c r="DB318" s="3262" t="s">
        <v>3262</v>
      </c>
      <c r="DC318" s="3262" t="s">
        <v>3262</v>
      </c>
      <c r="DD318" s="3262" t="s">
        <v>3262</v>
      </c>
      <c r="DE318" s="3262" t="s">
        <v>3262</v>
      </c>
      <c r="DF318" s="3262" t="s">
        <v>3262</v>
      </c>
      <c r="DG318" s="3262" t="s">
        <v>3262</v>
      </c>
      <c r="DH318" s="3262" t="s">
        <v>3262</v>
      </c>
      <c r="DI318" s="3262" t="s">
        <v>3262</v>
      </c>
      <c r="DJ318" s="3262" t="s">
        <v>3262</v>
      </c>
      <c r="DK318" s="3262" t="s">
        <v>3262</v>
      </c>
      <c r="DL318" s="3262" t="s">
        <v>3262</v>
      </c>
      <c r="DM318" s="3262" t="s">
        <v>3262</v>
      </c>
      <c r="DN318" s="3262" t="s">
        <v>3262</v>
      </c>
      <c r="DO318" s="3262" t="s">
        <v>3262</v>
      </c>
      <c r="DP318" s="3262" t="s">
        <v>3262</v>
      </c>
      <c r="DQ318" s="3262" t="s">
        <v>3262</v>
      </c>
      <c r="DR318" s="3262" t="s">
        <v>3262</v>
      </c>
      <c r="DS318" s="3262" t="s">
        <v>3262</v>
      </c>
      <c r="DT318" s="3262" t="s">
        <v>3262</v>
      </c>
      <c r="DU318" s="3262" t="s">
        <v>3262</v>
      </c>
      <c r="DV318" s="3262" t="s">
        <v>3262</v>
      </c>
      <c r="DW318" s="3262" t="s">
        <v>3262</v>
      </c>
      <c r="DX318" s="3262" t="s">
        <v>3262</v>
      </c>
      <c r="DY318" s="3262" t="s">
        <v>3262</v>
      </c>
      <c r="DZ318" s="3262" t="s">
        <v>3262</v>
      </c>
      <c r="EA318" s="3262" t="s">
        <v>3262</v>
      </c>
      <c r="EB318" s="3262" t="s">
        <v>3262</v>
      </c>
      <c r="EC318" s="3262" t="s">
        <v>3262</v>
      </c>
      <c r="ED318" s="3262" t="s">
        <v>3262</v>
      </c>
      <c r="EE318" s="3262" t="s">
        <v>3262</v>
      </c>
      <c r="EF318" s="3262" t="s">
        <v>3262</v>
      </c>
      <c r="EG318" s="3262" t="s">
        <v>3262</v>
      </c>
      <c r="EH318" s="3262" t="s">
        <v>3262</v>
      </c>
      <c r="EI318" s="3262" t="s">
        <v>3262</v>
      </c>
      <c r="EJ318" s="3262" t="s">
        <v>3262</v>
      </c>
      <c r="EK318" s="3262" t="s">
        <v>3262</v>
      </c>
      <c r="EL318" s="3262" t="s">
        <v>3262</v>
      </c>
      <c r="EM318" s="3262" t="s">
        <v>3262</v>
      </c>
      <c r="EN318" s="3262" t="s">
        <v>3262</v>
      </c>
      <c r="EO318" s="3262" t="s">
        <v>3262</v>
      </c>
      <c r="EP318" s="3262" t="s">
        <v>3262</v>
      </c>
      <c r="EQ318" s="3262" t="s">
        <v>3262</v>
      </c>
      <c r="ER318" s="3262" t="s">
        <v>3262</v>
      </c>
      <c r="ES318" s="3262" t="s">
        <v>3262</v>
      </c>
      <c r="ET318" s="3262" t="s">
        <v>3262</v>
      </c>
      <c r="EU318" s="3262" t="s">
        <v>3262</v>
      </c>
      <c r="EV318" s="3262" t="s">
        <v>3262</v>
      </c>
      <c r="EW318" s="3262" t="s">
        <v>3262</v>
      </c>
      <c r="EX318" s="3262" t="s">
        <v>3262</v>
      </c>
      <c r="EY318" s="3262" t="s">
        <v>3262</v>
      </c>
      <c r="EZ318" s="3262" t="s">
        <v>3262</v>
      </c>
      <c r="FA318" s="3262" t="s">
        <v>3262</v>
      </c>
      <c r="FB318" s="3262" t="s">
        <v>3262</v>
      </c>
      <c r="FC318" s="3262" t="s">
        <v>3262</v>
      </c>
      <c r="FD318" s="3262" t="s">
        <v>3262</v>
      </c>
      <c r="FE318" s="3262" t="s">
        <v>3262</v>
      </c>
      <c r="FF318" s="3262" t="s">
        <v>3262</v>
      </c>
      <c r="FG318" s="3262" t="s">
        <v>3262</v>
      </c>
      <c r="FH318" s="3262" t="s">
        <v>3262</v>
      </c>
      <c r="FI318" s="3262" t="s">
        <v>3262</v>
      </c>
      <c r="FJ318" s="3262" t="s">
        <v>3262</v>
      </c>
      <c r="FK318" s="3262" t="s">
        <v>3262</v>
      </c>
      <c r="FL318" s="3262" t="s">
        <v>3262</v>
      </c>
      <c r="FM318" s="3262" t="s">
        <v>3262</v>
      </c>
      <c r="FN318" s="3262" t="s">
        <v>3262</v>
      </c>
      <c r="FO318" s="3262" t="s">
        <v>3262</v>
      </c>
      <c r="FP318" s="3262" t="s">
        <v>3262</v>
      </c>
      <c r="FQ318" s="3262" t="s">
        <v>3262</v>
      </c>
      <c r="FR318" s="3262" t="s">
        <v>3262</v>
      </c>
      <c r="FS318" s="3262" t="s">
        <v>3262</v>
      </c>
      <c r="FT318" s="3262" t="s">
        <v>3262</v>
      </c>
      <c r="FU318" s="3262" t="s">
        <v>3262</v>
      </c>
      <c r="FV318" s="3262" t="s">
        <v>3262</v>
      </c>
      <c r="FW318" s="3262" t="s">
        <v>3262</v>
      </c>
      <c r="FX318" s="3262" t="s">
        <v>3262</v>
      </c>
      <c r="FY318" s="3262" t="s">
        <v>3262</v>
      </c>
      <c r="FZ318" s="3262" t="s">
        <v>3262</v>
      </c>
      <c r="GA318" s="3262" t="s">
        <v>3262</v>
      </c>
      <c r="GB318" s="3262" t="s">
        <v>3262</v>
      </c>
      <c r="GC318" s="3262" t="s">
        <v>3262</v>
      </c>
      <c r="GD318" s="3262" t="s">
        <v>3262</v>
      </c>
      <c r="GE318" s="3262" t="s">
        <v>3262</v>
      </c>
      <c r="GF318" s="3262" t="s">
        <v>3262</v>
      </c>
      <c r="GG318" s="3262" t="s">
        <v>3262</v>
      </c>
      <c r="GH318" s="3262" t="s">
        <v>3262</v>
      </c>
      <c r="GI318" s="3262" t="s">
        <v>3262</v>
      </c>
      <c r="GJ318" s="3262" t="s">
        <v>3262</v>
      </c>
      <c r="GK318" s="3262" t="s">
        <v>3262</v>
      </c>
      <c r="GL318" s="3262" t="s">
        <v>3262</v>
      </c>
      <c r="GM318" s="3262" t="s">
        <v>3262</v>
      </c>
      <c r="GN318" s="3262" t="s">
        <v>3262</v>
      </c>
      <c r="GO318" s="3262" t="s">
        <v>3262</v>
      </c>
      <c r="GP318" s="3262" t="s">
        <v>3262</v>
      </c>
      <c r="GQ318" s="3262" t="s">
        <v>3262</v>
      </c>
      <c r="GR318" s="3262" t="s">
        <v>3262</v>
      </c>
      <c r="GS318" s="3262" t="s">
        <v>3262</v>
      </c>
      <c r="GT318" s="3262" t="s">
        <v>3262</v>
      </c>
      <c r="GU318" s="3262" t="s">
        <v>3262</v>
      </c>
      <c r="GV318" s="3262" t="s">
        <v>3262</v>
      </c>
      <c r="GW318" s="3262" t="s">
        <v>3262</v>
      </c>
      <c r="GX318" s="3262" t="s">
        <v>3262</v>
      </c>
      <c r="GY318" s="3262" t="s">
        <v>3262</v>
      </c>
      <c r="GZ318" s="3262" t="s">
        <v>3262</v>
      </c>
      <c r="HA318" s="3262" t="s">
        <v>3262</v>
      </c>
      <c r="HB318" s="3262" t="s">
        <v>3262</v>
      </c>
      <c r="HC318" s="3262" t="s">
        <v>3262</v>
      </c>
      <c r="HD318" s="3262" t="s">
        <v>3262</v>
      </c>
      <c r="HE318" s="3262" t="s">
        <v>3262</v>
      </c>
      <c r="HF318" s="3262" t="s">
        <v>3262</v>
      </c>
      <c r="HG318" s="3262" t="s">
        <v>3262</v>
      </c>
      <c r="HH318" s="3262" t="s">
        <v>3262</v>
      </c>
      <c r="HI318" s="3262" t="s">
        <v>3262</v>
      </c>
      <c r="HJ318" s="3262" t="s">
        <v>3262</v>
      </c>
      <c r="HK318" s="3262" t="s">
        <v>3262</v>
      </c>
      <c r="HL318" s="3262" t="s">
        <v>3262</v>
      </c>
      <c r="HM318" s="3262" t="s">
        <v>3262</v>
      </c>
      <c r="HN318" s="3262" t="s">
        <v>3262</v>
      </c>
      <c r="HO318" s="3262" t="s">
        <v>3262</v>
      </c>
      <c r="HP318" s="3262" t="s">
        <v>3262</v>
      </c>
      <c r="HQ318" s="3262" t="s">
        <v>3262</v>
      </c>
      <c r="HR318" s="3262" t="s">
        <v>3262</v>
      </c>
      <c r="HS318" s="3262" t="s">
        <v>3262</v>
      </c>
      <c r="HT318" s="3262" t="s">
        <v>3262</v>
      </c>
      <c r="HU318" s="3262" t="s">
        <v>3262</v>
      </c>
      <c r="HV318" s="3262" t="s">
        <v>3262</v>
      </c>
      <c r="HW318" s="3262" t="s">
        <v>3262</v>
      </c>
      <c r="HX318" s="3262" t="s">
        <v>3262</v>
      </c>
      <c r="HY318" s="3262" t="s">
        <v>3262</v>
      </c>
      <c r="HZ318" s="3262" t="s">
        <v>3262</v>
      </c>
      <c r="IA318" s="3262" t="s">
        <v>3262</v>
      </c>
      <c r="IB318" s="3262" t="s">
        <v>3262</v>
      </c>
      <c r="IC318" s="3262" t="s">
        <v>3262</v>
      </c>
      <c r="ID318" s="3262" t="s">
        <v>3262</v>
      </c>
    </row>
    <row r="319" spans="1:238">
      <c r="A319" s="3267" t="s">
        <v>5373</v>
      </c>
      <c r="B319" s="3267" t="s">
        <v>5374</v>
      </c>
      <c r="C319" s="3269" t="s">
        <v>5375</v>
      </c>
      <c r="D319" s="3269" t="s">
        <v>5376</v>
      </c>
      <c r="E319" s="3268" t="s">
        <v>2985</v>
      </c>
      <c r="F319" s="3268" t="s">
        <v>4392</v>
      </c>
      <c r="G319" s="3267"/>
      <c r="H319" s="3267" t="s">
        <v>3194</v>
      </c>
      <c r="I319" s="3268" t="s">
        <v>3608</v>
      </c>
      <c r="J319" s="3267" t="s">
        <v>3713</v>
      </c>
      <c r="K319" s="3267" t="s">
        <v>5377</v>
      </c>
      <c r="L319" s="3267">
        <v>46.82</v>
      </c>
      <c r="M319" s="3267" t="s">
        <v>5190</v>
      </c>
      <c r="N319" s="3267" t="s">
        <v>3152</v>
      </c>
      <c r="O319" s="3267"/>
      <c r="P319" s="3267" t="s">
        <v>2963</v>
      </c>
      <c r="Q319" s="3271">
        <v>400000</v>
      </c>
      <c r="R319" s="3288">
        <v>8543</v>
      </c>
      <c r="S319" s="3272">
        <v>34.4</v>
      </c>
      <c r="T319" s="3273">
        <v>344000</v>
      </c>
      <c r="U319" s="3267">
        <v>7349</v>
      </c>
      <c r="V319" s="3289">
        <v>0.2</v>
      </c>
      <c r="W319" s="3272">
        <v>27.52</v>
      </c>
      <c r="X319" s="3273">
        <v>275200</v>
      </c>
      <c r="Y319" s="3267">
        <v>2006</v>
      </c>
      <c r="Z319" s="3276">
        <v>8</v>
      </c>
      <c r="AA319" s="3276">
        <v>18</v>
      </c>
      <c r="AB319" s="3267">
        <v>1030</v>
      </c>
      <c r="AC319" s="3267" t="s">
        <v>2980</v>
      </c>
      <c r="AD319" s="3269" t="s">
        <v>5378</v>
      </c>
      <c r="AE319" s="3279" t="s">
        <v>3295</v>
      </c>
      <c r="AF319" s="3268" t="s">
        <v>2966</v>
      </c>
      <c r="AG319" s="3279" t="s">
        <v>2967</v>
      </c>
      <c r="AH319" s="3267"/>
      <c r="AI319" s="3279" t="s">
        <v>2992</v>
      </c>
      <c r="AJ319" s="3284"/>
      <c r="AK319" s="3278">
        <v>8</v>
      </c>
      <c r="AL319" s="3276">
        <v>45</v>
      </c>
      <c r="AM319" s="3267"/>
      <c r="AN319" s="3279" t="s">
        <v>3114</v>
      </c>
      <c r="AO319" s="3267" t="s">
        <v>5379</v>
      </c>
      <c r="AP319" s="3279" t="s">
        <v>3305</v>
      </c>
      <c r="AQ319" s="3267" t="s">
        <v>3228</v>
      </c>
      <c r="AR319" s="3276"/>
      <c r="AS319" s="3276"/>
      <c r="AT319" s="3276"/>
      <c r="AU319" s="3276"/>
      <c r="AV319" s="3276"/>
      <c r="AW319" s="3276" t="s">
        <v>3112</v>
      </c>
      <c r="AX319" s="3276"/>
      <c r="AY319" s="3291"/>
      <c r="AZ319" s="3267" t="s">
        <v>5377</v>
      </c>
      <c r="BA319" s="3296"/>
      <c r="BB319" s="3297"/>
      <c r="BC319" s="3296"/>
      <c r="BD319" s="3298"/>
      <c r="BE319" s="3276"/>
      <c r="BF319" s="3281"/>
      <c r="BG319" s="3293">
        <v>38931</v>
      </c>
      <c r="BH319" s="3354" t="s">
        <v>2998</v>
      </c>
      <c r="BI319" s="3314" t="s">
        <v>3305</v>
      </c>
      <c r="BJ319" s="3283">
        <v>38936</v>
      </c>
      <c r="BK319" s="3283"/>
      <c r="BL319" s="3267" t="s">
        <v>3249</v>
      </c>
      <c r="BM319" s="3276" t="s">
        <v>2879</v>
      </c>
      <c r="BN319" s="3276" t="s">
        <v>2999</v>
      </c>
      <c r="BO319" s="3276" t="s">
        <v>3000</v>
      </c>
      <c r="BP319" s="3276"/>
      <c r="BQ319" s="3276" t="e">
        <v>#DIV/0!</v>
      </c>
      <c r="BR319" s="3276" t="e">
        <v>#DIV/0!</v>
      </c>
      <c r="BS319" s="3285"/>
      <c r="BT319" s="3285"/>
      <c r="BU319" s="3285"/>
    </row>
    <row r="320" spans="1:238" hidden="1">
      <c r="A320" s="3267" t="s">
        <v>5380</v>
      </c>
      <c r="B320" s="3267" t="s">
        <v>5381</v>
      </c>
      <c r="C320" s="3269" t="s">
        <v>5382</v>
      </c>
      <c r="D320" s="3269" t="s">
        <v>5383</v>
      </c>
      <c r="E320" s="3268" t="s">
        <v>2985</v>
      </c>
      <c r="F320" s="3268" t="s">
        <v>5384</v>
      </c>
      <c r="G320" s="3267"/>
      <c r="H320" s="3267" t="s">
        <v>3225</v>
      </c>
      <c r="I320" s="3268" t="s">
        <v>4347</v>
      </c>
      <c r="J320" s="3267" t="s">
        <v>3123</v>
      </c>
      <c r="K320" s="3267" t="s">
        <v>5385</v>
      </c>
      <c r="L320" s="3267">
        <v>66.27</v>
      </c>
      <c r="M320" s="3267">
        <v>4</v>
      </c>
      <c r="N320" s="3267" t="s">
        <v>3486</v>
      </c>
      <c r="O320" s="3267">
        <v>55.01</v>
      </c>
      <c r="P320" s="3267" t="s">
        <v>2963</v>
      </c>
      <c r="Q320" s="3271">
        <v>405000</v>
      </c>
      <c r="R320" s="3288">
        <v>6111</v>
      </c>
      <c r="S320" s="3272">
        <v>42.94</v>
      </c>
      <c r="T320" s="3273">
        <v>429400</v>
      </c>
      <c r="U320" s="3267">
        <v>6481</v>
      </c>
      <c r="V320" s="3274">
        <v>0.2</v>
      </c>
      <c r="W320" s="3272">
        <v>34.35</v>
      </c>
      <c r="X320" s="3273">
        <v>343500</v>
      </c>
      <c r="Y320" s="3267">
        <v>2006</v>
      </c>
      <c r="Z320" s="3276">
        <v>8</v>
      </c>
      <c r="AA320" s="3276">
        <v>17</v>
      </c>
      <c r="AB320" s="3267">
        <v>1285</v>
      </c>
      <c r="AC320" s="3267" t="s">
        <v>2980</v>
      </c>
      <c r="AD320" s="3269" t="s">
        <v>5386</v>
      </c>
      <c r="AE320" s="3279" t="s">
        <v>3295</v>
      </c>
      <c r="AF320" s="3268" t="s">
        <v>2966</v>
      </c>
      <c r="AG320" s="3279" t="s">
        <v>2967</v>
      </c>
      <c r="AH320" s="3267"/>
      <c r="AI320" s="3279" t="s">
        <v>2992</v>
      </c>
      <c r="AJ320" s="3284"/>
      <c r="AK320" s="3278">
        <v>8</v>
      </c>
      <c r="AL320" s="3276">
        <v>54</v>
      </c>
      <c r="AM320" s="3276"/>
      <c r="AN320" s="3279" t="s">
        <v>3114</v>
      </c>
      <c r="AO320" s="3267" t="s">
        <v>5387</v>
      </c>
      <c r="AP320" s="3279" t="s">
        <v>3305</v>
      </c>
      <c r="AQ320" s="3267" t="s">
        <v>3228</v>
      </c>
      <c r="AR320" s="3276"/>
      <c r="AS320" s="3276"/>
      <c r="AT320" s="3276"/>
      <c r="AU320" s="3276"/>
      <c r="AV320" s="3276"/>
      <c r="AW320" s="3276" t="s">
        <v>3112</v>
      </c>
      <c r="AX320" s="3276"/>
      <c r="AY320" s="3291"/>
      <c r="AZ320" s="3267" t="s">
        <v>5385</v>
      </c>
      <c r="BA320" s="3296"/>
      <c r="BB320" s="3297"/>
      <c r="BC320" s="3296"/>
      <c r="BD320" s="3298"/>
      <c r="BE320" s="3276">
        <v>13811221136</v>
      </c>
      <c r="BF320" s="3281"/>
      <c r="BG320" s="3293">
        <v>38931</v>
      </c>
      <c r="BH320" s="3267" t="s">
        <v>2998</v>
      </c>
      <c r="BI320" s="3314" t="s">
        <v>3305</v>
      </c>
      <c r="BJ320" s="3283">
        <v>38931</v>
      </c>
      <c r="BK320" s="3283"/>
      <c r="BL320" s="3267" t="s">
        <v>3249</v>
      </c>
      <c r="BM320" s="3276" t="s">
        <v>5388</v>
      </c>
      <c r="BN320" s="3276" t="s">
        <v>2999</v>
      </c>
      <c r="BO320" s="3276" t="s">
        <v>3000</v>
      </c>
      <c r="BP320" s="3276"/>
      <c r="BQ320" s="3276">
        <v>7806</v>
      </c>
      <c r="BR320" s="3276">
        <v>7362</v>
      </c>
      <c r="BS320" s="3285"/>
      <c r="BT320" s="3285"/>
      <c r="BU320" s="3285"/>
    </row>
    <row r="321" spans="1:249" hidden="1">
      <c r="A321" s="3267" t="s">
        <v>5389</v>
      </c>
      <c r="B321" s="3267" t="s">
        <v>5390</v>
      </c>
      <c r="C321" s="3269" t="s">
        <v>5391</v>
      </c>
      <c r="D321" s="3269" t="s">
        <v>5392</v>
      </c>
      <c r="E321" s="3267" t="s">
        <v>2985</v>
      </c>
      <c r="F321" s="3268" t="s">
        <v>4675</v>
      </c>
      <c r="G321" s="3267"/>
      <c r="H321" s="3267" t="s">
        <v>3225</v>
      </c>
      <c r="I321" s="3267"/>
      <c r="J321" s="3269" t="s">
        <v>5393</v>
      </c>
      <c r="K321" s="3267" t="s">
        <v>5394</v>
      </c>
      <c r="L321" s="3267">
        <v>59.61</v>
      </c>
      <c r="M321" s="3267">
        <v>16</v>
      </c>
      <c r="N321" s="3267" t="s">
        <v>3152</v>
      </c>
      <c r="O321" s="3267"/>
      <c r="P321" s="3267" t="s">
        <v>2963</v>
      </c>
      <c r="Q321" s="3271">
        <v>350000</v>
      </c>
      <c r="R321" s="3267">
        <v>5871</v>
      </c>
      <c r="S321" s="3272">
        <v>34.85</v>
      </c>
      <c r="T321" s="3273">
        <v>348500</v>
      </c>
      <c r="U321" s="3267">
        <v>5847</v>
      </c>
      <c r="V321" s="3289">
        <v>0.2</v>
      </c>
      <c r="W321" s="3272">
        <v>27.88</v>
      </c>
      <c r="X321" s="3275">
        <v>278800</v>
      </c>
      <c r="Y321" s="3267">
        <v>2006</v>
      </c>
      <c r="Z321" s="3276">
        <v>8</v>
      </c>
      <c r="AA321" s="3276">
        <v>17</v>
      </c>
      <c r="AB321" s="3267">
        <v>1045</v>
      </c>
      <c r="AC321" s="3267" t="s">
        <v>2980</v>
      </c>
      <c r="AD321" s="3267">
        <v>91302006080200</v>
      </c>
      <c r="AE321" s="3267" t="s">
        <v>3487</v>
      </c>
      <c r="AF321" s="3267" t="s">
        <v>2966</v>
      </c>
      <c r="AG321" s="3267" t="s">
        <v>2967</v>
      </c>
      <c r="AH321" s="3267" t="s">
        <v>2968</v>
      </c>
      <c r="AI321" s="3270" t="s">
        <v>2992</v>
      </c>
      <c r="AJ321" s="3284"/>
      <c r="AK321" s="3278">
        <v>8</v>
      </c>
      <c r="AL321" s="3276">
        <v>57</v>
      </c>
      <c r="AM321" s="3267" t="s">
        <v>5395</v>
      </c>
      <c r="AN321" s="3279" t="s">
        <v>3131</v>
      </c>
      <c r="AO321" s="3276" t="s">
        <v>2968</v>
      </c>
      <c r="AP321" s="3276" t="s">
        <v>3487</v>
      </c>
      <c r="AQ321" s="3267" t="s">
        <v>3228</v>
      </c>
      <c r="AR321" s="3276">
        <v>2006</v>
      </c>
      <c r="AS321" s="3276">
        <v>8</v>
      </c>
      <c r="AT321" s="3276">
        <v>4</v>
      </c>
      <c r="AU321" s="3276"/>
      <c r="AV321" s="3276" t="s">
        <v>2968</v>
      </c>
      <c r="AW321" s="3276" t="s">
        <v>3171</v>
      </c>
      <c r="AX321" s="3276"/>
      <c r="AY321" s="3291"/>
      <c r="AZ321" s="3267"/>
      <c r="BA321" s="3276"/>
      <c r="BB321" s="3291"/>
      <c r="BC321" s="3276"/>
      <c r="BD321" s="3292"/>
      <c r="BE321" s="3276"/>
      <c r="BF321" s="3281"/>
      <c r="BG321" s="3307">
        <v>38932</v>
      </c>
      <c r="BH321" s="3276" t="s">
        <v>2998</v>
      </c>
      <c r="BI321" s="3267" t="s">
        <v>3487</v>
      </c>
      <c r="BJ321" s="3307">
        <v>38932</v>
      </c>
      <c r="BK321" s="3283"/>
      <c r="BL321" s="3267" t="s">
        <v>2998</v>
      </c>
      <c r="BM321" s="3276"/>
      <c r="BN321" s="3276"/>
      <c r="BO321" s="3276"/>
      <c r="BP321" s="3276"/>
      <c r="BQ321" s="3276" t="e">
        <v>#DIV/0!</v>
      </c>
      <c r="BR321" s="3276" t="e">
        <v>#DIV/0!</v>
      </c>
      <c r="BS321" s="3285"/>
      <c r="BT321" s="3285"/>
      <c r="BU321" s="3285"/>
    </row>
    <row r="322" spans="1:249" hidden="1">
      <c r="A322" s="3267" t="s">
        <v>5396</v>
      </c>
      <c r="B322" s="3268" t="s">
        <v>5397</v>
      </c>
      <c r="C322" s="3269" t="s">
        <v>5398</v>
      </c>
      <c r="D322" s="3269" t="s">
        <v>5399</v>
      </c>
      <c r="E322" s="3267" t="s">
        <v>2985</v>
      </c>
      <c r="F322" s="3244" t="s">
        <v>5400</v>
      </c>
      <c r="G322" s="3267"/>
      <c r="H322" s="3267" t="s">
        <v>3178</v>
      </c>
      <c r="I322" s="3267"/>
      <c r="J322" s="3269" t="s">
        <v>5401</v>
      </c>
      <c r="K322" s="3267" t="s">
        <v>5402</v>
      </c>
      <c r="L322" s="3267">
        <v>55.24</v>
      </c>
      <c r="M322" s="3267">
        <v>3</v>
      </c>
      <c r="N322" s="3267" t="s">
        <v>3122</v>
      </c>
      <c r="O322" s="3267"/>
      <c r="P322" s="3267" t="s">
        <v>2963</v>
      </c>
      <c r="Q322" s="3271">
        <v>520000</v>
      </c>
      <c r="R322" s="3267">
        <v>9413</v>
      </c>
      <c r="S322" s="3272">
        <v>39.56</v>
      </c>
      <c r="T322" s="3273">
        <v>395600</v>
      </c>
      <c r="U322" s="3267">
        <v>7163</v>
      </c>
      <c r="V322" s="3289">
        <v>0.2</v>
      </c>
      <c r="W322" s="3272">
        <v>31.64</v>
      </c>
      <c r="X322" s="3275">
        <v>316400</v>
      </c>
      <c r="Y322" s="3267">
        <v>2006</v>
      </c>
      <c r="Z322" s="3276">
        <v>9</v>
      </c>
      <c r="AA322" s="3276">
        <v>14</v>
      </c>
      <c r="AB322" s="3276">
        <v>1185</v>
      </c>
      <c r="AC322" s="3267" t="s">
        <v>2980</v>
      </c>
      <c r="AD322" s="3269" t="s">
        <v>5403</v>
      </c>
      <c r="AE322" s="3267" t="s">
        <v>3069</v>
      </c>
      <c r="AF322" s="3267" t="s">
        <v>2966</v>
      </c>
      <c r="AG322" s="3267" t="s">
        <v>2967</v>
      </c>
      <c r="AH322" s="3267"/>
      <c r="AI322" s="3267" t="s">
        <v>3295</v>
      </c>
      <c r="AJ322" s="3284"/>
      <c r="AK322" s="3278" t="s">
        <v>3154</v>
      </c>
      <c r="AL322" s="3267" t="s">
        <v>5404</v>
      </c>
      <c r="AM322" s="3276"/>
      <c r="AN322" s="3276" t="s">
        <v>3114</v>
      </c>
      <c r="AO322" s="3276" t="s">
        <v>5405</v>
      </c>
      <c r="AP322" s="3267" t="s">
        <v>3069</v>
      </c>
      <c r="AQ322" s="3276" t="s">
        <v>2996</v>
      </c>
      <c r="AR322" s="3276"/>
      <c r="AS322" s="3276"/>
      <c r="AT322" s="3276"/>
      <c r="AU322" s="3276"/>
      <c r="AV322" s="3276"/>
      <c r="AW322" s="3267" t="s">
        <v>3112</v>
      </c>
      <c r="AX322" s="3276"/>
      <c r="AY322" s="3291"/>
      <c r="AZ322" s="3267" t="s">
        <v>5402</v>
      </c>
      <c r="BA322" s="3276"/>
      <c r="BB322" s="3291"/>
      <c r="BC322" s="3276"/>
      <c r="BD322" s="3292"/>
      <c r="BE322" s="3276"/>
      <c r="BF322" s="3281"/>
      <c r="BG322" s="3299">
        <v>38894</v>
      </c>
      <c r="BH322" s="3276"/>
      <c r="BI322" s="3267" t="s">
        <v>3069</v>
      </c>
      <c r="BJ322" s="3307">
        <v>38938</v>
      </c>
      <c r="BK322" s="3283"/>
      <c r="BL322" s="3267" t="s">
        <v>2998</v>
      </c>
      <c r="BM322" s="3267" t="s">
        <v>2879</v>
      </c>
      <c r="BN322" s="3267" t="s">
        <v>3111</v>
      </c>
      <c r="BO322" s="3267" t="s">
        <v>3000</v>
      </c>
      <c r="BP322" s="3276"/>
      <c r="BQ322" s="3276" t="e">
        <v>#DIV/0!</v>
      </c>
      <c r="BR322" s="3276" t="e">
        <v>#DIV/0!</v>
      </c>
      <c r="BS322" s="3285"/>
      <c r="BT322" s="3285"/>
      <c r="BU322" s="3285"/>
      <c r="BV322" s="3347"/>
      <c r="BW322" s="3347"/>
      <c r="BX322" s="3347"/>
      <c r="BY322" s="3347"/>
      <c r="BZ322" s="3347"/>
      <c r="CA322" s="3347"/>
      <c r="CB322" s="3347"/>
      <c r="CC322" s="3347"/>
      <c r="CD322" s="3347"/>
      <c r="CE322" s="3347"/>
      <c r="CF322" s="3347"/>
      <c r="CG322" s="3347"/>
      <c r="CH322" s="3347"/>
      <c r="CI322" s="3347"/>
      <c r="CJ322" s="3347"/>
      <c r="CK322" s="3347"/>
      <c r="CL322" s="3347"/>
      <c r="CM322" s="3347"/>
      <c r="CN322" s="3347"/>
      <c r="CO322" s="3347"/>
      <c r="CP322" s="3347"/>
      <c r="CQ322" s="3347"/>
      <c r="CR322" s="3347"/>
      <c r="CS322" s="3347"/>
      <c r="CT322" s="3347"/>
      <c r="CU322" s="3347"/>
      <c r="CV322" s="3347"/>
      <c r="CW322" s="3347"/>
      <c r="CX322" s="3347"/>
      <c r="CY322" s="3347"/>
      <c r="CZ322" s="3347"/>
      <c r="DA322" s="3347"/>
      <c r="DB322" s="3347"/>
      <c r="DC322" s="3347"/>
      <c r="DD322" s="3347"/>
      <c r="DE322" s="3347"/>
      <c r="DF322" s="3347"/>
      <c r="DG322" s="3347"/>
      <c r="DH322" s="3347"/>
      <c r="DI322" s="3347"/>
      <c r="DJ322" s="3347"/>
      <c r="DK322" s="3347"/>
      <c r="DL322" s="3347"/>
      <c r="DM322" s="3347"/>
      <c r="DN322" s="3347"/>
      <c r="DO322" s="3347"/>
      <c r="DP322" s="3347"/>
      <c r="DQ322" s="3347"/>
      <c r="DR322" s="3347"/>
      <c r="DS322" s="3347"/>
      <c r="DT322" s="3347"/>
      <c r="DU322" s="3347"/>
      <c r="DV322" s="3347"/>
      <c r="DW322" s="3347"/>
      <c r="DX322" s="3347"/>
      <c r="DY322" s="3347"/>
      <c r="DZ322" s="3347"/>
      <c r="EA322" s="3347"/>
      <c r="EB322" s="3347"/>
      <c r="EC322" s="3347"/>
      <c r="ED322" s="3347"/>
      <c r="EE322" s="3347"/>
      <c r="EF322" s="3347"/>
      <c r="EG322" s="3347"/>
      <c r="EH322" s="3347"/>
      <c r="EI322" s="3347"/>
      <c r="EJ322" s="3347"/>
      <c r="EK322" s="3347"/>
      <c r="EL322" s="3347"/>
      <c r="EM322" s="3347"/>
      <c r="EN322" s="3347"/>
      <c r="EO322" s="3347"/>
      <c r="EP322" s="3347"/>
      <c r="EQ322" s="3347"/>
      <c r="ER322" s="3347"/>
      <c r="ES322" s="3347"/>
      <c r="ET322" s="3347"/>
      <c r="EU322" s="3347"/>
      <c r="EV322" s="3347"/>
      <c r="EW322" s="3347"/>
      <c r="EX322" s="3347"/>
      <c r="EY322" s="3347"/>
      <c r="EZ322" s="3347"/>
      <c r="FA322" s="3347"/>
      <c r="FB322" s="3347"/>
      <c r="FC322" s="3347"/>
      <c r="FD322" s="3347"/>
      <c r="FE322" s="3347"/>
      <c r="FF322" s="3347"/>
      <c r="FG322" s="3347"/>
      <c r="FH322" s="3347"/>
      <c r="FI322" s="3347"/>
      <c r="FJ322" s="3347"/>
      <c r="FK322" s="3347"/>
      <c r="FL322" s="3347"/>
      <c r="FM322" s="3347"/>
      <c r="FN322" s="3347"/>
      <c r="FO322" s="3347"/>
      <c r="FP322" s="3347"/>
      <c r="FQ322" s="3347"/>
      <c r="FR322" s="3347"/>
      <c r="FS322" s="3347"/>
      <c r="FT322" s="3347"/>
      <c r="FU322" s="3347"/>
      <c r="FV322" s="3347"/>
      <c r="FW322" s="3347"/>
      <c r="FX322" s="3347"/>
      <c r="FY322" s="3347"/>
      <c r="FZ322" s="3347"/>
      <c r="GA322" s="3347"/>
      <c r="GB322" s="3347"/>
      <c r="GC322" s="3347"/>
      <c r="GD322" s="3347"/>
      <c r="GE322" s="3347"/>
      <c r="GF322" s="3347"/>
      <c r="GG322" s="3347"/>
      <c r="GH322" s="3347"/>
      <c r="GI322" s="3347"/>
      <c r="GJ322" s="3347"/>
      <c r="GK322" s="3347"/>
      <c r="GL322" s="3347"/>
      <c r="GM322" s="3347"/>
      <c r="GN322" s="3347"/>
      <c r="GO322" s="3347"/>
      <c r="GP322" s="3347"/>
      <c r="GQ322" s="3347"/>
      <c r="GR322" s="3347"/>
      <c r="GS322" s="3347"/>
      <c r="GT322" s="3347"/>
      <c r="GU322" s="3347"/>
      <c r="GV322" s="3347"/>
      <c r="GW322" s="3347"/>
      <c r="GX322" s="3347"/>
      <c r="GY322" s="3347"/>
      <c r="GZ322" s="3347"/>
      <c r="HA322" s="3347"/>
      <c r="HB322" s="3347"/>
      <c r="HC322" s="3347"/>
      <c r="HD322" s="3347"/>
      <c r="HE322" s="3347"/>
      <c r="HF322" s="3347"/>
      <c r="HG322" s="3347"/>
      <c r="HH322" s="3347"/>
      <c r="HI322" s="3347"/>
      <c r="HJ322" s="3347"/>
      <c r="HK322" s="3347"/>
      <c r="HL322" s="3347"/>
      <c r="HM322" s="3347"/>
      <c r="HN322" s="3347"/>
      <c r="HO322" s="3347"/>
      <c r="HP322" s="3347"/>
      <c r="HQ322" s="3347"/>
      <c r="HR322" s="3347"/>
      <c r="HS322" s="3347"/>
      <c r="HT322" s="3347"/>
      <c r="HU322" s="3347"/>
      <c r="HV322" s="3347"/>
      <c r="HW322" s="3347"/>
      <c r="HX322" s="3347"/>
      <c r="HY322" s="3347"/>
      <c r="HZ322" s="3347"/>
      <c r="IA322" s="3347"/>
      <c r="IB322" s="3347"/>
      <c r="IC322" s="3347"/>
      <c r="ID322" s="3347"/>
      <c r="IE322" s="3347"/>
      <c r="IF322" s="3347"/>
      <c r="IG322" s="3347"/>
      <c r="IH322" s="3347"/>
      <c r="II322" s="3347"/>
    </row>
    <row r="323" spans="1:249" hidden="1">
      <c r="A323" s="3267" t="s">
        <v>5406</v>
      </c>
      <c r="B323" s="3267" t="s">
        <v>5407</v>
      </c>
      <c r="C323" s="3269" t="s">
        <v>5408</v>
      </c>
      <c r="D323" s="3267">
        <v>13366190850</v>
      </c>
      <c r="E323" s="3267" t="s">
        <v>2985</v>
      </c>
      <c r="F323" s="3267" t="s">
        <v>5409</v>
      </c>
      <c r="G323" s="3267"/>
      <c r="H323" s="3267" t="s">
        <v>3127</v>
      </c>
      <c r="I323" s="3267" t="s">
        <v>3458</v>
      </c>
      <c r="J323" s="3267" t="s">
        <v>5410</v>
      </c>
      <c r="K323" s="3268" t="s">
        <v>5411</v>
      </c>
      <c r="L323" s="3267">
        <v>72.209999999999994</v>
      </c>
      <c r="M323" s="3267">
        <v>3</v>
      </c>
      <c r="N323" s="3267" t="s">
        <v>3098</v>
      </c>
      <c r="O323" s="3267"/>
      <c r="P323" s="3267" t="s">
        <v>2963</v>
      </c>
      <c r="Q323" s="3267">
        <v>410000</v>
      </c>
      <c r="R323" s="3267">
        <v>5678</v>
      </c>
      <c r="S323" s="3272">
        <v>35.409999999999997</v>
      </c>
      <c r="T323" s="3273">
        <v>354100</v>
      </c>
      <c r="U323" s="3267">
        <v>4904</v>
      </c>
      <c r="V323" s="3274">
        <v>0.2</v>
      </c>
      <c r="W323" s="3272">
        <v>28.32</v>
      </c>
      <c r="X323" s="3273">
        <v>283200</v>
      </c>
      <c r="Y323" s="3267">
        <v>2006</v>
      </c>
      <c r="Z323" s="3267">
        <v>8</v>
      </c>
      <c r="AA323" s="3276">
        <v>30</v>
      </c>
      <c r="AB323" s="3267">
        <v>1060</v>
      </c>
      <c r="AC323" s="3267" t="s">
        <v>2980</v>
      </c>
      <c r="AD323" s="3269" t="s">
        <v>5412</v>
      </c>
      <c r="AE323" s="3276" t="s">
        <v>3180</v>
      </c>
      <c r="AF323" s="3267" t="s">
        <v>2966</v>
      </c>
      <c r="AG323" s="3267" t="s">
        <v>2967</v>
      </c>
      <c r="AH323" s="3267"/>
      <c r="AI323" s="3267" t="s">
        <v>2992</v>
      </c>
      <c r="AJ323" s="3284"/>
      <c r="AK323" s="3278" t="s">
        <v>4256</v>
      </c>
      <c r="AL323" s="3276">
        <v>39</v>
      </c>
      <c r="AM323" s="3267"/>
      <c r="AN323" s="3267" t="s">
        <v>3099</v>
      </c>
      <c r="AO323" s="3267" t="s">
        <v>5413</v>
      </c>
      <c r="AP323" s="3279" t="s">
        <v>3180</v>
      </c>
      <c r="AQ323" s="3267" t="s">
        <v>3228</v>
      </c>
      <c r="AR323" s="3267">
        <v>2006</v>
      </c>
      <c r="AS323" s="3267">
        <v>8</v>
      </c>
      <c r="AT323" s="3267">
        <v>21</v>
      </c>
      <c r="AU323" s="3267"/>
      <c r="AV323" s="3267"/>
      <c r="AW323" s="3267" t="s">
        <v>2997</v>
      </c>
      <c r="AX323" s="3267"/>
      <c r="AY323" s="3269"/>
      <c r="AZ323" s="3267" t="s">
        <v>5411</v>
      </c>
      <c r="BA323" s="3267"/>
      <c r="BB323" s="3267"/>
      <c r="BC323" s="3267"/>
      <c r="BD323" s="3267"/>
      <c r="BE323" s="3267"/>
      <c r="BF323" s="3267"/>
      <c r="BG323" s="3307">
        <v>38918</v>
      </c>
      <c r="BH323" s="3267"/>
      <c r="BI323" s="3267" t="s">
        <v>3180</v>
      </c>
      <c r="BJ323" s="3283">
        <v>38947</v>
      </c>
      <c r="BK323" s="3283"/>
      <c r="BL323" s="3267" t="s">
        <v>2998</v>
      </c>
      <c r="BM323" s="3267" t="s">
        <v>2879</v>
      </c>
      <c r="BN323" s="3267" t="s">
        <v>2999</v>
      </c>
      <c r="BO323" s="3267" t="s">
        <v>3000</v>
      </c>
      <c r="BP323" s="3267"/>
      <c r="BQ323" s="3276" t="e">
        <v>#DIV/0!</v>
      </c>
      <c r="BR323" s="3276" t="e">
        <v>#DIV/0!</v>
      </c>
      <c r="BS323" s="3285"/>
      <c r="BT323" s="3285"/>
      <c r="BU323" s="3285"/>
      <c r="BV323" s="3347"/>
      <c r="BW323" s="3347"/>
      <c r="BX323" s="3347"/>
      <c r="BY323" s="3347"/>
      <c r="BZ323" s="3347"/>
      <c r="CA323" s="3347"/>
      <c r="CB323" s="3347"/>
      <c r="CC323" s="3347"/>
      <c r="CD323" s="3347"/>
      <c r="CE323" s="3347"/>
      <c r="CF323" s="3347"/>
      <c r="CG323" s="3347"/>
      <c r="CH323" s="3347"/>
      <c r="CI323" s="3347"/>
      <c r="CJ323" s="3347"/>
      <c r="CK323" s="3347"/>
      <c r="CL323" s="3347"/>
      <c r="CM323" s="3347"/>
      <c r="CN323" s="3347"/>
      <c r="CO323" s="3347"/>
      <c r="CP323" s="3347"/>
      <c r="CQ323" s="3347"/>
      <c r="CR323" s="3347"/>
      <c r="CS323" s="3347"/>
      <c r="CT323" s="3347"/>
      <c r="CU323" s="3347"/>
      <c r="CV323" s="3347"/>
      <c r="CW323" s="3347"/>
      <c r="CX323" s="3347"/>
      <c r="CY323" s="3347"/>
      <c r="CZ323" s="3347"/>
      <c r="DA323" s="3347"/>
      <c r="DB323" s="3347"/>
      <c r="DC323" s="3347"/>
      <c r="DD323" s="3347"/>
      <c r="DE323" s="3347"/>
      <c r="DF323" s="3347"/>
      <c r="DG323" s="3347"/>
      <c r="DH323" s="3347"/>
      <c r="DI323" s="3347"/>
      <c r="DJ323" s="3347"/>
      <c r="DK323" s="3347"/>
      <c r="DL323" s="3347"/>
      <c r="DM323" s="3347"/>
      <c r="DN323" s="3347"/>
      <c r="DO323" s="3347"/>
      <c r="DP323" s="3347"/>
      <c r="DQ323" s="3347"/>
      <c r="DR323" s="3347"/>
      <c r="DS323" s="3347"/>
      <c r="DT323" s="3347"/>
      <c r="DU323" s="3347"/>
      <c r="DV323" s="3347"/>
      <c r="DW323" s="3347"/>
      <c r="DX323" s="3347"/>
      <c r="DY323" s="3347"/>
      <c r="DZ323" s="3347"/>
      <c r="EA323" s="3347"/>
      <c r="EB323" s="3347"/>
      <c r="EC323" s="3347"/>
      <c r="ED323" s="3347"/>
      <c r="EE323" s="3347"/>
      <c r="EF323" s="3347"/>
      <c r="EG323" s="3347"/>
      <c r="EH323" s="3347"/>
      <c r="EI323" s="3347"/>
      <c r="EJ323" s="3347"/>
      <c r="EK323" s="3347"/>
      <c r="EL323" s="3347"/>
      <c r="EM323" s="3347"/>
      <c r="EN323" s="3347"/>
      <c r="EO323" s="3347"/>
      <c r="EP323" s="3347"/>
      <c r="EQ323" s="3347"/>
      <c r="ER323" s="3347"/>
      <c r="ES323" s="3347"/>
      <c r="ET323" s="3347"/>
      <c r="EU323" s="3347"/>
      <c r="EV323" s="3347"/>
      <c r="EW323" s="3347"/>
      <c r="EX323" s="3347"/>
      <c r="EY323" s="3347"/>
      <c r="EZ323" s="3347"/>
      <c r="FA323" s="3347"/>
      <c r="FB323" s="3347"/>
      <c r="FC323" s="3347"/>
      <c r="FD323" s="3347"/>
      <c r="FE323" s="3347"/>
      <c r="FF323" s="3347"/>
      <c r="FG323" s="3347"/>
      <c r="FH323" s="3347"/>
      <c r="FI323" s="3347"/>
      <c r="FJ323" s="3347"/>
      <c r="FK323" s="3347"/>
      <c r="FL323" s="3347"/>
      <c r="FM323" s="3347"/>
      <c r="FN323" s="3347"/>
      <c r="FO323" s="3347"/>
      <c r="FP323" s="3347"/>
      <c r="FQ323" s="3347"/>
      <c r="FR323" s="3347"/>
      <c r="FS323" s="3347"/>
      <c r="FT323" s="3347"/>
      <c r="FU323" s="3347"/>
      <c r="FV323" s="3347"/>
      <c r="FW323" s="3347"/>
      <c r="FX323" s="3347"/>
      <c r="FY323" s="3347"/>
      <c r="FZ323" s="3347"/>
      <c r="GA323" s="3347"/>
      <c r="GB323" s="3347"/>
      <c r="GC323" s="3347"/>
      <c r="GD323" s="3347"/>
      <c r="GE323" s="3347"/>
      <c r="GF323" s="3347"/>
      <c r="GG323" s="3347"/>
      <c r="GH323" s="3347"/>
      <c r="GI323" s="3347"/>
      <c r="GJ323" s="3347"/>
      <c r="GK323" s="3347"/>
      <c r="GL323" s="3347"/>
      <c r="GM323" s="3347"/>
      <c r="GN323" s="3347"/>
      <c r="GO323" s="3347"/>
      <c r="GP323" s="3347"/>
      <c r="GQ323" s="3347"/>
      <c r="GR323" s="3347"/>
      <c r="GS323" s="3347"/>
      <c r="GT323" s="3347"/>
      <c r="GU323" s="3347"/>
      <c r="GV323" s="3347"/>
      <c r="GW323" s="3347"/>
      <c r="GX323" s="3347"/>
      <c r="GY323" s="3347"/>
      <c r="GZ323" s="3347"/>
      <c r="HA323" s="3347"/>
      <c r="HB323" s="3347"/>
      <c r="HC323" s="3347"/>
      <c r="HD323" s="3347"/>
      <c r="HE323" s="3347"/>
      <c r="HF323" s="3347"/>
      <c r="HG323" s="3347"/>
      <c r="HH323" s="3347"/>
      <c r="HI323" s="3347"/>
      <c r="HJ323" s="3347"/>
      <c r="HK323" s="3347"/>
      <c r="HL323" s="3347"/>
      <c r="HM323" s="3347"/>
      <c r="HN323" s="3347"/>
      <c r="HO323" s="3347"/>
      <c r="HP323" s="3347"/>
      <c r="HQ323" s="3347"/>
      <c r="HR323" s="3347"/>
      <c r="HS323" s="3347"/>
      <c r="HT323" s="3347"/>
      <c r="HU323" s="3347"/>
      <c r="HV323" s="3347"/>
      <c r="HW323" s="3347"/>
      <c r="HX323" s="3347"/>
      <c r="HY323" s="3347"/>
      <c r="HZ323" s="3347"/>
      <c r="IA323" s="3347"/>
      <c r="IB323" s="3347"/>
      <c r="IC323" s="3347"/>
      <c r="ID323" s="3347"/>
      <c r="IE323" s="3347"/>
      <c r="IF323" s="3347"/>
      <c r="IG323" s="3347"/>
      <c r="IH323" s="3347"/>
      <c r="II323" s="3347"/>
    </row>
    <row r="324" spans="1:249" ht="14.25" hidden="1">
      <c r="A324" s="3267" t="s">
        <v>5414</v>
      </c>
      <c r="B324" s="3267" t="s">
        <v>5415</v>
      </c>
      <c r="C324" s="3269" t="s">
        <v>5416</v>
      </c>
      <c r="D324" s="3269" t="s">
        <v>5417</v>
      </c>
      <c r="E324" s="3268" t="s">
        <v>2985</v>
      </c>
      <c r="F324" s="3268" t="s">
        <v>5418</v>
      </c>
      <c r="G324" s="3267"/>
      <c r="H324" s="3267" t="s">
        <v>3124</v>
      </c>
      <c r="I324" s="3268" t="s">
        <v>3318</v>
      </c>
      <c r="J324" s="3267" t="s">
        <v>3126</v>
      </c>
      <c r="K324" s="3267" t="s">
        <v>5419</v>
      </c>
      <c r="L324" s="3267">
        <v>75.17</v>
      </c>
      <c r="M324" s="3267">
        <v>6</v>
      </c>
      <c r="N324" s="3267" t="s">
        <v>3125</v>
      </c>
      <c r="O324" s="3267"/>
      <c r="P324" s="3267" t="s">
        <v>2963</v>
      </c>
      <c r="Q324" s="3271">
        <v>423000</v>
      </c>
      <c r="R324" s="3288">
        <v>5627</v>
      </c>
      <c r="S324" s="3272">
        <v>40.85</v>
      </c>
      <c r="T324" s="3273">
        <v>408500</v>
      </c>
      <c r="U324" s="3267">
        <v>5435</v>
      </c>
      <c r="V324" s="3289">
        <v>0.2</v>
      </c>
      <c r="W324" s="3272">
        <v>32.68</v>
      </c>
      <c r="X324" s="3273">
        <v>326800</v>
      </c>
      <c r="Y324" s="3267">
        <v>2006</v>
      </c>
      <c r="Z324" s="3276">
        <v>8</v>
      </c>
      <c r="AA324" s="3276">
        <v>25</v>
      </c>
      <c r="AB324" s="3267">
        <v>1225</v>
      </c>
      <c r="AC324" s="3267" t="s">
        <v>2980</v>
      </c>
      <c r="AD324" s="3269" t="s">
        <v>5420</v>
      </c>
      <c r="AE324" s="3279" t="s">
        <v>3344</v>
      </c>
      <c r="AF324" s="3268" t="s">
        <v>2966</v>
      </c>
      <c r="AG324" s="3279" t="s">
        <v>2967</v>
      </c>
      <c r="AH324" s="3267"/>
      <c r="AI324" s="3279" t="s">
        <v>2992</v>
      </c>
      <c r="AJ324" s="3284"/>
      <c r="AK324" s="3278">
        <v>8</v>
      </c>
      <c r="AL324" s="3276">
        <v>32</v>
      </c>
      <c r="AM324" s="3267"/>
      <c r="AN324" s="3279" t="s">
        <v>2994</v>
      </c>
      <c r="AO324" s="3267" t="s">
        <v>5421</v>
      </c>
      <c r="AP324" s="3279" t="s">
        <v>3305</v>
      </c>
      <c r="AQ324" s="3267" t="s">
        <v>3228</v>
      </c>
      <c r="AR324" s="3276"/>
      <c r="AS324" s="3276"/>
      <c r="AT324" s="3276"/>
      <c r="AU324" s="3276"/>
      <c r="AV324" s="3276"/>
      <c r="AW324" s="3276" t="s">
        <v>3119</v>
      </c>
      <c r="AX324" s="3276"/>
      <c r="AY324" s="3291"/>
      <c r="AZ324" s="3267" t="s">
        <v>5419</v>
      </c>
      <c r="BA324" s="3296"/>
      <c r="BB324" s="3297"/>
      <c r="BC324" s="3296"/>
      <c r="BD324" s="3298"/>
      <c r="BE324" s="3276"/>
      <c r="BF324" s="3281"/>
      <c r="BG324" s="3293">
        <v>38938</v>
      </c>
      <c r="BH324" s="3354" t="s">
        <v>2998</v>
      </c>
      <c r="BI324" s="3314" t="s">
        <v>3305</v>
      </c>
      <c r="BJ324" s="3283">
        <v>38944</v>
      </c>
      <c r="BK324" s="3283"/>
      <c r="BL324" s="3267" t="s">
        <v>3249</v>
      </c>
      <c r="BM324" s="3276" t="s">
        <v>2879</v>
      </c>
      <c r="BN324" s="3276" t="s">
        <v>2999</v>
      </c>
      <c r="BO324" s="3276" t="s">
        <v>3146</v>
      </c>
      <c r="BP324" s="3276"/>
      <c r="BQ324" s="3276" t="e">
        <v>#DIV/0!</v>
      </c>
      <c r="BR324" s="3276" t="e">
        <v>#DIV/0!</v>
      </c>
      <c r="BS324" s="3285"/>
      <c r="BT324" s="3285"/>
      <c r="BU324" s="3285"/>
      <c r="BV324" s="3341"/>
      <c r="BW324" s="3341"/>
      <c r="BX324" s="3341"/>
      <c r="BY324" s="3341"/>
      <c r="BZ324" s="3341"/>
      <c r="CA324" s="3341"/>
      <c r="CB324" s="3341"/>
      <c r="CC324" s="3341"/>
      <c r="CD324" s="3341"/>
      <c r="CE324" s="3341"/>
      <c r="CF324" s="3341"/>
      <c r="CG324" s="3341"/>
      <c r="CH324" s="3341"/>
      <c r="CI324" s="3341"/>
      <c r="CJ324" s="3341"/>
      <c r="CK324" s="3341"/>
      <c r="CL324" s="3341"/>
      <c r="CM324" s="3341"/>
      <c r="CN324" s="3341"/>
      <c r="CO324" s="3341"/>
      <c r="CP324" s="3341"/>
      <c r="CQ324" s="3341"/>
      <c r="CR324" s="3341"/>
      <c r="CS324" s="3341"/>
      <c r="CT324" s="3341"/>
      <c r="CU324" s="3341"/>
      <c r="CV324" s="3341"/>
      <c r="CW324" s="3341"/>
      <c r="CX324" s="3341"/>
      <c r="CY324" s="3341"/>
      <c r="CZ324" s="3341"/>
      <c r="DA324" s="3341"/>
      <c r="DB324" s="3341"/>
      <c r="DC324" s="3341"/>
      <c r="DD324" s="3341"/>
      <c r="DE324" s="3341"/>
      <c r="DF324" s="3341"/>
      <c r="DG324" s="3341"/>
      <c r="DH324" s="3341"/>
      <c r="DI324" s="3341"/>
      <c r="DJ324" s="3341"/>
      <c r="DK324" s="3341"/>
      <c r="DL324" s="3341"/>
      <c r="DM324" s="3341"/>
      <c r="DN324" s="3341"/>
      <c r="DO324" s="3341"/>
      <c r="DP324" s="3341"/>
      <c r="DQ324" s="3341"/>
      <c r="DR324" s="3341"/>
      <c r="DS324" s="3341"/>
      <c r="DT324" s="3341"/>
      <c r="DU324" s="3341"/>
      <c r="DV324" s="3341"/>
      <c r="DW324" s="3341"/>
      <c r="DX324" s="3341"/>
      <c r="DY324" s="3341"/>
      <c r="DZ324" s="3341"/>
      <c r="EA324" s="3341"/>
      <c r="EB324" s="3341"/>
      <c r="EC324" s="3341"/>
      <c r="ED324" s="3341"/>
      <c r="EE324" s="3341"/>
      <c r="EF324" s="3341"/>
      <c r="EG324" s="3341"/>
      <c r="EH324" s="3341"/>
      <c r="EI324" s="3341"/>
      <c r="EJ324" s="3341"/>
      <c r="EK324" s="3341"/>
      <c r="EL324" s="3341"/>
      <c r="EM324" s="3341"/>
      <c r="EN324" s="3341"/>
      <c r="EO324" s="3341"/>
      <c r="EP324" s="3341"/>
      <c r="EQ324" s="3341"/>
      <c r="ER324" s="3341"/>
      <c r="ES324" s="3341"/>
      <c r="ET324" s="3341"/>
      <c r="EU324" s="3341"/>
      <c r="EV324" s="3341"/>
      <c r="EW324" s="3341"/>
      <c r="EX324" s="3341"/>
      <c r="EY324" s="3341"/>
      <c r="EZ324" s="3341"/>
      <c r="FA324" s="3341"/>
      <c r="FB324" s="3341"/>
      <c r="FC324" s="3341"/>
      <c r="FD324" s="3341"/>
      <c r="FE324" s="3341"/>
      <c r="FF324" s="3341"/>
      <c r="FG324" s="3341"/>
      <c r="FH324" s="3341"/>
      <c r="FI324" s="3341"/>
      <c r="FJ324" s="3341"/>
      <c r="FK324" s="3341"/>
      <c r="FL324" s="3341"/>
      <c r="FM324" s="3341"/>
      <c r="FN324" s="3341"/>
      <c r="FO324" s="3341"/>
      <c r="FP324" s="3341"/>
      <c r="FQ324" s="3341"/>
      <c r="FR324" s="3341"/>
      <c r="FS324" s="3341"/>
      <c r="FT324" s="3341"/>
      <c r="FU324" s="3341"/>
      <c r="FV324" s="3341"/>
      <c r="FW324" s="3341"/>
      <c r="FX324" s="3341"/>
      <c r="FY324" s="3341"/>
      <c r="FZ324" s="3341"/>
      <c r="GA324" s="3341"/>
      <c r="GB324" s="3341"/>
      <c r="GC324" s="3341"/>
      <c r="GD324" s="3341"/>
      <c r="GE324" s="3341"/>
      <c r="GF324" s="3341"/>
      <c r="GG324" s="3341"/>
      <c r="GH324" s="3341"/>
      <c r="GI324" s="3341"/>
      <c r="GJ324" s="3341"/>
      <c r="GK324" s="3341"/>
      <c r="GL324" s="3341"/>
      <c r="GM324" s="3341"/>
      <c r="GN324" s="3341"/>
      <c r="GO324" s="3341"/>
      <c r="GP324" s="3341"/>
      <c r="GQ324" s="3341"/>
      <c r="GR324" s="3341"/>
      <c r="GS324" s="3341"/>
      <c r="GT324" s="3341"/>
      <c r="GU324" s="3341"/>
      <c r="GV324" s="3341"/>
      <c r="GW324" s="3341"/>
      <c r="GX324" s="3341"/>
      <c r="GY324" s="3341"/>
      <c r="GZ324" s="3341"/>
      <c r="HA324" s="3341"/>
      <c r="HB324" s="3341"/>
      <c r="HC324" s="3341"/>
      <c r="HD324" s="3341"/>
      <c r="HE324" s="3341"/>
      <c r="HF324" s="3341"/>
      <c r="HG324" s="3341"/>
      <c r="HH324" s="3341"/>
      <c r="HI324" s="3341"/>
      <c r="HJ324" s="3341"/>
      <c r="HK324" s="3341"/>
      <c r="HL324" s="3341"/>
      <c r="HM324" s="3341"/>
      <c r="HN324" s="3341"/>
      <c r="HO324" s="3341"/>
      <c r="HP324" s="3341"/>
      <c r="HQ324" s="3341"/>
      <c r="HR324" s="3341"/>
      <c r="HS324" s="3341"/>
      <c r="HT324" s="3341"/>
      <c r="HU324" s="3341"/>
      <c r="HV324" s="3341"/>
      <c r="HW324" s="3341"/>
      <c r="HX324" s="3341"/>
      <c r="HY324" s="3341"/>
      <c r="HZ324" s="3341"/>
      <c r="IA324" s="3341"/>
      <c r="IB324" s="3341"/>
      <c r="IC324" s="3341"/>
      <c r="ID324" s="3341"/>
      <c r="IE324" s="3341"/>
      <c r="IF324" s="3341"/>
      <c r="IG324" s="3341"/>
      <c r="IH324" s="3341"/>
      <c r="II324" s="3341"/>
    </row>
    <row r="325" spans="1:249" hidden="1">
      <c r="A325" s="3267" t="s">
        <v>5422</v>
      </c>
      <c r="B325" s="3267" t="s">
        <v>5423</v>
      </c>
      <c r="C325" s="3269" t="s">
        <v>5424</v>
      </c>
      <c r="D325" s="3269" t="s">
        <v>5425</v>
      </c>
      <c r="E325" s="3268" t="s">
        <v>2985</v>
      </c>
      <c r="F325" s="3268" t="s">
        <v>5426</v>
      </c>
      <c r="G325" s="3267"/>
      <c r="H325" s="3267" t="s">
        <v>4253</v>
      </c>
      <c r="I325" s="3268" t="s">
        <v>3254</v>
      </c>
      <c r="J325" s="3267" t="s">
        <v>5427</v>
      </c>
      <c r="K325" s="3267" t="s">
        <v>5428</v>
      </c>
      <c r="L325" s="3267">
        <v>46.64</v>
      </c>
      <c r="M325" s="3267">
        <v>4</v>
      </c>
      <c r="N325" s="3267" t="s">
        <v>3152</v>
      </c>
      <c r="O325" s="3267" t="s">
        <v>2968</v>
      </c>
      <c r="P325" s="3267" t="s">
        <v>2963</v>
      </c>
      <c r="Q325" s="3271">
        <v>330000</v>
      </c>
      <c r="R325" s="3288">
        <v>7075</v>
      </c>
      <c r="S325" s="3272">
        <v>27.56</v>
      </c>
      <c r="T325" s="3273">
        <v>275600</v>
      </c>
      <c r="U325" s="3267">
        <v>5910</v>
      </c>
      <c r="V325" s="3289">
        <v>0.2</v>
      </c>
      <c r="W325" s="3272">
        <v>22.04</v>
      </c>
      <c r="X325" s="3273">
        <v>220400</v>
      </c>
      <c r="Y325" s="3267">
        <v>2006</v>
      </c>
      <c r="Z325" s="3276">
        <v>8</v>
      </c>
      <c r="AA325" s="3276">
        <v>30</v>
      </c>
      <c r="AB325" s="3267">
        <v>825</v>
      </c>
      <c r="AC325" s="3267" t="s">
        <v>2980</v>
      </c>
      <c r="AD325" s="3269" t="s">
        <v>5429</v>
      </c>
      <c r="AE325" s="3279" t="s">
        <v>3245</v>
      </c>
      <c r="AF325" s="3268" t="s">
        <v>2966</v>
      </c>
      <c r="AG325" s="3279" t="s">
        <v>2967</v>
      </c>
      <c r="AH325" s="3267"/>
      <c r="AI325" s="3279" t="s">
        <v>2992</v>
      </c>
      <c r="AJ325" s="3284"/>
      <c r="AK325" s="3278">
        <v>8</v>
      </c>
      <c r="AL325" s="3276">
        <v>37</v>
      </c>
      <c r="AM325" s="3267"/>
      <c r="AN325" s="3279" t="s">
        <v>3099</v>
      </c>
      <c r="AO325" s="3267" t="s">
        <v>5430</v>
      </c>
      <c r="AP325" s="3279" t="s">
        <v>3305</v>
      </c>
      <c r="AQ325" s="3267" t="s">
        <v>3228</v>
      </c>
      <c r="AR325" s="3276"/>
      <c r="AS325" s="3276"/>
      <c r="AT325" s="3276"/>
      <c r="AU325" s="3276"/>
      <c r="AV325" s="3276"/>
      <c r="AW325" s="3276" t="s">
        <v>3119</v>
      </c>
      <c r="AX325" s="3276"/>
      <c r="AY325" s="3291"/>
      <c r="AZ325" s="3267" t="s">
        <v>5428</v>
      </c>
      <c r="BA325" s="3296"/>
      <c r="BB325" s="3297"/>
      <c r="BC325" s="3296"/>
      <c r="BD325" s="3298"/>
      <c r="BE325" s="3276">
        <v>13810729122</v>
      </c>
      <c r="BF325" s="3281"/>
      <c r="BG325" s="3293">
        <v>38941</v>
      </c>
      <c r="BH325" s="3354" t="s">
        <v>2998</v>
      </c>
      <c r="BI325" s="3314" t="s">
        <v>3305</v>
      </c>
      <c r="BJ325" s="3283">
        <v>38944</v>
      </c>
      <c r="BK325" s="3283"/>
      <c r="BL325" s="3267" t="s">
        <v>3249</v>
      </c>
      <c r="BM325" s="3276" t="s">
        <v>2879</v>
      </c>
      <c r="BN325" s="3276" t="s">
        <v>3111</v>
      </c>
      <c r="BO325" s="3276" t="s">
        <v>3146</v>
      </c>
      <c r="BP325" s="3276"/>
      <c r="BQ325" s="3276" t="e">
        <v>#VALUE!</v>
      </c>
      <c r="BR325" s="3276" t="e">
        <v>#VALUE!</v>
      </c>
      <c r="BS325" s="3285"/>
      <c r="BT325" s="3285"/>
      <c r="BU325" s="3285"/>
      <c r="BV325" s="3285"/>
      <c r="BW325" s="3285"/>
      <c r="BX325" s="3285"/>
      <c r="BY325" s="3285"/>
      <c r="BZ325" s="3285"/>
      <c r="CA325" s="3285"/>
      <c r="CB325" s="3285"/>
      <c r="CC325" s="3285"/>
      <c r="CD325" s="3285"/>
      <c r="CE325" s="3285"/>
      <c r="CF325" s="3285"/>
      <c r="CG325" s="3285"/>
      <c r="CH325" s="3285"/>
      <c r="CI325" s="3285"/>
      <c r="CJ325" s="3285"/>
      <c r="CK325" s="3285"/>
      <c r="CL325" s="3285"/>
      <c r="CM325" s="3285"/>
      <c r="CN325" s="3285"/>
      <c r="CO325" s="3285"/>
      <c r="CP325" s="3285"/>
      <c r="CQ325" s="3285"/>
      <c r="CR325" s="3285"/>
      <c r="CS325" s="3285"/>
      <c r="CT325" s="3285"/>
      <c r="CU325" s="3285"/>
      <c r="CV325" s="3285"/>
      <c r="CW325" s="3285"/>
      <c r="CX325" s="3285"/>
      <c r="CY325" s="3285"/>
      <c r="CZ325" s="3285"/>
      <c r="DA325" s="3285"/>
      <c r="DB325" s="3285"/>
      <c r="DC325" s="3285"/>
      <c r="DD325" s="3285"/>
      <c r="DE325" s="3285"/>
      <c r="DF325" s="3285"/>
      <c r="DG325" s="3285"/>
      <c r="DH325" s="3285"/>
      <c r="DI325" s="3285"/>
      <c r="DJ325" s="3285"/>
      <c r="DK325" s="3285"/>
      <c r="DL325" s="3285"/>
      <c r="DM325" s="3285"/>
      <c r="DN325" s="3285"/>
      <c r="DO325" s="3285"/>
      <c r="DP325" s="3285"/>
      <c r="DQ325" s="3285"/>
      <c r="DR325" s="3285"/>
      <c r="DS325" s="3285"/>
      <c r="DT325" s="3285"/>
      <c r="DU325" s="3285"/>
      <c r="DV325" s="3285"/>
      <c r="DW325" s="3285"/>
      <c r="DX325" s="3285"/>
      <c r="DY325" s="3285"/>
      <c r="DZ325" s="3285"/>
      <c r="EA325" s="3285"/>
      <c r="EB325" s="3285"/>
      <c r="EC325" s="3285"/>
      <c r="ED325" s="3285"/>
      <c r="EE325" s="3285"/>
      <c r="EF325" s="3285"/>
      <c r="EG325" s="3285"/>
      <c r="EH325" s="3285"/>
      <c r="EI325" s="3285"/>
      <c r="EJ325" s="3285"/>
      <c r="EK325" s="3285"/>
      <c r="EL325" s="3285"/>
      <c r="EM325" s="3285"/>
      <c r="EN325" s="3285"/>
      <c r="EO325" s="3285"/>
      <c r="EP325" s="3285"/>
      <c r="EQ325" s="3285"/>
      <c r="ER325" s="3285"/>
      <c r="ES325" s="3285"/>
      <c r="ET325" s="3285"/>
      <c r="EU325" s="3285"/>
      <c r="EV325" s="3285"/>
      <c r="EW325" s="3285"/>
      <c r="EX325" s="3285"/>
      <c r="EY325" s="3285"/>
      <c r="EZ325" s="3285"/>
      <c r="FA325" s="3285"/>
      <c r="FB325" s="3285"/>
      <c r="FC325" s="3285"/>
      <c r="FD325" s="3285"/>
      <c r="FE325" s="3285"/>
      <c r="FF325" s="3285"/>
      <c r="FG325" s="3285"/>
      <c r="FH325" s="3285"/>
      <c r="FI325" s="3285"/>
      <c r="FJ325" s="3285"/>
      <c r="FK325" s="3285"/>
      <c r="FL325" s="3285"/>
      <c r="FM325" s="3285"/>
      <c r="FN325" s="3285"/>
      <c r="FO325" s="3285"/>
      <c r="FP325" s="3285"/>
      <c r="FQ325" s="3285"/>
      <c r="FR325" s="3285"/>
      <c r="FS325" s="3285"/>
      <c r="FT325" s="3285"/>
      <c r="FU325" s="3285"/>
      <c r="FV325" s="3285"/>
      <c r="FW325" s="3285"/>
      <c r="FX325" s="3285"/>
      <c r="FY325" s="3285"/>
      <c r="FZ325" s="3285"/>
      <c r="GA325" s="3285"/>
      <c r="GB325" s="3285"/>
      <c r="GC325" s="3285"/>
      <c r="GD325" s="3285"/>
      <c r="GE325" s="3285"/>
      <c r="GF325" s="3285"/>
      <c r="GG325" s="3285"/>
      <c r="GH325" s="3285"/>
      <c r="GI325" s="3285"/>
      <c r="GJ325" s="3285"/>
      <c r="GK325" s="3285"/>
      <c r="GL325" s="3285"/>
      <c r="GM325" s="3285"/>
      <c r="GN325" s="3285"/>
      <c r="GO325" s="3285"/>
      <c r="GP325" s="3285"/>
      <c r="GQ325" s="3285"/>
      <c r="GR325" s="3285"/>
      <c r="GS325" s="3285"/>
      <c r="GT325" s="3285"/>
      <c r="GU325" s="3285"/>
      <c r="GV325" s="3285"/>
      <c r="GW325" s="3285"/>
      <c r="GX325" s="3285"/>
      <c r="GY325" s="3285"/>
      <c r="GZ325" s="3285"/>
      <c r="HA325" s="3285"/>
      <c r="HB325" s="3285"/>
      <c r="HC325" s="3285"/>
      <c r="HD325" s="3285"/>
      <c r="HE325" s="3285"/>
      <c r="HF325" s="3285"/>
      <c r="HG325" s="3285"/>
      <c r="HH325" s="3285"/>
      <c r="HI325" s="3285"/>
      <c r="HJ325" s="3285"/>
      <c r="HK325" s="3285"/>
      <c r="HL325" s="3285"/>
      <c r="HM325" s="3285"/>
      <c r="HN325" s="3285"/>
      <c r="HO325" s="3285"/>
      <c r="HP325" s="3285"/>
      <c r="HQ325" s="3285"/>
      <c r="HR325" s="3285"/>
      <c r="HS325" s="3285"/>
      <c r="HT325" s="3285"/>
      <c r="HU325" s="3285"/>
      <c r="HV325" s="3285"/>
      <c r="HW325" s="3285"/>
      <c r="HX325" s="3285"/>
      <c r="HY325" s="3285"/>
      <c r="HZ325" s="3285"/>
      <c r="IA325" s="3285"/>
      <c r="IB325" s="3285"/>
      <c r="IC325" s="3285"/>
      <c r="ID325" s="3285"/>
      <c r="IE325" s="3285"/>
      <c r="IF325" s="3285"/>
      <c r="IG325" s="3285"/>
      <c r="IH325" s="3285"/>
      <c r="II325" s="3285"/>
    </row>
    <row r="326" spans="1:249">
      <c r="A326" s="3267" t="s">
        <v>5431</v>
      </c>
      <c r="B326" s="3267" t="s">
        <v>5432</v>
      </c>
      <c r="C326" s="3269" t="s">
        <v>5433</v>
      </c>
      <c r="D326" s="3269" t="s">
        <v>5434</v>
      </c>
      <c r="E326" s="3268" t="s">
        <v>2985</v>
      </c>
      <c r="F326" s="3268" t="s">
        <v>5435</v>
      </c>
      <c r="G326" s="3267"/>
      <c r="H326" s="3267" t="s">
        <v>5436</v>
      </c>
      <c r="I326" s="3268" t="s">
        <v>4347</v>
      </c>
      <c r="J326" s="3267" t="s">
        <v>3858</v>
      </c>
      <c r="K326" s="3267" t="s">
        <v>5437</v>
      </c>
      <c r="L326" s="3267">
        <v>53.12</v>
      </c>
      <c r="M326" s="3267">
        <v>4</v>
      </c>
      <c r="N326" s="3267" t="s">
        <v>3122</v>
      </c>
      <c r="O326" s="3267"/>
      <c r="P326" s="3267" t="s">
        <v>2963</v>
      </c>
      <c r="Q326" s="3271">
        <v>410000</v>
      </c>
      <c r="R326" s="3288">
        <v>7718</v>
      </c>
      <c r="S326" s="3272">
        <v>34.549999999999997</v>
      </c>
      <c r="T326" s="3273">
        <v>345500</v>
      </c>
      <c r="U326" s="3267">
        <v>6505</v>
      </c>
      <c r="V326" s="3289">
        <v>0.2</v>
      </c>
      <c r="W326" s="3272">
        <v>27.64</v>
      </c>
      <c r="X326" s="3273">
        <v>276400</v>
      </c>
      <c r="Y326" s="3267">
        <v>2006</v>
      </c>
      <c r="Z326" s="3276">
        <v>8</v>
      </c>
      <c r="AA326" s="3276">
        <v>17</v>
      </c>
      <c r="AB326" s="3267">
        <v>1035</v>
      </c>
      <c r="AC326" s="3267" t="s">
        <v>3110</v>
      </c>
      <c r="AD326" s="3269"/>
      <c r="AE326" s="3279" t="s">
        <v>3344</v>
      </c>
      <c r="AF326" s="3268" t="s">
        <v>2966</v>
      </c>
      <c r="AG326" s="3267" t="s">
        <v>2967</v>
      </c>
      <c r="AH326" s="3267"/>
      <c r="AI326" s="3279" t="s">
        <v>2992</v>
      </c>
      <c r="AJ326" s="3284"/>
      <c r="AK326" s="3278">
        <v>8</v>
      </c>
      <c r="AL326" s="3276">
        <v>35</v>
      </c>
      <c r="AM326" s="3267"/>
      <c r="AN326" s="3279" t="s">
        <v>3114</v>
      </c>
      <c r="AO326" s="3267" t="s">
        <v>5438</v>
      </c>
      <c r="AP326" s="3279" t="s">
        <v>3305</v>
      </c>
      <c r="AQ326" s="3276" t="s">
        <v>3113</v>
      </c>
      <c r="AR326" s="3276"/>
      <c r="AS326" s="3276"/>
      <c r="AT326" s="3276"/>
      <c r="AU326" s="3276"/>
      <c r="AV326" s="3276"/>
      <c r="AW326" s="3276" t="s">
        <v>3119</v>
      </c>
      <c r="AX326" s="3276"/>
      <c r="AY326" s="3291"/>
      <c r="AZ326" s="3267" t="s">
        <v>5437</v>
      </c>
      <c r="BA326" s="3296"/>
      <c r="BB326" s="3297"/>
      <c r="BC326" s="3296"/>
      <c r="BD326" s="3298"/>
      <c r="BE326" s="3276">
        <v>13661378864</v>
      </c>
      <c r="BF326" s="3281"/>
      <c r="BG326" s="3293">
        <v>38944</v>
      </c>
      <c r="BH326" s="3354" t="s">
        <v>2998</v>
      </c>
      <c r="BI326" s="3314" t="s">
        <v>3305</v>
      </c>
      <c r="BJ326" s="3283"/>
      <c r="BK326" s="3283"/>
      <c r="BL326" s="3267" t="s">
        <v>3249</v>
      </c>
      <c r="BM326" s="3276" t="s">
        <v>2879</v>
      </c>
      <c r="BN326" s="3276" t="s">
        <v>2999</v>
      </c>
      <c r="BO326" s="3276" t="s">
        <v>3146</v>
      </c>
      <c r="BP326" s="3276"/>
      <c r="BQ326" s="3276" t="e">
        <v>#DIV/0!</v>
      </c>
      <c r="BR326" s="3276" t="e">
        <v>#DIV/0!</v>
      </c>
      <c r="BS326" s="3285"/>
      <c r="BT326" s="3285"/>
      <c r="BU326" s="3285"/>
      <c r="BV326" s="3347"/>
      <c r="BW326" s="3347"/>
      <c r="BX326" s="3347"/>
      <c r="BY326" s="3347"/>
      <c r="BZ326" s="3347"/>
      <c r="CA326" s="3347"/>
      <c r="CB326" s="3347"/>
      <c r="CC326" s="3347"/>
      <c r="CD326" s="3347"/>
      <c r="CE326" s="3347"/>
      <c r="CF326" s="3347"/>
      <c r="CG326" s="3347"/>
      <c r="CH326" s="3347"/>
      <c r="CI326" s="3347"/>
      <c r="CJ326" s="3347"/>
      <c r="CK326" s="3347"/>
      <c r="CL326" s="3347"/>
      <c r="CM326" s="3347"/>
      <c r="CN326" s="3347"/>
      <c r="CO326" s="3347"/>
      <c r="CP326" s="3347"/>
      <c r="CQ326" s="3347"/>
      <c r="CR326" s="3347"/>
      <c r="CS326" s="3347"/>
      <c r="CT326" s="3347"/>
      <c r="CU326" s="3347"/>
      <c r="CV326" s="3347"/>
      <c r="CW326" s="3347"/>
      <c r="CX326" s="3347"/>
      <c r="CY326" s="3347"/>
      <c r="CZ326" s="3347"/>
      <c r="DA326" s="3347"/>
      <c r="DB326" s="3347"/>
      <c r="DC326" s="3347"/>
      <c r="DD326" s="3347"/>
      <c r="DE326" s="3347"/>
      <c r="DF326" s="3347"/>
      <c r="DG326" s="3347"/>
      <c r="DH326" s="3347"/>
      <c r="DI326" s="3347"/>
      <c r="DJ326" s="3347"/>
      <c r="DK326" s="3347"/>
      <c r="DL326" s="3347"/>
      <c r="DM326" s="3347"/>
      <c r="DN326" s="3347"/>
      <c r="DO326" s="3347"/>
      <c r="DP326" s="3347"/>
      <c r="DQ326" s="3347"/>
      <c r="DR326" s="3347"/>
      <c r="DS326" s="3347"/>
      <c r="DT326" s="3347"/>
      <c r="DU326" s="3347"/>
      <c r="DV326" s="3347"/>
      <c r="DW326" s="3347"/>
      <c r="DX326" s="3347"/>
      <c r="DY326" s="3347"/>
      <c r="DZ326" s="3347"/>
      <c r="EA326" s="3347"/>
      <c r="EB326" s="3347"/>
      <c r="EC326" s="3347"/>
      <c r="ED326" s="3347"/>
      <c r="EE326" s="3347"/>
      <c r="EF326" s="3347"/>
      <c r="EG326" s="3347"/>
      <c r="EH326" s="3347"/>
      <c r="EI326" s="3347"/>
      <c r="EJ326" s="3347"/>
      <c r="EK326" s="3347"/>
      <c r="EL326" s="3347"/>
      <c r="EM326" s="3347"/>
      <c r="EN326" s="3347"/>
      <c r="EO326" s="3347"/>
      <c r="EP326" s="3347"/>
      <c r="EQ326" s="3347"/>
      <c r="ER326" s="3347"/>
      <c r="ES326" s="3347"/>
      <c r="ET326" s="3347"/>
      <c r="EU326" s="3347"/>
      <c r="EV326" s="3347"/>
      <c r="EW326" s="3347"/>
      <c r="EX326" s="3347"/>
      <c r="EY326" s="3347"/>
      <c r="EZ326" s="3347"/>
      <c r="FA326" s="3347"/>
      <c r="FB326" s="3347"/>
      <c r="FC326" s="3347"/>
      <c r="FD326" s="3347"/>
      <c r="FE326" s="3347"/>
      <c r="FF326" s="3347"/>
      <c r="FG326" s="3347"/>
      <c r="FH326" s="3347"/>
      <c r="FI326" s="3347"/>
      <c r="FJ326" s="3347"/>
      <c r="FK326" s="3347"/>
      <c r="FL326" s="3347"/>
      <c r="FM326" s="3347"/>
      <c r="FN326" s="3347"/>
      <c r="FO326" s="3347"/>
      <c r="FP326" s="3347"/>
      <c r="FQ326" s="3347"/>
      <c r="FR326" s="3347"/>
      <c r="FS326" s="3347"/>
      <c r="FT326" s="3347"/>
      <c r="FU326" s="3347"/>
      <c r="FV326" s="3347"/>
      <c r="FW326" s="3347"/>
      <c r="FX326" s="3347"/>
      <c r="FY326" s="3347"/>
      <c r="FZ326" s="3347"/>
      <c r="GA326" s="3347"/>
      <c r="GB326" s="3347"/>
      <c r="GC326" s="3347"/>
      <c r="GD326" s="3347"/>
      <c r="GE326" s="3347"/>
      <c r="GF326" s="3347"/>
      <c r="GG326" s="3347"/>
      <c r="GH326" s="3347"/>
      <c r="GI326" s="3347"/>
      <c r="GJ326" s="3347"/>
      <c r="GK326" s="3347"/>
      <c r="GL326" s="3347"/>
      <c r="GM326" s="3347"/>
      <c r="GN326" s="3347"/>
      <c r="GO326" s="3347"/>
      <c r="GP326" s="3347"/>
      <c r="GQ326" s="3347"/>
      <c r="GR326" s="3347"/>
      <c r="GS326" s="3347"/>
      <c r="GT326" s="3347"/>
      <c r="GU326" s="3347"/>
      <c r="GV326" s="3347"/>
      <c r="GW326" s="3347"/>
      <c r="GX326" s="3347"/>
      <c r="GY326" s="3347"/>
      <c r="GZ326" s="3347"/>
      <c r="HA326" s="3347"/>
      <c r="HB326" s="3347"/>
      <c r="HC326" s="3347"/>
      <c r="HD326" s="3347"/>
      <c r="HE326" s="3347"/>
      <c r="HF326" s="3347"/>
      <c r="HG326" s="3347"/>
      <c r="HH326" s="3347"/>
      <c r="HI326" s="3347"/>
      <c r="HJ326" s="3347"/>
      <c r="HK326" s="3347"/>
      <c r="HL326" s="3347"/>
      <c r="HM326" s="3347"/>
      <c r="HN326" s="3347"/>
      <c r="HO326" s="3347"/>
      <c r="HP326" s="3347"/>
      <c r="HQ326" s="3347"/>
      <c r="HR326" s="3347"/>
      <c r="HS326" s="3347"/>
      <c r="HT326" s="3347"/>
      <c r="HU326" s="3347"/>
      <c r="HV326" s="3347"/>
      <c r="HW326" s="3347"/>
      <c r="HX326" s="3347"/>
      <c r="HY326" s="3347"/>
      <c r="HZ326" s="3347"/>
      <c r="IA326" s="3347"/>
      <c r="IB326" s="3347"/>
      <c r="IC326" s="3347"/>
      <c r="ID326" s="3347"/>
      <c r="IE326" s="3347"/>
      <c r="IF326" s="3347"/>
      <c r="IG326" s="3347"/>
      <c r="IH326" s="3347"/>
      <c r="II326" s="3347"/>
    </row>
    <row r="327" spans="1:249" hidden="1">
      <c r="A327" s="3267" t="s">
        <v>5439</v>
      </c>
      <c r="B327" s="3267" t="s">
        <v>5440</v>
      </c>
      <c r="C327" s="3269" t="s">
        <v>5441</v>
      </c>
      <c r="D327" s="3269"/>
      <c r="E327" s="3267" t="s">
        <v>2985</v>
      </c>
      <c r="F327" s="3268" t="s">
        <v>4833</v>
      </c>
      <c r="G327" s="3267"/>
      <c r="H327" s="3267" t="s">
        <v>5442</v>
      </c>
      <c r="I327" s="3267"/>
      <c r="J327" s="3269" t="s">
        <v>5443</v>
      </c>
      <c r="K327" s="3267"/>
      <c r="L327" s="3267">
        <v>143.81</v>
      </c>
      <c r="M327" s="3267">
        <v>2</v>
      </c>
      <c r="N327" s="3267" t="s">
        <v>3129</v>
      </c>
      <c r="O327" s="3267"/>
      <c r="P327" s="3267" t="s">
        <v>2963</v>
      </c>
      <c r="Q327" s="3271">
        <v>910000</v>
      </c>
      <c r="R327" s="3267">
        <v>6328</v>
      </c>
      <c r="S327" s="3272">
        <v>78.180000000000007</v>
      </c>
      <c r="T327" s="3273">
        <v>781800.00000000012</v>
      </c>
      <c r="U327" s="3267">
        <v>5437</v>
      </c>
      <c r="V327" s="3289">
        <v>0.3</v>
      </c>
      <c r="W327" s="3272">
        <v>54.72</v>
      </c>
      <c r="X327" s="3275">
        <v>547200</v>
      </c>
      <c r="Y327" s="3267">
        <v>2006</v>
      </c>
      <c r="Z327" s="3276">
        <v>8</v>
      </c>
      <c r="AA327" s="3276">
        <v>16</v>
      </c>
      <c r="AB327" s="3267">
        <v>1500</v>
      </c>
      <c r="AC327" s="3267" t="s">
        <v>2980</v>
      </c>
      <c r="AD327" s="3267"/>
      <c r="AE327" s="3267" t="s">
        <v>3487</v>
      </c>
      <c r="AF327" s="3267" t="s">
        <v>2966</v>
      </c>
      <c r="AG327" s="3267" t="s">
        <v>2967</v>
      </c>
      <c r="AH327" s="3267" t="s">
        <v>2968</v>
      </c>
      <c r="AI327" s="3279" t="s">
        <v>2992</v>
      </c>
      <c r="AJ327" s="3284"/>
      <c r="AK327" s="3278">
        <v>8</v>
      </c>
      <c r="AL327" s="3276"/>
      <c r="AM327" s="3267"/>
      <c r="AN327" s="3279" t="s">
        <v>2994</v>
      </c>
      <c r="AO327" s="3276" t="s">
        <v>2968</v>
      </c>
      <c r="AP327" s="3276" t="s">
        <v>3487</v>
      </c>
      <c r="AQ327" s="3276" t="s">
        <v>3113</v>
      </c>
      <c r="AR327" s="3276"/>
      <c r="AS327" s="3276"/>
      <c r="AT327" s="3276"/>
      <c r="AU327" s="3276"/>
      <c r="AV327" s="3276" t="s">
        <v>2968</v>
      </c>
      <c r="AW327" s="3276" t="s">
        <v>3171</v>
      </c>
      <c r="AX327" s="3276"/>
      <c r="AY327" s="3291"/>
      <c r="AZ327" s="3267"/>
      <c r="BA327" s="3276"/>
      <c r="BB327" s="3291"/>
      <c r="BC327" s="3276"/>
      <c r="BD327" s="3292"/>
      <c r="BE327" s="3276"/>
      <c r="BF327" s="3281"/>
      <c r="BG327" s="3290">
        <v>38940</v>
      </c>
      <c r="BH327" s="3276"/>
      <c r="BI327" s="3267" t="s">
        <v>3487</v>
      </c>
      <c r="BJ327" s="3307"/>
      <c r="BK327" s="3283"/>
      <c r="BL327" s="3267" t="s">
        <v>2998</v>
      </c>
      <c r="BM327" s="3276"/>
      <c r="BN327" s="3276"/>
      <c r="BO327" s="3276"/>
      <c r="BP327" s="3276"/>
      <c r="BQ327" s="3276" t="e">
        <v>#DIV/0!</v>
      </c>
      <c r="BR327" s="3276" t="e">
        <v>#DIV/0!</v>
      </c>
      <c r="BS327" s="3285"/>
      <c r="BT327" s="3285"/>
      <c r="BU327" s="3285"/>
      <c r="BV327" s="3347"/>
      <c r="BW327" s="3347"/>
      <c r="BX327" s="3347"/>
      <c r="BY327" s="3347"/>
      <c r="BZ327" s="3347"/>
      <c r="CA327" s="3347"/>
      <c r="CB327" s="3347"/>
      <c r="CC327" s="3347"/>
      <c r="CD327" s="3347"/>
      <c r="CE327" s="3347"/>
      <c r="CF327" s="3347"/>
      <c r="CG327" s="3347"/>
      <c r="CH327" s="3347"/>
      <c r="CI327" s="3347"/>
      <c r="CJ327" s="3347"/>
      <c r="CK327" s="3347"/>
      <c r="CL327" s="3347"/>
      <c r="CM327" s="3347"/>
      <c r="CN327" s="3347"/>
      <c r="CO327" s="3347"/>
      <c r="CP327" s="3347"/>
      <c r="CQ327" s="3347"/>
      <c r="CR327" s="3347"/>
      <c r="CS327" s="3347"/>
      <c r="CT327" s="3347"/>
      <c r="CU327" s="3347"/>
      <c r="CV327" s="3347"/>
      <c r="CW327" s="3347"/>
      <c r="CX327" s="3347"/>
      <c r="CY327" s="3347"/>
      <c r="CZ327" s="3347"/>
      <c r="DA327" s="3347"/>
      <c r="DB327" s="3347"/>
      <c r="DC327" s="3347"/>
      <c r="DD327" s="3347"/>
      <c r="DE327" s="3347"/>
      <c r="DF327" s="3347"/>
      <c r="DG327" s="3347"/>
      <c r="DH327" s="3347"/>
      <c r="DI327" s="3347"/>
      <c r="DJ327" s="3347"/>
      <c r="DK327" s="3347"/>
      <c r="DL327" s="3347"/>
      <c r="DM327" s="3347"/>
      <c r="DN327" s="3347"/>
      <c r="DO327" s="3347"/>
      <c r="DP327" s="3347"/>
      <c r="DQ327" s="3347"/>
      <c r="DR327" s="3347"/>
      <c r="DS327" s="3347"/>
      <c r="DT327" s="3347"/>
      <c r="DU327" s="3347"/>
      <c r="DV327" s="3347"/>
      <c r="DW327" s="3347"/>
      <c r="DX327" s="3347"/>
      <c r="DY327" s="3347"/>
      <c r="DZ327" s="3347"/>
      <c r="EA327" s="3347"/>
      <c r="EB327" s="3347"/>
      <c r="EC327" s="3347"/>
      <c r="ED327" s="3347"/>
      <c r="EE327" s="3347"/>
      <c r="EF327" s="3347"/>
      <c r="EG327" s="3347"/>
      <c r="EH327" s="3347"/>
      <c r="EI327" s="3347"/>
      <c r="EJ327" s="3347"/>
      <c r="EK327" s="3347"/>
      <c r="EL327" s="3347"/>
      <c r="EM327" s="3347"/>
      <c r="EN327" s="3347"/>
      <c r="EO327" s="3347"/>
      <c r="EP327" s="3347"/>
      <c r="EQ327" s="3347"/>
      <c r="ER327" s="3347"/>
      <c r="ES327" s="3347"/>
      <c r="ET327" s="3347"/>
      <c r="EU327" s="3347"/>
      <c r="EV327" s="3347"/>
      <c r="EW327" s="3347"/>
      <c r="EX327" s="3347"/>
      <c r="EY327" s="3347"/>
      <c r="EZ327" s="3347"/>
      <c r="FA327" s="3347"/>
      <c r="FB327" s="3347"/>
      <c r="FC327" s="3347"/>
      <c r="FD327" s="3347"/>
      <c r="FE327" s="3347"/>
      <c r="FF327" s="3347"/>
      <c r="FG327" s="3347"/>
      <c r="FH327" s="3347"/>
      <c r="FI327" s="3347"/>
      <c r="FJ327" s="3347"/>
      <c r="FK327" s="3347"/>
      <c r="FL327" s="3347"/>
      <c r="FM327" s="3347"/>
      <c r="FN327" s="3347"/>
      <c r="FO327" s="3347"/>
      <c r="FP327" s="3347"/>
      <c r="FQ327" s="3347"/>
      <c r="FR327" s="3347"/>
      <c r="FS327" s="3347"/>
      <c r="FT327" s="3347"/>
      <c r="FU327" s="3347"/>
      <c r="FV327" s="3347"/>
      <c r="FW327" s="3347"/>
      <c r="FX327" s="3347"/>
      <c r="FY327" s="3347"/>
      <c r="FZ327" s="3347"/>
      <c r="GA327" s="3347"/>
      <c r="GB327" s="3347"/>
      <c r="GC327" s="3347"/>
      <c r="GD327" s="3347"/>
      <c r="GE327" s="3347"/>
      <c r="GF327" s="3347"/>
      <c r="GG327" s="3347"/>
      <c r="GH327" s="3347"/>
      <c r="GI327" s="3347"/>
      <c r="GJ327" s="3347"/>
      <c r="GK327" s="3347"/>
      <c r="GL327" s="3347"/>
      <c r="GM327" s="3347"/>
      <c r="GN327" s="3347"/>
      <c r="GO327" s="3347"/>
      <c r="GP327" s="3347"/>
      <c r="GQ327" s="3347"/>
      <c r="GR327" s="3347"/>
      <c r="GS327" s="3347"/>
      <c r="GT327" s="3347"/>
      <c r="GU327" s="3347"/>
      <c r="GV327" s="3347"/>
      <c r="GW327" s="3347"/>
      <c r="GX327" s="3347"/>
      <c r="GY327" s="3347"/>
      <c r="GZ327" s="3347"/>
      <c r="HA327" s="3347"/>
      <c r="HB327" s="3347"/>
      <c r="HC327" s="3347"/>
      <c r="HD327" s="3347"/>
      <c r="HE327" s="3347"/>
      <c r="HF327" s="3347"/>
      <c r="HG327" s="3347"/>
      <c r="HH327" s="3347"/>
      <c r="HI327" s="3347"/>
      <c r="HJ327" s="3347"/>
      <c r="HK327" s="3347"/>
      <c r="HL327" s="3347"/>
      <c r="HM327" s="3347"/>
      <c r="HN327" s="3347"/>
      <c r="HO327" s="3347"/>
      <c r="HP327" s="3347"/>
      <c r="HQ327" s="3347"/>
      <c r="HR327" s="3347"/>
      <c r="HS327" s="3347"/>
      <c r="HT327" s="3347"/>
      <c r="HU327" s="3347"/>
      <c r="HV327" s="3347"/>
      <c r="HW327" s="3347"/>
      <c r="HX327" s="3347"/>
      <c r="HY327" s="3347"/>
      <c r="HZ327" s="3347"/>
      <c r="IA327" s="3347"/>
      <c r="IB327" s="3347"/>
      <c r="IC327" s="3347"/>
      <c r="ID327" s="3347"/>
      <c r="IE327" s="3347"/>
      <c r="IF327" s="3347"/>
      <c r="IG327" s="3347"/>
      <c r="IH327" s="3347"/>
      <c r="II327" s="3347"/>
    </row>
    <row r="328" spans="1:249">
      <c r="A328" s="3267" t="s">
        <v>5444</v>
      </c>
      <c r="B328" s="3267" t="s">
        <v>5445</v>
      </c>
      <c r="C328" s="3269" t="s">
        <v>5446</v>
      </c>
      <c r="D328" s="3269" t="s">
        <v>5447</v>
      </c>
      <c r="E328" s="3268" t="s">
        <v>2985</v>
      </c>
      <c r="F328" s="3268" t="s">
        <v>5448</v>
      </c>
      <c r="G328" s="3267"/>
      <c r="H328" s="3267" t="s">
        <v>5449</v>
      </c>
      <c r="I328" s="3268"/>
      <c r="J328" s="3267" t="s">
        <v>5450</v>
      </c>
      <c r="K328" s="3267" t="s">
        <v>5451</v>
      </c>
      <c r="L328" s="3267">
        <v>100.07</v>
      </c>
      <c r="M328" s="3267" t="s">
        <v>4546</v>
      </c>
      <c r="N328" s="3267" t="s">
        <v>3122</v>
      </c>
      <c r="O328" s="3267">
        <v>78.08</v>
      </c>
      <c r="P328" s="3267" t="s">
        <v>2963</v>
      </c>
      <c r="Q328" s="3271">
        <v>540000</v>
      </c>
      <c r="R328" s="3267">
        <v>5396</v>
      </c>
      <c r="S328" s="3272">
        <v>62.9</v>
      </c>
      <c r="T328" s="3273">
        <v>629000</v>
      </c>
      <c r="U328" s="3267">
        <v>6286</v>
      </c>
      <c r="V328" s="3289">
        <v>0.3</v>
      </c>
      <c r="W328" s="3272">
        <v>44.03</v>
      </c>
      <c r="X328" s="3275">
        <v>440300</v>
      </c>
      <c r="Y328" s="3276">
        <v>2006</v>
      </c>
      <c r="Z328" s="3276">
        <v>9</v>
      </c>
      <c r="AA328" s="3276">
        <v>6</v>
      </c>
      <c r="AB328" s="3267">
        <v>1500</v>
      </c>
      <c r="AC328" s="3267" t="s">
        <v>2980</v>
      </c>
      <c r="AD328" s="3267" t="s">
        <v>5452</v>
      </c>
      <c r="AE328" s="3279" t="s">
        <v>3295</v>
      </c>
      <c r="AF328" s="3268" t="s">
        <v>2966</v>
      </c>
      <c r="AG328" s="3279" t="s">
        <v>2967</v>
      </c>
      <c r="AH328" s="3267" t="s">
        <v>5453</v>
      </c>
      <c r="AI328" s="3279" t="s">
        <v>2992</v>
      </c>
      <c r="AJ328" s="3284"/>
      <c r="AK328" s="3278">
        <v>9</v>
      </c>
      <c r="AL328" s="3276">
        <v>55</v>
      </c>
      <c r="AM328" s="3267"/>
      <c r="AN328" s="3279" t="s">
        <v>3140</v>
      </c>
      <c r="AO328" s="3267" t="s">
        <v>5454</v>
      </c>
      <c r="AP328" s="3279" t="s">
        <v>3305</v>
      </c>
      <c r="AQ328" s="3267" t="s">
        <v>3228</v>
      </c>
      <c r="AR328" s="3276"/>
      <c r="AS328" s="3276"/>
      <c r="AT328" s="3276"/>
      <c r="AU328" s="3276"/>
      <c r="AV328" s="3276"/>
      <c r="AW328" s="3276" t="s">
        <v>3112</v>
      </c>
      <c r="AX328" s="3276"/>
      <c r="AY328" s="3291"/>
      <c r="AZ328" s="3267" t="s">
        <v>5451</v>
      </c>
      <c r="BA328" s="3296"/>
      <c r="BB328" s="3297"/>
      <c r="BC328" s="3296"/>
      <c r="BD328" s="3298"/>
      <c r="BE328" s="3276"/>
      <c r="BF328" s="3281"/>
      <c r="BG328" s="3293">
        <v>38945</v>
      </c>
      <c r="BH328" s="3354" t="s">
        <v>2998</v>
      </c>
      <c r="BI328" s="3314" t="s">
        <v>3305</v>
      </c>
      <c r="BJ328" s="3283">
        <v>38945</v>
      </c>
      <c r="BK328" s="3283"/>
      <c r="BL328" s="3267" t="s">
        <v>3249</v>
      </c>
      <c r="BM328" s="3276" t="s">
        <v>2879</v>
      </c>
      <c r="BN328" s="3276" t="s">
        <v>2999</v>
      </c>
      <c r="BO328" s="3276" t="s">
        <v>3000</v>
      </c>
      <c r="BP328" s="3276"/>
      <c r="BQ328" s="3276">
        <v>8056</v>
      </c>
      <c r="BR328" s="3276">
        <v>6916</v>
      </c>
      <c r="BS328" s="3285"/>
      <c r="BT328" s="3285"/>
      <c r="BU328" s="3285"/>
      <c r="BV328" s="3347"/>
      <c r="BW328" s="3347"/>
      <c r="BX328" s="3347"/>
      <c r="BY328" s="3347"/>
      <c r="BZ328" s="3347"/>
      <c r="CA328" s="3347"/>
      <c r="CB328" s="3347"/>
      <c r="CC328" s="3347"/>
      <c r="CD328" s="3347"/>
      <c r="CE328" s="3347"/>
      <c r="CF328" s="3347"/>
      <c r="CG328" s="3347"/>
      <c r="CH328" s="3347"/>
      <c r="CI328" s="3347"/>
      <c r="CJ328" s="3347"/>
      <c r="CK328" s="3347"/>
      <c r="CL328" s="3347"/>
      <c r="CM328" s="3347"/>
      <c r="CN328" s="3347"/>
      <c r="CO328" s="3347"/>
      <c r="CP328" s="3347"/>
      <c r="CQ328" s="3347"/>
      <c r="CR328" s="3347"/>
      <c r="CS328" s="3347"/>
      <c r="CT328" s="3347"/>
      <c r="CU328" s="3347"/>
      <c r="CV328" s="3347"/>
      <c r="CW328" s="3347"/>
      <c r="CX328" s="3347"/>
      <c r="CY328" s="3347"/>
      <c r="CZ328" s="3347"/>
      <c r="DA328" s="3347"/>
      <c r="DB328" s="3347"/>
      <c r="DC328" s="3347"/>
      <c r="DD328" s="3347"/>
      <c r="DE328" s="3347"/>
      <c r="DF328" s="3347"/>
      <c r="DG328" s="3347"/>
      <c r="DH328" s="3347"/>
      <c r="DI328" s="3347"/>
      <c r="DJ328" s="3347"/>
      <c r="DK328" s="3347"/>
      <c r="DL328" s="3347"/>
      <c r="DM328" s="3347"/>
      <c r="DN328" s="3347"/>
      <c r="DO328" s="3347"/>
      <c r="DP328" s="3347"/>
      <c r="DQ328" s="3347"/>
      <c r="DR328" s="3347"/>
      <c r="DS328" s="3347"/>
      <c r="DT328" s="3347"/>
      <c r="DU328" s="3347"/>
      <c r="DV328" s="3347"/>
      <c r="DW328" s="3347"/>
      <c r="DX328" s="3347"/>
      <c r="DY328" s="3347"/>
      <c r="DZ328" s="3347"/>
      <c r="EA328" s="3347"/>
      <c r="EB328" s="3347"/>
      <c r="EC328" s="3347"/>
      <c r="ED328" s="3347"/>
      <c r="EE328" s="3347"/>
      <c r="EF328" s="3347"/>
      <c r="EG328" s="3347"/>
      <c r="EH328" s="3347"/>
      <c r="EI328" s="3347"/>
      <c r="EJ328" s="3347"/>
      <c r="EK328" s="3347"/>
      <c r="EL328" s="3347"/>
      <c r="EM328" s="3347"/>
      <c r="EN328" s="3347"/>
      <c r="EO328" s="3347"/>
      <c r="EP328" s="3347"/>
      <c r="EQ328" s="3347"/>
      <c r="ER328" s="3347"/>
      <c r="ES328" s="3347"/>
      <c r="ET328" s="3347"/>
      <c r="EU328" s="3347"/>
      <c r="EV328" s="3347"/>
      <c r="EW328" s="3347"/>
      <c r="EX328" s="3347"/>
      <c r="EY328" s="3347"/>
      <c r="EZ328" s="3347"/>
      <c r="FA328" s="3347"/>
      <c r="FB328" s="3347"/>
      <c r="FC328" s="3347"/>
      <c r="FD328" s="3347"/>
      <c r="FE328" s="3347"/>
      <c r="FF328" s="3347"/>
      <c r="FG328" s="3347"/>
      <c r="FH328" s="3347"/>
      <c r="FI328" s="3347"/>
      <c r="FJ328" s="3347"/>
      <c r="FK328" s="3347"/>
      <c r="FL328" s="3347"/>
      <c r="FM328" s="3347"/>
      <c r="FN328" s="3347"/>
      <c r="FO328" s="3347"/>
      <c r="FP328" s="3347"/>
      <c r="FQ328" s="3347"/>
      <c r="FR328" s="3347"/>
      <c r="FS328" s="3347"/>
      <c r="FT328" s="3347"/>
      <c r="FU328" s="3347"/>
      <c r="FV328" s="3347"/>
      <c r="FW328" s="3347"/>
      <c r="FX328" s="3347"/>
      <c r="FY328" s="3347"/>
      <c r="FZ328" s="3347"/>
      <c r="GA328" s="3347"/>
      <c r="GB328" s="3347"/>
      <c r="GC328" s="3347"/>
      <c r="GD328" s="3347"/>
      <c r="GE328" s="3347"/>
      <c r="GF328" s="3347"/>
      <c r="GG328" s="3347"/>
      <c r="GH328" s="3347"/>
      <c r="GI328" s="3347"/>
      <c r="GJ328" s="3347"/>
      <c r="GK328" s="3347"/>
      <c r="GL328" s="3347"/>
      <c r="GM328" s="3347"/>
      <c r="GN328" s="3347"/>
      <c r="GO328" s="3347"/>
      <c r="GP328" s="3347"/>
      <c r="GQ328" s="3347"/>
      <c r="GR328" s="3347"/>
      <c r="GS328" s="3347"/>
      <c r="GT328" s="3347"/>
      <c r="GU328" s="3347"/>
      <c r="GV328" s="3347"/>
      <c r="GW328" s="3347"/>
      <c r="GX328" s="3347"/>
      <c r="GY328" s="3347"/>
      <c r="GZ328" s="3347"/>
      <c r="HA328" s="3347"/>
      <c r="HB328" s="3347"/>
      <c r="HC328" s="3347"/>
      <c r="HD328" s="3347"/>
      <c r="HE328" s="3347"/>
      <c r="HF328" s="3347"/>
      <c r="HG328" s="3347"/>
      <c r="HH328" s="3347"/>
      <c r="HI328" s="3347"/>
      <c r="HJ328" s="3347"/>
      <c r="HK328" s="3347"/>
      <c r="HL328" s="3347"/>
      <c r="HM328" s="3347"/>
      <c r="HN328" s="3347"/>
      <c r="HO328" s="3347"/>
      <c r="HP328" s="3347"/>
      <c r="HQ328" s="3347"/>
      <c r="HR328" s="3347"/>
      <c r="HS328" s="3347"/>
      <c r="HT328" s="3347"/>
      <c r="HU328" s="3347"/>
      <c r="HV328" s="3347"/>
      <c r="HW328" s="3347"/>
      <c r="HX328" s="3347"/>
      <c r="HY328" s="3347"/>
      <c r="HZ328" s="3347"/>
      <c r="IA328" s="3347"/>
      <c r="IB328" s="3347"/>
      <c r="IC328" s="3347"/>
      <c r="ID328" s="3347"/>
      <c r="IE328" s="3347"/>
      <c r="IF328" s="3347"/>
      <c r="IG328" s="3347"/>
      <c r="IH328" s="3347"/>
      <c r="II328" s="3347"/>
    </row>
    <row r="329" spans="1:249" hidden="1">
      <c r="A329" s="3267" t="s">
        <v>5455</v>
      </c>
      <c r="B329" s="3267" t="s">
        <v>5456</v>
      </c>
      <c r="C329" s="3269" t="s">
        <v>5457</v>
      </c>
      <c r="D329" s="3269" t="s">
        <v>5458</v>
      </c>
      <c r="E329" s="3268" t="s">
        <v>2985</v>
      </c>
      <c r="F329" s="3268" t="s">
        <v>3940</v>
      </c>
      <c r="G329" s="3267"/>
      <c r="H329" s="3267" t="s">
        <v>4477</v>
      </c>
      <c r="I329" s="3268"/>
      <c r="J329" s="3267" t="s">
        <v>5459</v>
      </c>
      <c r="K329" s="3267"/>
      <c r="L329" s="3267">
        <v>57</v>
      </c>
      <c r="M329" s="3267">
        <v>7</v>
      </c>
      <c r="N329" s="3267" t="s">
        <v>3122</v>
      </c>
      <c r="O329" s="3267" t="s">
        <v>2968</v>
      </c>
      <c r="P329" s="3267" t="s">
        <v>2963</v>
      </c>
      <c r="Q329" s="3271">
        <v>345000</v>
      </c>
      <c r="R329" s="3267">
        <v>6053</v>
      </c>
      <c r="S329" s="3272">
        <v>31.35</v>
      </c>
      <c r="T329" s="3273">
        <v>313500</v>
      </c>
      <c r="U329" s="3267">
        <v>5500</v>
      </c>
      <c r="V329" s="3289">
        <v>0.2</v>
      </c>
      <c r="W329" s="3272">
        <v>25.08</v>
      </c>
      <c r="X329" s="3275">
        <v>250800</v>
      </c>
      <c r="Y329" s="3276">
        <v>2006</v>
      </c>
      <c r="Z329" s="3276">
        <v>9</v>
      </c>
      <c r="AA329" s="3276">
        <v>8</v>
      </c>
      <c r="AB329" s="3267">
        <v>940</v>
      </c>
      <c r="AC329" s="3267" t="s">
        <v>2980</v>
      </c>
      <c r="AD329" s="3280" t="s">
        <v>5460</v>
      </c>
      <c r="AE329" s="3279" t="s">
        <v>3245</v>
      </c>
      <c r="AF329" s="3268" t="s">
        <v>2966</v>
      </c>
      <c r="AG329" s="3279" t="s">
        <v>2967</v>
      </c>
      <c r="AH329" s="3267"/>
      <c r="AI329" s="3279" t="s">
        <v>2992</v>
      </c>
      <c r="AJ329" s="3284"/>
      <c r="AK329" s="3278">
        <v>9</v>
      </c>
      <c r="AL329" s="3276">
        <v>41</v>
      </c>
      <c r="AM329" s="3267" t="s">
        <v>5461</v>
      </c>
      <c r="AN329" s="3279" t="s">
        <v>3140</v>
      </c>
      <c r="AO329" s="3267" t="s">
        <v>5462</v>
      </c>
      <c r="AP329" s="3279" t="s">
        <v>4395</v>
      </c>
      <c r="AQ329" s="3267" t="s">
        <v>3228</v>
      </c>
      <c r="AR329" s="3276"/>
      <c r="AS329" s="3276"/>
      <c r="AT329" s="3276"/>
      <c r="AU329" s="3276"/>
      <c r="AV329" s="3276"/>
      <c r="AW329" s="3276" t="s">
        <v>2997</v>
      </c>
      <c r="AX329" s="3276"/>
      <c r="AY329" s="3291"/>
      <c r="AZ329" s="3267" t="s">
        <v>5463</v>
      </c>
      <c r="BA329" s="3296"/>
      <c r="BB329" s="3297"/>
      <c r="BC329" s="3296"/>
      <c r="BD329" s="3298"/>
      <c r="BE329" s="3276"/>
      <c r="BF329" s="3281"/>
      <c r="BG329" s="3293">
        <v>38940</v>
      </c>
      <c r="BH329" s="3267" t="s">
        <v>2998</v>
      </c>
      <c r="BI329" s="3314" t="s">
        <v>4395</v>
      </c>
      <c r="BJ329" s="3283">
        <v>38953</v>
      </c>
      <c r="BK329" s="3283"/>
      <c r="BL329" s="3267" t="s">
        <v>3249</v>
      </c>
      <c r="BM329" s="3276"/>
      <c r="BN329" s="3276"/>
      <c r="BO329" s="3276"/>
      <c r="BP329" s="3276"/>
      <c r="BQ329" s="3276" t="e">
        <v>#VALUE!</v>
      </c>
      <c r="BR329" s="3276" t="e">
        <v>#VALUE!</v>
      </c>
      <c r="BS329" s="3285"/>
      <c r="BT329" s="3285"/>
      <c r="BU329" s="3285"/>
      <c r="BV329" s="3347"/>
      <c r="BW329" s="3347"/>
      <c r="BX329" s="3347"/>
      <c r="BY329" s="3347"/>
      <c r="BZ329" s="3347"/>
      <c r="CA329" s="3347"/>
      <c r="CB329" s="3347"/>
      <c r="CC329" s="3347"/>
      <c r="CD329" s="3347"/>
      <c r="CE329" s="3347"/>
      <c r="CF329" s="3347"/>
      <c r="CG329" s="3347"/>
      <c r="CH329" s="3347"/>
      <c r="CI329" s="3347"/>
      <c r="CJ329" s="3347"/>
      <c r="CK329" s="3347"/>
      <c r="CL329" s="3347"/>
      <c r="CM329" s="3347"/>
      <c r="CN329" s="3347"/>
      <c r="CO329" s="3347"/>
      <c r="CP329" s="3347"/>
      <c r="CQ329" s="3347"/>
      <c r="CR329" s="3347"/>
      <c r="CS329" s="3347"/>
      <c r="CT329" s="3347"/>
      <c r="CU329" s="3347"/>
      <c r="CV329" s="3347"/>
      <c r="CW329" s="3347"/>
      <c r="CX329" s="3347"/>
      <c r="CY329" s="3347"/>
      <c r="CZ329" s="3347"/>
      <c r="DA329" s="3347"/>
      <c r="DB329" s="3347"/>
      <c r="DC329" s="3347"/>
      <c r="DD329" s="3347"/>
      <c r="DE329" s="3347"/>
      <c r="DF329" s="3347"/>
      <c r="DG329" s="3347"/>
      <c r="DH329" s="3347"/>
      <c r="DI329" s="3347"/>
      <c r="DJ329" s="3347"/>
      <c r="DK329" s="3347"/>
      <c r="DL329" s="3347"/>
      <c r="DM329" s="3347"/>
      <c r="DN329" s="3347"/>
      <c r="DO329" s="3347"/>
      <c r="DP329" s="3347"/>
      <c r="DQ329" s="3347"/>
      <c r="DR329" s="3347"/>
      <c r="DS329" s="3347"/>
      <c r="DT329" s="3347"/>
      <c r="DU329" s="3347"/>
      <c r="DV329" s="3347"/>
      <c r="DW329" s="3347"/>
      <c r="DX329" s="3347"/>
      <c r="DY329" s="3347"/>
      <c r="DZ329" s="3347"/>
      <c r="EA329" s="3347"/>
      <c r="EB329" s="3347"/>
      <c r="EC329" s="3347"/>
      <c r="ED329" s="3347"/>
      <c r="EE329" s="3347"/>
      <c r="EF329" s="3347"/>
      <c r="EG329" s="3347"/>
      <c r="EH329" s="3347"/>
      <c r="EI329" s="3347"/>
      <c r="EJ329" s="3347"/>
      <c r="EK329" s="3347"/>
      <c r="EL329" s="3347"/>
      <c r="EM329" s="3347"/>
      <c r="EN329" s="3347"/>
      <c r="EO329" s="3347"/>
      <c r="EP329" s="3347"/>
      <c r="EQ329" s="3347"/>
      <c r="ER329" s="3347"/>
      <c r="ES329" s="3347"/>
      <c r="ET329" s="3347"/>
      <c r="EU329" s="3347"/>
      <c r="EV329" s="3347"/>
      <c r="EW329" s="3347"/>
      <c r="EX329" s="3347"/>
      <c r="EY329" s="3347"/>
      <c r="EZ329" s="3347"/>
      <c r="FA329" s="3347"/>
      <c r="FB329" s="3347"/>
      <c r="FC329" s="3347"/>
      <c r="FD329" s="3347"/>
      <c r="FE329" s="3347"/>
      <c r="FF329" s="3347"/>
      <c r="FG329" s="3347"/>
      <c r="FH329" s="3347"/>
      <c r="FI329" s="3347"/>
      <c r="FJ329" s="3347"/>
      <c r="FK329" s="3347"/>
      <c r="FL329" s="3347"/>
      <c r="FM329" s="3347"/>
      <c r="FN329" s="3347"/>
      <c r="FO329" s="3347"/>
      <c r="FP329" s="3347"/>
      <c r="FQ329" s="3347"/>
      <c r="FR329" s="3347"/>
      <c r="FS329" s="3347"/>
      <c r="FT329" s="3347"/>
      <c r="FU329" s="3347"/>
      <c r="FV329" s="3347"/>
      <c r="FW329" s="3347"/>
      <c r="FX329" s="3347"/>
      <c r="FY329" s="3347"/>
      <c r="FZ329" s="3347"/>
      <c r="GA329" s="3347"/>
      <c r="GB329" s="3347"/>
      <c r="GC329" s="3347"/>
      <c r="GD329" s="3347"/>
      <c r="GE329" s="3347"/>
      <c r="GF329" s="3347"/>
      <c r="GG329" s="3347"/>
      <c r="GH329" s="3347"/>
      <c r="GI329" s="3347"/>
      <c r="GJ329" s="3347"/>
      <c r="GK329" s="3347"/>
      <c r="GL329" s="3347"/>
      <c r="GM329" s="3347"/>
      <c r="GN329" s="3347"/>
      <c r="GO329" s="3347"/>
      <c r="GP329" s="3347"/>
      <c r="GQ329" s="3347"/>
      <c r="GR329" s="3347"/>
      <c r="GS329" s="3347"/>
      <c r="GT329" s="3347"/>
      <c r="GU329" s="3347"/>
      <c r="GV329" s="3347"/>
      <c r="GW329" s="3347"/>
      <c r="GX329" s="3347"/>
      <c r="GY329" s="3347"/>
      <c r="GZ329" s="3347"/>
      <c r="HA329" s="3347"/>
      <c r="HB329" s="3347"/>
      <c r="HC329" s="3347"/>
      <c r="HD329" s="3347"/>
      <c r="HE329" s="3347"/>
      <c r="HF329" s="3347"/>
      <c r="HG329" s="3347"/>
      <c r="HH329" s="3347"/>
      <c r="HI329" s="3347"/>
      <c r="HJ329" s="3347"/>
      <c r="HK329" s="3347"/>
      <c r="HL329" s="3347"/>
      <c r="HM329" s="3347"/>
      <c r="HN329" s="3347"/>
      <c r="HO329" s="3347"/>
      <c r="HP329" s="3347"/>
      <c r="HQ329" s="3347"/>
      <c r="HR329" s="3347"/>
      <c r="HS329" s="3347"/>
      <c r="HT329" s="3347"/>
      <c r="HU329" s="3347"/>
      <c r="HV329" s="3347"/>
      <c r="HW329" s="3347"/>
      <c r="HX329" s="3347"/>
      <c r="HY329" s="3347"/>
      <c r="HZ329" s="3347"/>
      <c r="IA329" s="3347"/>
      <c r="IB329" s="3347"/>
      <c r="IC329" s="3347"/>
      <c r="ID329" s="3347"/>
      <c r="IE329" s="3347"/>
      <c r="IF329" s="3347"/>
      <c r="IG329" s="3347"/>
      <c r="IH329" s="3347"/>
      <c r="II329" s="3347"/>
    </row>
    <row r="330" spans="1:249" hidden="1">
      <c r="A330" s="3267" t="s">
        <v>5464</v>
      </c>
      <c r="B330" s="3267" t="s">
        <v>5465</v>
      </c>
      <c r="C330" s="3269" t="s">
        <v>5466</v>
      </c>
      <c r="D330" s="3269" t="s">
        <v>5467</v>
      </c>
      <c r="E330" s="3268" t="s">
        <v>2985</v>
      </c>
      <c r="F330" s="3268" t="s">
        <v>5468</v>
      </c>
      <c r="G330" s="3267"/>
      <c r="H330" s="3267" t="s">
        <v>3139</v>
      </c>
      <c r="I330" s="3268"/>
      <c r="J330" s="3267" t="s">
        <v>5469</v>
      </c>
      <c r="K330" s="3267" t="s">
        <v>5470</v>
      </c>
      <c r="L330" s="3267">
        <v>106.18</v>
      </c>
      <c r="M330" s="3269" t="s">
        <v>5471</v>
      </c>
      <c r="N330" s="3267" t="s">
        <v>3395</v>
      </c>
      <c r="O330" s="3267">
        <v>84.03</v>
      </c>
      <c r="P330" s="3267" t="s">
        <v>3495</v>
      </c>
      <c r="Q330" s="3271">
        <v>780000</v>
      </c>
      <c r="R330" s="3288">
        <v>7346</v>
      </c>
      <c r="S330" s="3272">
        <v>69.12</v>
      </c>
      <c r="T330" s="3273">
        <v>691200</v>
      </c>
      <c r="U330" s="3267">
        <v>6510</v>
      </c>
      <c r="V330" s="3289">
        <v>0.3</v>
      </c>
      <c r="W330" s="3272">
        <v>48.38</v>
      </c>
      <c r="X330" s="3273">
        <v>483800</v>
      </c>
      <c r="Y330" s="3267">
        <v>2006</v>
      </c>
      <c r="Z330" s="3276">
        <v>8</v>
      </c>
      <c r="AA330" s="3276">
        <v>23</v>
      </c>
      <c r="AB330" s="3267">
        <v>1500</v>
      </c>
      <c r="AC330" s="3267" t="s">
        <v>3110</v>
      </c>
      <c r="AD330" s="3269"/>
      <c r="AE330" s="3279" t="s">
        <v>3245</v>
      </c>
      <c r="AF330" s="3268" t="s">
        <v>2966</v>
      </c>
      <c r="AG330" s="3267" t="s">
        <v>2967</v>
      </c>
      <c r="AH330" s="3267"/>
      <c r="AI330" s="3279" t="s">
        <v>2992</v>
      </c>
      <c r="AJ330" s="3284"/>
      <c r="AK330" s="3278">
        <v>8</v>
      </c>
      <c r="AL330" s="3276">
        <v>57</v>
      </c>
      <c r="AM330" s="3267"/>
      <c r="AN330" s="3279" t="s">
        <v>2994</v>
      </c>
      <c r="AO330" s="3267"/>
      <c r="AP330" s="3279" t="s">
        <v>3305</v>
      </c>
      <c r="AQ330" s="3276" t="s">
        <v>3113</v>
      </c>
      <c r="AR330" s="3276"/>
      <c r="AS330" s="3276"/>
      <c r="AT330" s="3276"/>
      <c r="AU330" s="3276"/>
      <c r="AV330" s="3276" t="s">
        <v>2968</v>
      </c>
      <c r="AW330" s="3276" t="s">
        <v>3119</v>
      </c>
      <c r="AX330" s="3276" t="s">
        <v>2968</v>
      </c>
      <c r="AY330" s="3291"/>
      <c r="AZ330" s="3267" t="s">
        <v>5470</v>
      </c>
      <c r="BA330" s="3296"/>
      <c r="BB330" s="3297"/>
      <c r="BC330" s="3296"/>
      <c r="BD330" s="3298"/>
      <c r="BE330" s="3276"/>
      <c r="BF330" s="3281"/>
      <c r="BG330" s="3293">
        <v>38949</v>
      </c>
      <c r="BH330" s="3354" t="s">
        <v>2998</v>
      </c>
      <c r="BI330" s="3314" t="s">
        <v>3305</v>
      </c>
      <c r="BJ330" s="3283"/>
      <c r="BK330" s="3283"/>
      <c r="BL330" s="3267" t="s">
        <v>3249</v>
      </c>
      <c r="BM330" s="3276" t="s">
        <v>2879</v>
      </c>
      <c r="BN330" s="3276" t="s">
        <v>2999</v>
      </c>
      <c r="BO330" s="3276" t="s">
        <v>3000</v>
      </c>
      <c r="BP330" s="3276"/>
      <c r="BQ330" s="3276">
        <v>8226</v>
      </c>
      <c r="BR330" s="3276">
        <v>9282</v>
      </c>
      <c r="BS330" s="3285"/>
      <c r="BT330" s="3285"/>
      <c r="BU330" s="3285"/>
      <c r="BV330" s="3347"/>
      <c r="BW330" s="3347"/>
      <c r="BX330" s="3347"/>
      <c r="BY330" s="3347"/>
      <c r="BZ330" s="3347"/>
      <c r="CA330" s="3347"/>
      <c r="CB330" s="3347"/>
      <c r="CC330" s="3347"/>
      <c r="CD330" s="3347"/>
      <c r="CE330" s="3347"/>
      <c r="CF330" s="3347"/>
      <c r="CG330" s="3347"/>
      <c r="CH330" s="3347"/>
      <c r="CI330" s="3347"/>
      <c r="CJ330" s="3347"/>
      <c r="CK330" s="3347"/>
      <c r="CL330" s="3347"/>
      <c r="CM330" s="3347"/>
      <c r="CN330" s="3347"/>
      <c r="CO330" s="3347"/>
      <c r="CP330" s="3347"/>
      <c r="CQ330" s="3347"/>
      <c r="CR330" s="3347"/>
      <c r="CS330" s="3347"/>
      <c r="CT330" s="3347"/>
      <c r="CU330" s="3347"/>
      <c r="CV330" s="3347"/>
      <c r="CW330" s="3347"/>
      <c r="CX330" s="3347"/>
      <c r="CY330" s="3347"/>
      <c r="CZ330" s="3347"/>
      <c r="DA330" s="3347"/>
      <c r="DB330" s="3347"/>
      <c r="DC330" s="3347"/>
      <c r="DD330" s="3347"/>
      <c r="DE330" s="3347"/>
      <c r="DF330" s="3347"/>
      <c r="DG330" s="3347"/>
      <c r="DH330" s="3347"/>
      <c r="DI330" s="3347"/>
      <c r="DJ330" s="3347"/>
      <c r="DK330" s="3347"/>
      <c r="DL330" s="3347"/>
      <c r="DM330" s="3347"/>
      <c r="DN330" s="3347"/>
      <c r="DO330" s="3347"/>
      <c r="DP330" s="3347"/>
      <c r="DQ330" s="3347"/>
      <c r="DR330" s="3347"/>
      <c r="DS330" s="3347"/>
      <c r="DT330" s="3347"/>
      <c r="DU330" s="3347"/>
      <c r="DV330" s="3347"/>
      <c r="DW330" s="3347"/>
      <c r="DX330" s="3347"/>
      <c r="DY330" s="3347"/>
      <c r="DZ330" s="3347"/>
      <c r="EA330" s="3347"/>
      <c r="EB330" s="3347"/>
      <c r="EC330" s="3347"/>
      <c r="ED330" s="3347"/>
      <c r="EE330" s="3347"/>
      <c r="EF330" s="3347"/>
      <c r="EG330" s="3347"/>
      <c r="EH330" s="3347"/>
      <c r="EI330" s="3347"/>
      <c r="EJ330" s="3347"/>
      <c r="EK330" s="3347"/>
      <c r="EL330" s="3347"/>
      <c r="EM330" s="3347"/>
      <c r="EN330" s="3347"/>
      <c r="EO330" s="3347"/>
      <c r="EP330" s="3347"/>
      <c r="EQ330" s="3347"/>
      <c r="ER330" s="3347"/>
      <c r="ES330" s="3347"/>
      <c r="ET330" s="3347"/>
      <c r="EU330" s="3347"/>
      <c r="EV330" s="3347"/>
      <c r="EW330" s="3347"/>
      <c r="EX330" s="3347"/>
      <c r="EY330" s="3347"/>
      <c r="EZ330" s="3347"/>
      <c r="FA330" s="3347"/>
      <c r="FB330" s="3347"/>
      <c r="FC330" s="3347"/>
      <c r="FD330" s="3347"/>
      <c r="FE330" s="3347"/>
      <c r="FF330" s="3347"/>
      <c r="FG330" s="3347"/>
      <c r="FH330" s="3347"/>
      <c r="FI330" s="3347"/>
      <c r="FJ330" s="3347"/>
      <c r="FK330" s="3347"/>
      <c r="FL330" s="3347"/>
      <c r="FM330" s="3347"/>
      <c r="FN330" s="3347"/>
      <c r="FO330" s="3347"/>
      <c r="FP330" s="3347"/>
      <c r="FQ330" s="3347"/>
      <c r="FR330" s="3347"/>
      <c r="FS330" s="3347"/>
      <c r="FT330" s="3347"/>
      <c r="FU330" s="3347"/>
      <c r="FV330" s="3347"/>
      <c r="FW330" s="3347"/>
      <c r="FX330" s="3347"/>
      <c r="FY330" s="3347"/>
      <c r="FZ330" s="3347"/>
      <c r="GA330" s="3347"/>
      <c r="GB330" s="3347"/>
      <c r="GC330" s="3347"/>
      <c r="GD330" s="3347"/>
      <c r="GE330" s="3347"/>
      <c r="GF330" s="3347"/>
      <c r="GG330" s="3347"/>
      <c r="GH330" s="3347"/>
      <c r="GI330" s="3347"/>
      <c r="GJ330" s="3347"/>
      <c r="GK330" s="3347"/>
      <c r="GL330" s="3347"/>
      <c r="GM330" s="3347"/>
      <c r="GN330" s="3347"/>
      <c r="GO330" s="3347"/>
      <c r="GP330" s="3347"/>
      <c r="GQ330" s="3347"/>
      <c r="GR330" s="3347"/>
      <c r="GS330" s="3347"/>
      <c r="GT330" s="3347"/>
      <c r="GU330" s="3347"/>
      <c r="GV330" s="3347"/>
      <c r="GW330" s="3347"/>
      <c r="GX330" s="3347"/>
      <c r="GY330" s="3347"/>
      <c r="GZ330" s="3347"/>
      <c r="HA330" s="3347"/>
      <c r="HB330" s="3347"/>
      <c r="HC330" s="3347"/>
      <c r="HD330" s="3347"/>
      <c r="HE330" s="3347"/>
      <c r="HF330" s="3347"/>
      <c r="HG330" s="3347"/>
      <c r="HH330" s="3347"/>
      <c r="HI330" s="3347"/>
      <c r="HJ330" s="3347"/>
      <c r="HK330" s="3347"/>
      <c r="HL330" s="3347"/>
      <c r="HM330" s="3347"/>
      <c r="HN330" s="3347"/>
      <c r="HO330" s="3347"/>
      <c r="HP330" s="3347"/>
      <c r="HQ330" s="3347"/>
      <c r="HR330" s="3347"/>
      <c r="HS330" s="3347"/>
      <c r="HT330" s="3347"/>
      <c r="HU330" s="3347"/>
      <c r="HV330" s="3347"/>
      <c r="HW330" s="3347"/>
      <c r="HX330" s="3347"/>
      <c r="HY330" s="3347"/>
      <c r="HZ330" s="3347"/>
      <c r="IA330" s="3347"/>
      <c r="IB330" s="3347"/>
      <c r="IC330" s="3347"/>
      <c r="ID330" s="3347"/>
      <c r="IE330" s="3347"/>
      <c r="IF330" s="3347"/>
      <c r="IG330" s="3347"/>
      <c r="IH330" s="3347"/>
      <c r="II330" s="3347"/>
    </row>
    <row r="331" spans="1:249" hidden="1">
      <c r="A331" s="3267" t="s">
        <v>5472</v>
      </c>
      <c r="B331" s="3267" t="s">
        <v>5473</v>
      </c>
      <c r="C331" s="3269" t="s">
        <v>5474</v>
      </c>
      <c r="D331" s="3268">
        <v>13911753868</v>
      </c>
      <c r="E331" s="3267" t="s">
        <v>2985</v>
      </c>
      <c r="F331" s="3267" t="s">
        <v>3385</v>
      </c>
      <c r="G331" s="3267"/>
      <c r="H331" s="3270" t="s">
        <v>3225</v>
      </c>
      <c r="I331" s="3268"/>
      <c r="J331" s="3270" t="s">
        <v>5475</v>
      </c>
      <c r="K331" s="3267" t="s">
        <v>5081</v>
      </c>
      <c r="L331" s="3286">
        <v>63.92</v>
      </c>
      <c r="M331" s="3270">
        <v>7</v>
      </c>
      <c r="N331" s="3267" t="s">
        <v>3152</v>
      </c>
      <c r="O331" s="3267"/>
      <c r="P331" s="3267" t="s">
        <v>2963</v>
      </c>
      <c r="Q331" s="3287">
        <v>480000</v>
      </c>
      <c r="R331" s="3267">
        <v>7509</v>
      </c>
      <c r="S331" s="3272">
        <v>48.61</v>
      </c>
      <c r="T331" s="3273">
        <v>486100</v>
      </c>
      <c r="U331" s="3287">
        <v>7605</v>
      </c>
      <c r="V331" s="3274">
        <v>0.2</v>
      </c>
      <c r="W331" s="3272">
        <v>38.880000000000003</v>
      </c>
      <c r="X331" s="3275">
        <v>388800</v>
      </c>
      <c r="Y331" s="3267">
        <v>2006</v>
      </c>
      <c r="Z331" s="3267">
        <v>9</v>
      </c>
      <c r="AA331" s="3267">
        <v>1</v>
      </c>
      <c r="AB331" s="3267">
        <v>1455</v>
      </c>
      <c r="AC331" s="3267" t="s">
        <v>2980</v>
      </c>
      <c r="AD331" s="3269" t="s">
        <v>5476</v>
      </c>
      <c r="AE331" s="3267" t="s">
        <v>2991</v>
      </c>
      <c r="AF331" s="3267" t="s">
        <v>2966</v>
      </c>
      <c r="AG331" s="3267" t="s">
        <v>2967</v>
      </c>
      <c r="AH331" s="3267"/>
      <c r="AI331" s="3267" t="s">
        <v>2992</v>
      </c>
      <c r="AJ331" s="3290"/>
      <c r="AK331" s="3267" t="s">
        <v>3154</v>
      </c>
      <c r="AL331" s="3267">
        <v>57</v>
      </c>
      <c r="AM331" s="3267"/>
      <c r="AN331" s="3267" t="s">
        <v>3131</v>
      </c>
      <c r="AO331" s="3267" t="s">
        <v>5477</v>
      </c>
      <c r="AP331" s="3267" t="s">
        <v>2991</v>
      </c>
      <c r="AQ331" s="3267" t="s">
        <v>3228</v>
      </c>
      <c r="AR331" s="3276">
        <v>2006</v>
      </c>
      <c r="AS331" s="3276">
        <v>9</v>
      </c>
      <c r="AT331" s="3276">
        <v>1</v>
      </c>
      <c r="AU331" s="3267"/>
      <c r="AV331" s="3267"/>
      <c r="AW331" s="3267" t="s">
        <v>3119</v>
      </c>
      <c r="AX331" s="3267" t="s">
        <v>2968</v>
      </c>
      <c r="AY331" s="3279"/>
      <c r="AZ331" s="3267" t="s">
        <v>5081</v>
      </c>
      <c r="BA331" s="3267"/>
      <c r="BB331" s="3267"/>
      <c r="BC331" s="3267"/>
      <c r="BD331" s="3267"/>
      <c r="BE331" s="3267"/>
      <c r="BF331" s="3267"/>
      <c r="BG331" s="3290">
        <v>38927</v>
      </c>
      <c r="BH331" s="3267"/>
      <c r="BI331" s="3267" t="s">
        <v>2991</v>
      </c>
      <c r="BJ331" s="3284">
        <v>38953</v>
      </c>
      <c r="BK331" s="3284"/>
      <c r="BL331" s="3276" t="s">
        <v>2998</v>
      </c>
      <c r="BM331" s="3267" t="s">
        <v>3128</v>
      </c>
      <c r="BN331" s="3267" t="s">
        <v>3111</v>
      </c>
      <c r="BO331" s="3267" t="s">
        <v>3000</v>
      </c>
      <c r="BP331" s="3267"/>
      <c r="BQ331" s="3276" t="e">
        <v>#DIV/0!</v>
      </c>
      <c r="BR331" s="3276" t="e">
        <v>#DIV/0!</v>
      </c>
      <c r="BS331" s="3285"/>
      <c r="BT331" s="3285"/>
      <c r="BU331" s="3285"/>
      <c r="BV331" s="3347"/>
      <c r="BW331" s="3347"/>
      <c r="BX331" s="3347"/>
      <c r="BY331" s="3347"/>
      <c r="BZ331" s="3347"/>
      <c r="CA331" s="3347"/>
      <c r="CB331" s="3347"/>
      <c r="CC331" s="3347"/>
      <c r="CD331" s="3347"/>
      <c r="CE331" s="3347"/>
      <c r="CF331" s="3347"/>
      <c r="CG331" s="3347"/>
      <c r="CH331" s="3347"/>
      <c r="CI331" s="3347"/>
      <c r="CJ331" s="3347"/>
      <c r="CK331" s="3347"/>
      <c r="CL331" s="3347"/>
      <c r="CM331" s="3347"/>
      <c r="CN331" s="3347"/>
      <c r="CO331" s="3347"/>
      <c r="CP331" s="3347"/>
      <c r="CQ331" s="3347"/>
      <c r="CR331" s="3347"/>
      <c r="CS331" s="3347"/>
      <c r="CT331" s="3347"/>
      <c r="CU331" s="3347"/>
      <c r="CV331" s="3347"/>
      <c r="CW331" s="3347"/>
      <c r="CX331" s="3347"/>
      <c r="CY331" s="3347"/>
      <c r="CZ331" s="3347"/>
      <c r="DA331" s="3347"/>
      <c r="DB331" s="3347"/>
      <c r="DC331" s="3347"/>
      <c r="DD331" s="3347"/>
      <c r="DE331" s="3347"/>
      <c r="DF331" s="3347"/>
      <c r="DG331" s="3347"/>
      <c r="DH331" s="3347"/>
      <c r="DI331" s="3347"/>
      <c r="DJ331" s="3347"/>
      <c r="DK331" s="3347"/>
      <c r="DL331" s="3347"/>
      <c r="DM331" s="3347"/>
      <c r="DN331" s="3347"/>
      <c r="DO331" s="3347"/>
      <c r="DP331" s="3347"/>
      <c r="DQ331" s="3347"/>
      <c r="DR331" s="3347"/>
      <c r="DS331" s="3347"/>
      <c r="DT331" s="3347"/>
      <c r="DU331" s="3347"/>
      <c r="DV331" s="3347"/>
      <c r="DW331" s="3347"/>
      <c r="DX331" s="3347"/>
      <c r="DY331" s="3347"/>
      <c r="DZ331" s="3347"/>
      <c r="EA331" s="3347"/>
      <c r="EB331" s="3347"/>
      <c r="EC331" s="3347"/>
      <c r="ED331" s="3347"/>
      <c r="EE331" s="3347"/>
      <c r="EF331" s="3347"/>
      <c r="EG331" s="3347"/>
      <c r="EH331" s="3347"/>
      <c r="EI331" s="3347"/>
      <c r="EJ331" s="3347"/>
      <c r="EK331" s="3347"/>
      <c r="EL331" s="3347"/>
      <c r="EM331" s="3347"/>
      <c r="EN331" s="3347"/>
      <c r="EO331" s="3347"/>
      <c r="EP331" s="3347"/>
      <c r="EQ331" s="3347"/>
      <c r="ER331" s="3347"/>
      <c r="ES331" s="3347"/>
      <c r="ET331" s="3347"/>
      <c r="EU331" s="3347"/>
      <c r="EV331" s="3347"/>
      <c r="EW331" s="3347"/>
      <c r="EX331" s="3347"/>
      <c r="EY331" s="3347"/>
      <c r="EZ331" s="3347"/>
      <c r="FA331" s="3347"/>
      <c r="FB331" s="3347"/>
      <c r="FC331" s="3347"/>
      <c r="FD331" s="3347"/>
      <c r="FE331" s="3347"/>
      <c r="FF331" s="3347"/>
      <c r="FG331" s="3347"/>
      <c r="FH331" s="3347"/>
      <c r="FI331" s="3347"/>
      <c r="FJ331" s="3347"/>
      <c r="FK331" s="3347"/>
      <c r="FL331" s="3347"/>
      <c r="FM331" s="3347"/>
      <c r="FN331" s="3347"/>
      <c r="FO331" s="3347"/>
      <c r="FP331" s="3347"/>
      <c r="FQ331" s="3347"/>
      <c r="FR331" s="3347"/>
      <c r="FS331" s="3347"/>
      <c r="FT331" s="3347"/>
      <c r="FU331" s="3347"/>
      <c r="FV331" s="3347"/>
      <c r="FW331" s="3347"/>
      <c r="FX331" s="3347"/>
      <c r="FY331" s="3347"/>
      <c r="FZ331" s="3347"/>
      <c r="GA331" s="3347"/>
      <c r="GB331" s="3347"/>
      <c r="GC331" s="3347"/>
      <c r="GD331" s="3347"/>
      <c r="GE331" s="3347"/>
      <c r="GF331" s="3347"/>
      <c r="GG331" s="3347"/>
      <c r="GH331" s="3347"/>
      <c r="GI331" s="3347"/>
      <c r="GJ331" s="3347"/>
      <c r="GK331" s="3347"/>
      <c r="GL331" s="3347"/>
      <c r="GM331" s="3347"/>
      <c r="GN331" s="3347"/>
      <c r="GO331" s="3347"/>
      <c r="GP331" s="3347"/>
      <c r="GQ331" s="3347"/>
      <c r="GR331" s="3347"/>
      <c r="GS331" s="3347"/>
      <c r="GT331" s="3347"/>
      <c r="GU331" s="3347"/>
      <c r="GV331" s="3347"/>
      <c r="GW331" s="3347"/>
      <c r="GX331" s="3347"/>
      <c r="GY331" s="3347"/>
      <c r="GZ331" s="3347"/>
      <c r="HA331" s="3347"/>
      <c r="HB331" s="3347"/>
      <c r="HC331" s="3347"/>
      <c r="HD331" s="3347"/>
      <c r="HE331" s="3347"/>
      <c r="HF331" s="3347"/>
      <c r="HG331" s="3347"/>
      <c r="HH331" s="3347"/>
      <c r="HI331" s="3347"/>
      <c r="HJ331" s="3347"/>
      <c r="HK331" s="3347"/>
      <c r="HL331" s="3347"/>
      <c r="HM331" s="3347"/>
      <c r="HN331" s="3347"/>
      <c r="HO331" s="3347"/>
      <c r="HP331" s="3347"/>
      <c r="HQ331" s="3347"/>
      <c r="HR331" s="3347"/>
      <c r="HS331" s="3347"/>
      <c r="HT331" s="3347"/>
      <c r="HU331" s="3347"/>
      <c r="HV331" s="3347"/>
      <c r="HW331" s="3347"/>
      <c r="HX331" s="3347"/>
      <c r="HY331" s="3347"/>
      <c r="HZ331" s="3347"/>
      <c r="IA331" s="3347"/>
      <c r="IB331" s="3347"/>
      <c r="IC331" s="3347"/>
      <c r="ID331" s="3347"/>
      <c r="IE331" s="3347"/>
      <c r="IF331" s="3347"/>
      <c r="IG331" s="3347"/>
      <c r="IH331" s="3347"/>
      <c r="II331" s="3347"/>
      <c r="IJ331" s="3347"/>
      <c r="IK331" s="3347"/>
      <c r="IL331" s="3347"/>
      <c r="IM331" s="3347"/>
      <c r="IN331" s="3347"/>
      <c r="IO331" s="3347"/>
    </row>
    <row r="332" spans="1:249" hidden="1">
      <c r="A332" s="3267" t="s">
        <v>5478</v>
      </c>
      <c r="B332" s="3267" t="s">
        <v>5479</v>
      </c>
      <c r="C332" s="3269" t="s">
        <v>5480</v>
      </c>
      <c r="D332" s="3269" t="s">
        <v>5481</v>
      </c>
      <c r="E332" s="3268" t="s">
        <v>2985</v>
      </c>
      <c r="F332" s="3268" t="s">
        <v>3557</v>
      </c>
      <c r="G332" s="3267"/>
      <c r="H332" s="3267" t="s">
        <v>3402</v>
      </c>
      <c r="I332" s="3268"/>
      <c r="J332" s="3267">
        <v>1510</v>
      </c>
      <c r="K332" s="3267" t="s">
        <v>5482</v>
      </c>
      <c r="L332" s="3267">
        <v>121.96</v>
      </c>
      <c r="M332" s="3267">
        <v>15</v>
      </c>
      <c r="N332" s="3267" t="s">
        <v>3303</v>
      </c>
      <c r="O332" s="3267">
        <v>80.489999999999995</v>
      </c>
      <c r="P332" s="3267" t="s">
        <v>2963</v>
      </c>
      <c r="Q332" s="3271">
        <v>774200</v>
      </c>
      <c r="R332" s="3267">
        <v>6348</v>
      </c>
      <c r="S332" s="3272">
        <v>75.849999999999994</v>
      </c>
      <c r="T332" s="3273">
        <v>758500</v>
      </c>
      <c r="U332" s="3267">
        <v>6220</v>
      </c>
      <c r="V332" s="3289">
        <v>0.3</v>
      </c>
      <c r="W332" s="3272">
        <v>53.09</v>
      </c>
      <c r="X332" s="3275">
        <v>530900</v>
      </c>
      <c r="Y332" s="3276">
        <v>2006</v>
      </c>
      <c r="Z332" s="3276">
        <v>9</v>
      </c>
      <c r="AA332" s="3276">
        <v>15</v>
      </c>
      <c r="AB332" s="3267">
        <v>1500</v>
      </c>
      <c r="AC332" s="3267" t="s">
        <v>2980</v>
      </c>
      <c r="AD332" s="3364">
        <v>91302006090028</v>
      </c>
      <c r="AE332" s="3314" t="s">
        <v>3245</v>
      </c>
      <c r="AF332" s="3268" t="s">
        <v>2966</v>
      </c>
      <c r="AG332" s="3279" t="s">
        <v>2967</v>
      </c>
      <c r="AH332" s="3267"/>
      <c r="AI332" s="3279" t="s">
        <v>2992</v>
      </c>
      <c r="AJ332" s="3284"/>
      <c r="AK332" s="3278">
        <v>9</v>
      </c>
      <c r="AL332" s="3276">
        <v>54</v>
      </c>
      <c r="AM332" s="3276"/>
      <c r="AN332" s="3279" t="s">
        <v>3114</v>
      </c>
      <c r="AO332" s="3267" t="s">
        <v>5483</v>
      </c>
      <c r="AP332" s="3267" t="s">
        <v>3537</v>
      </c>
      <c r="AQ332" s="3267" t="s">
        <v>3228</v>
      </c>
      <c r="AR332" s="3276"/>
      <c r="AS332" s="3276"/>
      <c r="AT332" s="3276"/>
      <c r="AU332" s="3276"/>
      <c r="AV332" s="3276"/>
      <c r="AW332" s="3276" t="s">
        <v>3119</v>
      </c>
      <c r="AX332" s="3276"/>
      <c r="AY332" s="3291"/>
      <c r="AZ332" s="3267" t="s">
        <v>5482</v>
      </c>
      <c r="BA332" s="3296"/>
      <c r="BB332" s="3297"/>
      <c r="BC332" s="3296"/>
      <c r="BD332" s="3298"/>
      <c r="BE332" s="3276"/>
      <c r="BF332" s="3281"/>
      <c r="BG332" s="3293">
        <v>38955</v>
      </c>
      <c r="BH332" s="3267"/>
      <c r="BI332" s="3267" t="s">
        <v>3537</v>
      </c>
      <c r="BJ332" s="3283">
        <v>38961</v>
      </c>
      <c r="BK332" s="3283"/>
      <c r="BL332" s="3267" t="s">
        <v>2998</v>
      </c>
      <c r="BM332" s="3276" t="s">
        <v>2879</v>
      </c>
      <c r="BN332" s="3276"/>
      <c r="BO332" s="3276" t="s">
        <v>5484</v>
      </c>
      <c r="BP332" s="3276"/>
      <c r="BQ332" s="3276">
        <v>9424</v>
      </c>
      <c r="BR332" s="3276">
        <v>9619</v>
      </c>
      <c r="BS332" s="3285"/>
      <c r="BT332" s="3285"/>
      <c r="BU332" s="3285"/>
      <c r="BV332" s="3347"/>
      <c r="BW332" s="3347"/>
      <c r="BX332" s="3347"/>
      <c r="BY332" s="3347"/>
      <c r="BZ332" s="3347"/>
      <c r="CA332" s="3347"/>
      <c r="CB332" s="3347"/>
      <c r="CC332" s="3347"/>
      <c r="CD332" s="3347"/>
      <c r="CE332" s="3347"/>
      <c r="CF332" s="3347"/>
      <c r="CG332" s="3347"/>
      <c r="CH332" s="3347"/>
      <c r="CI332" s="3347"/>
      <c r="CJ332" s="3347"/>
      <c r="CK332" s="3347"/>
      <c r="CL332" s="3347"/>
      <c r="CM332" s="3347"/>
      <c r="CN332" s="3347"/>
      <c r="CO332" s="3347"/>
      <c r="CP332" s="3347"/>
      <c r="CQ332" s="3347"/>
      <c r="CR332" s="3347"/>
      <c r="CS332" s="3347"/>
      <c r="CT332" s="3347"/>
      <c r="CU332" s="3347"/>
      <c r="CV332" s="3347"/>
      <c r="CW332" s="3347"/>
      <c r="CX332" s="3347"/>
      <c r="CY332" s="3347"/>
      <c r="CZ332" s="3347"/>
      <c r="DA332" s="3347"/>
      <c r="DB332" s="3347"/>
      <c r="DC332" s="3347"/>
      <c r="DD332" s="3347"/>
      <c r="DE332" s="3347"/>
      <c r="DF332" s="3347"/>
      <c r="DG332" s="3347"/>
      <c r="DH332" s="3347"/>
      <c r="DI332" s="3347"/>
      <c r="DJ332" s="3347"/>
      <c r="DK332" s="3347"/>
      <c r="DL332" s="3347"/>
      <c r="DM332" s="3347"/>
      <c r="DN332" s="3347"/>
      <c r="DO332" s="3347"/>
      <c r="DP332" s="3347"/>
      <c r="DQ332" s="3347"/>
      <c r="DR332" s="3347"/>
      <c r="DS332" s="3347"/>
      <c r="DT332" s="3347"/>
      <c r="DU332" s="3347"/>
      <c r="DV332" s="3347"/>
      <c r="DW332" s="3347"/>
      <c r="DX332" s="3347"/>
      <c r="DY332" s="3347"/>
      <c r="DZ332" s="3347"/>
      <c r="EA332" s="3347"/>
      <c r="EB332" s="3347"/>
      <c r="EC332" s="3347"/>
      <c r="ED332" s="3347"/>
      <c r="EE332" s="3347"/>
      <c r="EF332" s="3347"/>
      <c r="EG332" s="3347"/>
      <c r="EH332" s="3347"/>
      <c r="EI332" s="3347"/>
      <c r="EJ332" s="3347"/>
      <c r="EK332" s="3347"/>
      <c r="EL332" s="3347"/>
      <c r="EM332" s="3347"/>
      <c r="EN332" s="3347"/>
      <c r="EO332" s="3347"/>
      <c r="EP332" s="3347"/>
      <c r="EQ332" s="3347"/>
      <c r="ER332" s="3347"/>
      <c r="ES332" s="3347"/>
      <c r="ET332" s="3347"/>
      <c r="EU332" s="3347"/>
      <c r="EV332" s="3347"/>
      <c r="EW332" s="3347"/>
      <c r="EX332" s="3347"/>
      <c r="EY332" s="3347"/>
      <c r="EZ332" s="3347"/>
      <c r="FA332" s="3347"/>
      <c r="FB332" s="3347"/>
      <c r="FC332" s="3347"/>
      <c r="FD332" s="3347"/>
      <c r="FE332" s="3347"/>
      <c r="FF332" s="3347"/>
      <c r="FG332" s="3347"/>
      <c r="FH332" s="3347"/>
      <c r="FI332" s="3347"/>
      <c r="FJ332" s="3347"/>
      <c r="FK332" s="3347"/>
      <c r="FL332" s="3347"/>
      <c r="FM332" s="3347"/>
      <c r="FN332" s="3347"/>
      <c r="FO332" s="3347"/>
      <c r="FP332" s="3347"/>
      <c r="FQ332" s="3347"/>
      <c r="FR332" s="3347"/>
      <c r="FS332" s="3347"/>
      <c r="FT332" s="3347"/>
      <c r="FU332" s="3347"/>
      <c r="FV332" s="3347"/>
      <c r="FW332" s="3347"/>
      <c r="FX332" s="3347"/>
      <c r="FY332" s="3347"/>
      <c r="FZ332" s="3347"/>
      <c r="GA332" s="3347"/>
      <c r="GB332" s="3347"/>
      <c r="GC332" s="3347"/>
      <c r="GD332" s="3347"/>
      <c r="GE332" s="3347"/>
      <c r="GF332" s="3347"/>
      <c r="GG332" s="3347"/>
      <c r="GH332" s="3347"/>
      <c r="GI332" s="3347"/>
      <c r="GJ332" s="3347"/>
      <c r="GK332" s="3347"/>
      <c r="GL332" s="3347"/>
      <c r="GM332" s="3347"/>
      <c r="GN332" s="3347"/>
      <c r="GO332" s="3347"/>
      <c r="GP332" s="3347"/>
      <c r="GQ332" s="3347"/>
      <c r="GR332" s="3347"/>
      <c r="GS332" s="3347"/>
      <c r="GT332" s="3347"/>
      <c r="GU332" s="3347"/>
      <c r="GV332" s="3347"/>
      <c r="GW332" s="3347"/>
      <c r="GX332" s="3347"/>
      <c r="GY332" s="3347"/>
      <c r="GZ332" s="3347"/>
      <c r="HA332" s="3347"/>
      <c r="HB332" s="3347"/>
      <c r="HC332" s="3347"/>
      <c r="HD332" s="3347"/>
      <c r="HE332" s="3347"/>
      <c r="HF332" s="3347"/>
      <c r="HG332" s="3347"/>
      <c r="HH332" s="3347"/>
      <c r="HI332" s="3347"/>
      <c r="HJ332" s="3347"/>
      <c r="HK332" s="3347"/>
      <c r="HL332" s="3347"/>
      <c r="HM332" s="3347"/>
      <c r="HN332" s="3347"/>
      <c r="HO332" s="3347"/>
      <c r="HP332" s="3347"/>
      <c r="HQ332" s="3347"/>
      <c r="HR332" s="3347"/>
      <c r="HS332" s="3347"/>
      <c r="HT332" s="3347"/>
      <c r="HU332" s="3347"/>
      <c r="HV332" s="3347"/>
      <c r="HW332" s="3347"/>
      <c r="HX332" s="3347"/>
      <c r="HY332" s="3347"/>
      <c r="HZ332" s="3347"/>
      <c r="IA332" s="3347"/>
      <c r="IB332" s="3347"/>
      <c r="IC332" s="3347"/>
      <c r="ID332" s="3347"/>
      <c r="IE332" s="3347"/>
      <c r="IF332" s="3347"/>
      <c r="IG332" s="3347"/>
      <c r="IH332" s="3347"/>
      <c r="II332" s="3347"/>
    </row>
    <row r="333" spans="1:249" hidden="1">
      <c r="A333" s="3267" t="s">
        <v>5485</v>
      </c>
      <c r="B333" s="3267" t="s">
        <v>5486</v>
      </c>
      <c r="C333" s="3269" t="s">
        <v>5487</v>
      </c>
      <c r="D333" s="3269" t="s">
        <v>5488</v>
      </c>
      <c r="E333" s="3268" t="s">
        <v>2985</v>
      </c>
      <c r="F333" s="3268" t="s">
        <v>5489</v>
      </c>
      <c r="G333" s="3267"/>
      <c r="H333" s="3267" t="s">
        <v>5490</v>
      </c>
      <c r="I333" s="3268" t="s">
        <v>3642</v>
      </c>
      <c r="J333" s="3267">
        <v>301</v>
      </c>
      <c r="K333" s="3267" t="s">
        <v>5491</v>
      </c>
      <c r="L333" s="3267">
        <v>79.569999999999993</v>
      </c>
      <c r="M333" s="3267">
        <v>3</v>
      </c>
      <c r="N333" s="3267" t="s">
        <v>5492</v>
      </c>
      <c r="O333" s="3267">
        <v>65.180000000000007</v>
      </c>
      <c r="P333" s="3267" t="s">
        <v>2963</v>
      </c>
      <c r="Q333" s="3271">
        <v>550000</v>
      </c>
      <c r="R333" s="3288">
        <v>6912</v>
      </c>
      <c r="S333" s="3272">
        <v>54.1</v>
      </c>
      <c r="T333" s="3273">
        <v>541000</v>
      </c>
      <c r="U333" s="3267">
        <v>6800</v>
      </c>
      <c r="V333" s="3289">
        <v>0.2</v>
      </c>
      <c r="W333" s="3272">
        <v>43.28</v>
      </c>
      <c r="X333" s="3273">
        <v>432800</v>
      </c>
      <c r="Y333" s="3276">
        <v>2006</v>
      </c>
      <c r="Z333" s="3276">
        <v>9</v>
      </c>
      <c r="AA333" s="3276">
        <v>15</v>
      </c>
      <c r="AB333" s="3267">
        <v>1500</v>
      </c>
      <c r="AC333" s="3267" t="s">
        <v>2980</v>
      </c>
      <c r="AD333" s="3364">
        <v>91302006081590</v>
      </c>
      <c r="AE333" s="3279" t="s">
        <v>3245</v>
      </c>
      <c r="AF333" s="3268" t="s">
        <v>2966</v>
      </c>
      <c r="AG333" s="3279" t="s">
        <v>2967</v>
      </c>
      <c r="AH333" s="3267"/>
      <c r="AI333" s="3279" t="s">
        <v>2992</v>
      </c>
      <c r="AJ333" s="3284"/>
      <c r="AK333" s="3278">
        <v>9</v>
      </c>
      <c r="AL333" s="3276">
        <v>58</v>
      </c>
      <c r="AM333" s="3267"/>
      <c r="AN333" s="3279" t="s">
        <v>3114</v>
      </c>
      <c r="AO333" s="3267"/>
      <c r="AP333" s="3267" t="s">
        <v>3537</v>
      </c>
      <c r="AQ333" s="3267" t="s">
        <v>3228</v>
      </c>
      <c r="AR333" s="3276"/>
      <c r="AS333" s="3276"/>
      <c r="AT333" s="3276"/>
      <c r="AU333" s="3276"/>
      <c r="AV333" s="3276"/>
      <c r="AW333" s="3276" t="s">
        <v>3119</v>
      </c>
      <c r="AX333" s="3276"/>
      <c r="AY333" s="3291"/>
      <c r="AZ333" s="3267" t="s">
        <v>5491</v>
      </c>
      <c r="BA333" s="3296"/>
      <c r="BB333" s="3297"/>
      <c r="BC333" s="3296"/>
      <c r="BD333" s="3298"/>
      <c r="BE333" s="3276"/>
      <c r="BF333" s="3281"/>
      <c r="BG333" s="3293">
        <v>38944</v>
      </c>
      <c r="BH333" s="3267"/>
      <c r="BI333" s="3267" t="s">
        <v>3537</v>
      </c>
      <c r="BJ333" s="3283">
        <v>38958</v>
      </c>
      <c r="BK333" s="3283"/>
      <c r="BL333" s="3267" t="s">
        <v>2998</v>
      </c>
      <c r="BM333" s="3276" t="s">
        <v>5493</v>
      </c>
      <c r="BN333" s="3276" t="s">
        <v>2999</v>
      </c>
      <c r="BO333" s="3276" t="s">
        <v>3000</v>
      </c>
      <c r="BP333" s="3276"/>
      <c r="BQ333" s="3276">
        <v>8300</v>
      </c>
      <c r="BR333" s="3276">
        <v>8438</v>
      </c>
      <c r="BS333" s="3285"/>
      <c r="BT333" s="3285"/>
      <c r="BU333" s="3285"/>
      <c r="BV333" s="3347"/>
      <c r="BW333" s="3347"/>
      <c r="BX333" s="3347"/>
      <c r="BY333" s="3347"/>
      <c r="BZ333" s="3347"/>
      <c r="CA333" s="3347"/>
      <c r="CB333" s="3347"/>
      <c r="CC333" s="3347"/>
      <c r="CD333" s="3347"/>
      <c r="CE333" s="3347"/>
      <c r="CF333" s="3347"/>
      <c r="CG333" s="3347"/>
      <c r="CH333" s="3347"/>
      <c r="CI333" s="3347"/>
      <c r="CJ333" s="3347"/>
      <c r="CK333" s="3347"/>
      <c r="CL333" s="3347"/>
      <c r="CM333" s="3347"/>
      <c r="CN333" s="3347"/>
      <c r="CO333" s="3347"/>
      <c r="CP333" s="3347"/>
      <c r="CQ333" s="3347"/>
      <c r="CR333" s="3347"/>
      <c r="CS333" s="3347"/>
      <c r="CT333" s="3347"/>
      <c r="CU333" s="3347"/>
      <c r="CV333" s="3347"/>
      <c r="CW333" s="3347"/>
      <c r="CX333" s="3347"/>
      <c r="CY333" s="3347"/>
      <c r="CZ333" s="3347"/>
      <c r="DA333" s="3347"/>
      <c r="DB333" s="3347"/>
      <c r="DC333" s="3347"/>
      <c r="DD333" s="3347"/>
      <c r="DE333" s="3347"/>
      <c r="DF333" s="3347"/>
      <c r="DG333" s="3347"/>
      <c r="DH333" s="3347"/>
      <c r="DI333" s="3347"/>
      <c r="DJ333" s="3347"/>
      <c r="DK333" s="3347"/>
      <c r="DL333" s="3347"/>
      <c r="DM333" s="3347"/>
      <c r="DN333" s="3347"/>
      <c r="DO333" s="3347"/>
      <c r="DP333" s="3347"/>
      <c r="DQ333" s="3347"/>
      <c r="DR333" s="3347"/>
      <c r="DS333" s="3347"/>
      <c r="DT333" s="3347"/>
      <c r="DU333" s="3347"/>
      <c r="DV333" s="3347"/>
      <c r="DW333" s="3347"/>
      <c r="DX333" s="3347"/>
      <c r="DY333" s="3347"/>
      <c r="DZ333" s="3347"/>
      <c r="EA333" s="3347"/>
      <c r="EB333" s="3347"/>
      <c r="EC333" s="3347"/>
      <c r="ED333" s="3347"/>
      <c r="EE333" s="3347"/>
      <c r="EF333" s="3347"/>
      <c r="EG333" s="3347"/>
      <c r="EH333" s="3347"/>
      <c r="EI333" s="3347"/>
      <c r="EJ333" s="3347"/>
      <c r="EK333" s="3347"/>
      <c r="EL333" s="3347"/>
      <c r="EM333" s="3347"/>
      <c r="EN333" s="3347"/>
      <c r="EO333" s="3347"/>
      <c r="EP333" s="3347"/>
      <c r="EQ333" s="3347"/>
      <c r="ER333" s="3347"/>
      <c r="ES333" s="3347"/>
      <c r="ET333" s="3347"/>
      <c r="EU333" s="3347"/>
      <c r="EV333" s="3347"/>
      <c r="EW333" s="3347"/>
      <c r="EX333" s="3347"/>
      <c r="EY333" s="3347"/>
      <c r="EZ333" s="3347"/>
      <c r="FA333" s="3347"/>
      <c r="FB333" s="3347"/>
      <c r="FC333" s="3347"/>
      <c r="FD333" s="3347"/>
      <c r="FE333" s="3347"/>
      <c r="FF333" s="3347"/>
      <c r="FG333" s="3347"/>
      <c r="FH333" s="3347"/>
      <c r="FI333" s="3347"/>
      <c r="FJ333" s="3347"/>
      <c r="FK333" s="3347"/>
      <c r="FL333" s="3347"/>
      <c r="FM333" s="3347"/>
      <c r="FN333" s="3347"/>
      <c r="FO333" s="3347"/>
      <c r="FP333" s="3347"/>
      <c r="FQ333" s="3347"/>
      <c r="FR333" s="3347"/>
      <c r="FS333" s="3347"/>
      <c r="FT333" s="3347"/>
      <c r="FU333" s="3347"/>
      <c r="FV333" s="3347"/>
      <c r="FW333" s="3347"/>
      <c r="FX333" s="3347"/>
      <c r="FY333" s="3347"/>
      <c r="FZ333" s="3347"/>
      <c r="GA333" s="3347"/>
      <c r="GB333" s="3347"/>
      <c r="GC333" s="3347"/>
      <c r="GD333" s="3347"/>
      <c r="GE333" s="3347"/>
      <c r="GF333" s="3347"/>
      <c r="GG333" s="3347"/>
      <c r="GH333" s="3347"/>
      <c r="GI333" s="3347"/>
      <c r="GJ333" s="3347"/>
      <c r="GK333" s="3347"/>
      <c r="GL333" s="3347"/>
      <c r="GM333" s="3347"/>
      <c r="GN333" s="3347"/>
      <c r="GO333" s="3347"/>
      <c r="GP333" s="3347"/>
      <c r="GQ333" s="3347"/>
      <c r="GR333" s="3347"/>
      <c r="GS333" s="3347"/>
      <c r="GT333" s="3347"/>
      <c r="GU333" s="3347"/>
      <c r="GV333" s="3347"/>
      <c r="GW333" s="3347"/>
      <c r="GX333" s="3347"/>
      <c r="GY333" s="3347"/>
      <c r="GZ333" s="3347"/>
      <c r="HA333" s="3347"/>
      <c r="HB333" s="3347"/>
      <c r="HC333" s="3347"/>
      <c r="HD333" s="3347"/>
      <c r="HE333" s="3347"/>
      <c r="HF333" s="3347"/>
      <c r="HG333" s="3347"/>
      <c r="HH333" s="3347"/>
      <c r="HI333" s="3347"/>
      <c r="HJ333" s="3347"/>
      <c r="HK333" s="3347"/>
      <c r="HL333" s="3347"/>
      <c r="HM333" s="3347"/>
      <c r="HN333" s="3347"/>
      <c r="HO333" s="3347"/>
      <c r="HP333" s="3347"/>
      <c r="HQ333" s="3347"/>
      <c r="HR333" s="3347"/>
      <c r="HS333" s="3347"/>
      <c r="HT333" s="3347"/>
      <c r="HU333" s="3347"/>
      <c r="HV333" s="3347"/>
      <c r="HW333" s="3347"/>
      <c r="HX333" s="3347"/>
      <c r="HY333" s="3347"/>
      <c r="HZ333" s="3347"/>
      <c r="IA333" s="3347"/>
      <c r="IB333" s="3347"/>
      <c r="IC333" s="3347"/>
      <c r="ID333" s="3347"/>
      <c r="IE333" s="3347"/>
      <c r="IF333" s="3347"/>
      <c r="IG333" s="3347"/>
      <c r="IH333" s="3347"/>
      <c r="II333" s="3347"/>
    </row>
    <row r="334" spans="1:249" hidden="1">
      <c r="A334" s="3267" t="s">
        <v>5494</v>
      </c>
      <c r="B334" s="3267" t="s">
        <v>5495</v>
      </c>
      <c r="C334" s="3269" t="s">
        <v>5496</v>
      </c>
      <c r="D334" s="3269">
        <v>13681086382</v>
      </c>
      <c r="E334" s="3268" t="s">
        <v>2985</v>
      </c>
      <c r="F334" s="3268" t="s">
        <v>3733</v>
      </c>
      <c r="G334" s="3267"/>
      <c r="H334" s="3267" t="s">
        <v>3097</v>
      </c>
      <c r="I334" s="3268"/>
      <c r="J334" s="3267" t="s">
        <v>5497</v>
      </c>
      <c r="K334" s="3267" t="s">
        <v>5498</v>
      </c>
      <c r="L334" s="3267">
        <v>76.55</v>
      </c>
      <c r="M334" s="3267">
        <v>5</v>
      </c>
      <c r="N334" s="3267" t="s">
        <v>3125</v>
      </c>
      <c r="O334" s="3267"/>
      <c r="P334" s="3267" t="s">
        <v>2963</v>
      </c>
      <c r="Q334" s="3271">
        <v>470000</v>
      </c>
      <c r="R334" s="3288">
        <v>6140</v>
      </c>
      <c r="S334" s="3272">
        <v>44.55</v>
      </c>
      <c r="T334" s="3273">
        <v>445500</v>
      </c>
      <c r="U334" s="3267">
        <v>5820</v>
      </c>
      <c r="V334" s="3289">
        <v>0.2</v>
      </c>
      <c r="W334" s="3272">
        <v>35.64</v>
      </c>
      <c r="X334" s="3273">
        <v>356400</v>
      </c>
      <c r="Y334" s="3267">
        <v>2006</v>
      </c>
      <c r="Z334" s="3276">
        <v>9</v>
      </c>
      <c r="AA334" s="3276">
        <v>29</v>
      </c>
      <c r="AB334" s="3267">
        <v>1335</v>
      </c>
      <c r="AC334" s="3267" t="s">
        <v>2980</v>
      </c>
      <c r="AD334" s="3280" t="s">
        <v>5499</v>
      </c>
      <c r="AE334" s="3279" t="s">
        <v>3245</v>
      </c>
      <c r="AF334" s="3268" t="s">
        <v>2966</v>
      </c>
      <c r="AG334" s="3279" t="s">
        <v>2967</v>
      </c>
      <c r="AH334" s="3267"/>
      <c r="AI334" s="3279" t="s">
        <v>2992</v>
      </c>
      <c r="AJ334" s="3284"/>
      <c r="AK334" s="3278">
        <v>9</v>
      </c>
      <c r="AL334" s="3276">
        <v>37</v>
      </c>
      <c r="AM334" s="3267"/>
      <c r="AN334" s="3279" t="s">
        <v>3099</v>
      </c>
      <c r="AO334" s="3267" t="s">
        <v>5500</v>
      </c>
      <c r="AP334" s="3279" t="s">
        <v>3305</v>
      </c>
      <c r="AQ334" s="3267" t="s">
        <v>3228</v>
      </c>
      <c r="AR334" s="3276"/>
      <c r="AS334" s="3276"/>
      <c r="AT334" s="3276"/>
      <c r="AU334" s="3276"/>
      <c r="AV334" s="3276"/>
      <c r="AW334" s="3276" t="s">
        <v>2997</v>
      </c>
      <c r="AX334" s="3276"/>
      <c r="AY334" s="3291"/>
      <c r="AZ334" s="3267" t="s">
        <v>5498</v>
      </c>
      <c r="BA334" s="3296"/>
      <c r="BB334" s="3297"/>
      <c r="BC334" s="3296"/>
      <c r="BD334" s="3298"/>
      <c r="BE334" s="3276">
        <v>64732409</v>
      </c>
      <c r="BF334" s="3281"/>
      <c r="BG334" s="3293">
        <v>38955</v>
      </c>
      <c r="BH334" s="3354" t="s">
        <v>2998</v>
      </c>
      <c r="BI334" s="3314" t="s">
        <v>3305</v>
      </c>
      <c r="BJ334" s="3283">
        <v>38967</v>
      </c>
      <c r="BK334" s="3283"/>
      <c r="BL334" s="3267" t="s">
        <v>3249</v>
      </c>
      <c r="BM334" s="3276" t="s">
        <v>2879</v>
      </c>
      <c r="BN334" s="3276" t="s">
        <v>2999</v>
      </c>
      <c r="BO334" s="3276" t="s">
        <v>3000</v>
      </c>
      <c r="BP334" s="3276"/>
      <c r="BQ334" s="3276" t="e">
        <v>#DIV/0!</v>
      </c>
      <c r="BR334" s="3276" t="e">
        <v>#DIV/0!</v>
      </c>
      <c r="BS334" s="3285"/>
      <c r="BT334" s="3285"/>
      <c r="BU334" s="3285"/>
      <c r="BV334" s="3347"/>
      <c r="BW334" s="3347"/>
      <c r="BX334" s="3347"/>
      <c r="BY334" s="3347"/>
      <c r="BZ334" s="3347"/>
      <c r="CA334" s="3347"/>
      <c r="CB334" s="3347"/>
      <c r="CC334" s="3347"/>
      <c r="CD334" s="3347"/>
      <c r="CE334" s="3347"/>
      <c r="CF334" s="3347"/>
      <c r="CG334" s="3347"/>
      <c r="CH334" s="3347"/>
      <c r="CI334" s="3347"/>
      <c r="CJ334" s="3347"/>
      <c r="CK334" s="3347"/>
      <c r="CL334" s="3347"/>
      <c r="CM334" s="3347"/>
      <c r="CN334" s="3347"/>
      <c r="CO334" s="3347"/>
      <c r="CP334" s="3347"/>
      <c r="CQ334" s="3347"/>
      <c r="CR334" s="3347"/>
      <c r="CS334" s="3347"/>
      <c r="CT334" s="3347"/>
      <c r="CU334" s="3347"/>
      <c r="CV334" s="3347"/>
      <c r="CW334" s="3347"/>
      <c r="CX334" s="3347"/>
      <c r="CY334" s="3347"/>
      <c r="CZ334" s="3347"/>
      <c r="DA334" s="3347"/>
      <c r="DB334" s="3347"/>
      <c r="DC334" s="3347"/>
      <c r="DD334" s="3347"/>
      <c r="DE334" s="3347"/>
      <c r="DF334" s="3347"/>
      <c r="DG334" s="3347"/>
      <c r="DH334" s="3347"/>
      <c r="DI334" s="3347"/>
      <c r="DJ334" s="3347"/>
      <c r="DK334" s="3347"/>
      <c r="DL334" s="3347"/>
      <c r="DM334" s="3347"/>
      <c r="DN334" s="3347"/>
      <c r="DO334" s="3347"/>
      <c r="DP334" s="3347"/>
      <c r="DQ334" s="3347"/>
      <c r="DR334" s="3347"/>
      <c r="DS334" s="3347"/>
      <c r="DT334" s="3347"/>
      <c r="DU334" s="3347"/>
      <c r="DV334" s="3347"/>
      <c r="DW334" s="3347"/>
      <c r="DX334" s="3347"/>
      <c r="DY334" s="3347"/>
      <c r="DZ334" s="3347"/>
      <c r="EA334" s="3347"/>
      <c r="EB334" s="3347"/>
      <c r="EC334" s="3347"/>
      <c r="ED334" s="3347"/>
      <c r="EE334" s="3347"/>
      <c r="EF334" s="3347"/>
      <c r="EG334" s="3347"/>
      <c r="EH334" s="3347"/>
      <c r="EI334" s="3347"/>
      <c r="EJ334" s="3347"/>
      <c r="EK334" s="3347"/>
      <c r="EL334" s="3347"/>
      <c r="EM334" s="3347"/>
      <c r="EN334" s="3347"/>
      <c r="EO334" s="3347"/>
      <c r="EP334" s="3347"/>
      <c r="EQ334" s="3347"/>
      <c r="ER334" s="3347"/>
      <c r="ES334" s="3347"/>
      <c r="ET334" s="3347"/>
      <c r="EU334" s="3347"/>
      <c r="EV334" s="3347"/>
      <c r="EW334" s="3347"/>
      <c r="EX334" s="3347"/>
      <c r="EY334" s="3347"/>
      <c r="EZ334" s="3347"/>
      <c r="FA334" s="3347"/>
      <c r="FB334" s="3347"/>
      <c r="FC334" s="3347"/>
      <c r="FD334" s="3347"/>
      <c r="FE334" s="3347"/>
      <c r="FF334" s="3347"/>
      <c r="FG334" s="3347"/>
      <c r="FH334" s="3347"/>
      <c r="FI334" s="3347"/>
      <c r="FJ334" s="3347"/>
      <c r="FK334" s="3347"/>
      <c r="FL334" s="3347"/>
      <c r="FM334" s="3347"/>
      <c r="FN334" s="3347"/>
      <c r="FO334" s="3347"/>
      <c r="FP334" s="3347"/>
      <c r="FQ334" s="3347"/>
      <c r="FR334" s="3347"/>
      <c r="FS334" s="3347"/>
      <c r="FT334" s="3347"/>
      <c r="FU334" s="3347"/>
      <c r="FV334" s="3347"/>
      <c r="FW334" s="3347"/>
      <c r="FX334" s="3347"/>
      <c r="FY334" s="3347"/>
      <c r="FZ334" s="3347"/>
      <c r="GA334" s="3347"/>
      <c r="GB334" s="3347"/>
      <c r="GC334" s="3347"/>
      <c r="GD334" s="3347"/>
      <c r="GE334" s="3347"/>
      <c r="GF334" s="3347"/>
      <c r="GG334" s="3347"/>
      <c r="GH334" s="3347"/>
      <c r="GI334" s="3347"/>
      <c r="GJ334" s="3347"/>
      <c r="GK334" s="3347"/>
      <c r="GL334" s="3347"/>
      <c r="GM334" s="3347"/>
      <c r="GN334" s="3347"/>
      <c r="GO334" s="3347"/>
      <c r="GP334" s="3347"/>
      <c r="GQ334" s="3347"/>
      <c r="GR334" s="3347"/>
      <c r="GS334" s="3347"/>
      <c r="GT334" s="3347"/>
      <c r="GU334" s="3347"/>
      <c r="GV334" s="3347"/>
      <c r="GW334" s="3347"/>
      <c r="GX334" s="3347"/>
      <c r="GY334" s="3347"/>
      <c r="GZ334" s="3347"/>
      <c r="HA334" s="3347"/>
      <c r="HB334" s="3347"/>
      <c r="HC334" s="3347"/>
      <c r="HD334" s="3347"/>
      <c r="HE334" s="3347"/>
      <c r="HF334" s="3347"/>
      <c r="HG334" s="3347"/>
      <c r="HH334" s="3347"/>
      <c r="HI334" s="3347"/>
      <c r="HJ334" s="3347"/>
      <c r="HK334" s="3347"/>
      <c r="HL334" s="3347"/>
      <c r="HM334" s="3347"/>
      <c r="HN334" s="3347"/>
      <c r="HO334" s="3347"/>
      <c r="HP334" s="3347"/>
      <c r="HQ334" s="3347"/>
      <c r="HR334" s="3347"/>
      <c r="HS334" s="3347"/>
      <c r="HT334" s="3347"/>
      <c r="HU334" s="3347"/>
      <c r="HV334" s="3347"/>
      <c r="HW334" s="3347"/>
      <c r="HX334" s="3347"/>
      <c r="HY334" s="3347"/>
      <c r="HZ334" s="3347"/>
      <c r="IA334" s="3347"/>
      <c r="IB334" s="3347"/>
      <c r="IC334" s="3347"/>
      <c r="ID334" s="3347"/>
      <c r="IE334" s="3347"/>
      <c r="IF334" s="3347"/>
      <c r="IG334" s="3347"/>
      <c r="IH334" s="3347"/>
      <c r="II334" s="3347"/>
    </row>
    <row r="335" spans="1:249" hidden="1">
      <c r="A335" s="3267" t="s">
        <v>5501</v>
      </c>
      <c r="B335" s="3267" t="s">
        <v>5502</v>
      </c>
      <c r="C335" s="3269" t="s">
        <v>5503</v>
      </c>
      <c r="D335" s="3268" t="s">
        <v>5504</v>
      </c>
      <c r="E335" s="3267" t="s">
        <v>2985</v>
      </c>
      <c r="F335" s="3267" t="s">
        <v>4198</v>
      </c>
      <c r="G335" s="3267"/>
      <c r="H335" s="3270" t="s">
        <v>3139</v>
      </c>
      <c r="I335" s="3268"/>
      <c r="J335" s="3270" t="s">
        <v>5505</v>
      </c>
      <c r="K335" s="3267" t="s">
        <v>5506</v>
      </c>
      <c r="L335" s="3286">
        <v>131.94999999999999</v>
      </c>
      <c r="M335" s="3270">
        <v>22</v>
      </c>
      <c r="N335" s="3267" t="s">
        <v>3129</v>
      </c>
      <c r="O335" s="3267"/>
      <c r="P335" s="3267" t="s">
        <v>2963</v>
      </c>
      <c r="Q335" s="3287">
        <v>884065</v>
      </c>
      <c r="R335" s="3271">
        <v>6700</v>
      </c>
      <c r="S335" s="3272">
        <v>89.6</v>
      </c>
      <c r="T335" s="3273">
        <v>896000</v>
      </c>
      <c r="U335" s="3287">
        <v>6791</v>
      </c>
      <c r="V335" s="3289">
        <v>0.3</v>
      </c>
      <c r="W335" s="3272">
        <v>62.72</v>
      </c>
      <c r="X335" s="3273">
        <v>627200</v>
      </c>
      <c r="Y335" s="3276">
        <v>2006</v>
      </c>
      <c r="Z335" s="3276">
        <v>9</v>
      </c>
      <c r="AA335" s="3267">
        <v>21</v>
      </c>
      <c r="AB335" s="3267">
        <v>1500</v>
      </c>
      <c r="AC335" s="3267" t="s">
        <v>2980</v>
      </c>
      <c r="AD335" s="3269" t="s">
        <v>5507</v>
      </c>
      <c r="AE335" s="3267" t="s">
        <v>3069</v>
      </c>
      <c r="AF335" s="3267" t="s">
        <v>2966</v>
      </c>
      <c r="AG335" s="3268" t="s">
        <v>2967</v>
      </c>
      <c r="AH335" s="3267"/>
      <c r="AI335" s="3267" t="s">
        <v>2992</v>
      </c>
      <c r="AJ335" s="3270"/>
      <c r="AK335" s="3278" t="s">
        <v>3154</v>
      </c>
      <c r="AL335" s="3267" t="s">
        <v>5508</v>
      </c>
      <c r="AM335" s="3267"/>
      <c r="AN335" s="3302" t="s">
        <v>2994</v>
      </c>
      <c r="AO335" s="3267" t="s">
        <v>5509</v>
      </c>
      <c r="AP335" s="3267" t="s">
        <v>2991</v>
      </c>
      <c r="AQ335" s="3267" t="s">
        <v>3228</v>
      </c>
      <c r="AR335" s="3276">
        <v>2006</v>
      </c>
      <c r="AS335" s="3276">
        <v>9</v>
      </c>
      <c r="AT335" s="3276">
        <v>21</v>
      </c>
      <c r="AU335" s="3267"/>
      <c r="AV335" s="3267"/>
      <c r="AW335" s="3276" t="s">
        <v>3112</v>
      </c>
      <c r="AX335" s="3267"/>
      <c r="AY335" s="3279"/>
      <c r="AZ335" s="3267" t="s">
        <v>5506</v>
      </c>
      <c r="BA335" s="3267"/>
      <c r="BB335" s="3267"/>
      <c r="BC335" s="3267"/>
      <c r="BD335" s="3267"/>
      <c r="BE335" s="3267"/>
      <c r="BF335" s="3267"/>
      <c r="BG335" s="3290">
        <v>38962</v>
      </c>
      <c r="BH335" s="3267"/>
      <c r="BI335" s="3279" t="s">
        <v>3069</v>
      </c>
      <c r="BJ335" s="3284">
        <v>38967</v>
      </c>
      <c r="BK335" s="3284"/>
      <c r="BL335" s="3267" t="s">
        <v>2998</v>
      </c>
      <c r="BM335" s="3267" t="s">
        <v>3345</v>
      </c>
      <c r="BN335" s="3267" t="s">
        <v>3111</v>
      </c>
      <c r="BO335" s="3267" t="s">
        <v>3446</v>
      </c>
      <c r="BP335" s="3267"/>
      <c r="BQ335" s="3267"/>
      <c r="BR335" s="3267"/>
      <c r="BS335" s="3285"/>
      <c r="BT335" s="3285"/>
      <c r="BU335" s="3285"/>
      <c r="BV335" s="3347"/>
      <c r="BW335" s="3347"/>
      <c r="BX335" s="3347"/>
      <c r="BY335" s="3347"/>
      <c r="BZ335" s="3347"/>
      <c r="CA335" s="3347"/>
      <c r="CB335" s="3347"/>
      <c r="CC335" s="3347"/>
      <c r="CD335" s="3347"/>
      <c r="CE335" s="3347"/>
      <c r="CF335" s="3347"/>
      <c r="CG335" s="3347"/>
      <c r="CH335" s="3347"/>
      <c r="CI335" s="3347"/>
      <c r="CJ335" s="3347"/>
      <c r="CK335" s="3347"/>
      <c r="CL335" s="3347"/>
      <c r="CM335" s="3347"/>
      <c r="CN335" s="3347"/>
      <c r="CO335" s="3347"/>
      <c r="CP335" s="3347"/>
      <c r="CQ335" s="3347"/>
      <c r="CR335" s="3347"/>
      <c r="CS335" s="3347"/>
      <c r="CT335" s="3347"/>
      <c r="CU335" s="3347"/>
      <c r="CV335" s="3347"/>
      <c r="CW335" s="3347"/>
      <c r="CX335" s="3347"/>
      <c r="CY335" s="3347"/>
      <c r="CZ335" s="3347"/>
      <c r="DA335" s="3347"/>
      <c r="DB335" s="3347"/>
      <c r="DC335" s="3347"/>
      <c r="DD335" s="3347"/>
      <c r="DE335" s="3347"/>
      <c r="DF335" s="3347"/>
      <c r="DG335" s="3347"/>
      <c r="DH335" s="3347"/>
      <c r="DI335" s="3347"/>
      <c r="DJ335" s="3347"/>
      <c r="DK335" s="3347"/>
      <c r="DL335" s="3347"/>
      <c r="DM335" s="3347"/>
      <c r="DN335" s="3347"/>
      <c r="DO335" s="3347"/>
      <c r="DP335" s="3347"/>
      <c r="DQ335" s="3347"/>
      <c r="DR335" s="3347"/>
      <c r="DS335" s="3347"/>
      <c r="DT335" s="3347"/>
      <c r="DU335" s="3347"/>
      <c r="DV335" s="3347"/>
      <c r="DW335" s="3347"/>
      <c r="DX335" s="3347"/>
      <c r="DY335" s="3347"/>
      <c r="DZ335" s="3347"/>
      <c r="EA335" s="3347"/>
      <c r="EB335" s="3347"/>
      <c r="EC335" s="3347"/>
      <c r="ED335" s="3347"/>
      <c r="EE335" s="3347"/>
      <c r="EF335" s="3347"/>
      <c r="EG335" s="3347"/>
      <c r="EH335" s="3347"/>
      <c r="EI335" s="3347"/>
      <c r="EJ335" s="3347"/>
      <c r="EK335" s="3347"/>
      <c r="EL335" s="3347"/>
      <c r="EM335" s="3347"/>
      <c r="EN335" s="3347"/>
      <c r="EO335" s="3347"/>
      <c r="EP335" s="3347"/>
      <c r="EQ335" s="3347"/>
      <c r="ER335" s="3347"/>
      <c r="ES335" s="3347"/>
      <c r="ET335" s="3347"/>
      <c r="EU335" s="3347"/>
      <c r="EV335" s="3347"/>
      <c r="EW335" s="3347"/>
      <c r="EX335" s="3347"/>
      <c r="EY335" s="3347"/>
      <c r="EZ335" s="3347"/>
      <c r="FA335" s="3347"/>
      <c r="FB335" s="3347"/>
      <c r="FC335" s="3347"/>
      <c r="FD335" s="3347"/>
      <c r="FE335" s="3347"/>
      <c r="FF335" s="3347"/>
      <c r="FG335" s="3347"/>
      <c r="FH335" s="3347"/>
      <c r="FI335" s="3347"/>
      <c r="FJ335" s="3347"/>
      <c r="FK335" s="3347"/>
      <c r="FL335" s="3347"/>
      <c r="FM335" s="3347"/>
      <c r="FN335" s="3347"/>
      <c r="FO335" s="3347"/>
      <c r="FP335" s="3347"/>
      <c r="FQ335" s="3347"/>
      <c r="FR335" s="3347"/>
      <c r="FS335" s="3347"/>
      <c r="FT335" s="3347"/>
      <c r="FU335" s="3347"/>
      <c r="FV335" s="3347"/>
      <c r="FW335" s="3347"/>
      <c r="FX335" s="3347"/>
      <c r="FY335" s="3347"/>
      <c r="FZ335" s="3347"/>
      <c r="GA335" s="3347"/>
      <c r="GB335" s="3347"/>
      <c r="GC335" s="3347"/>
      <c r="GD335" s="3347"/>
      <c r="GE335" s="3347"/>
      <c r="GF335" s="3347"/>
      <c r="GG335" s="3347"/>
      <c r="GH335" s="3347"/>
      <c r="GI335" s="3347"/>
      <c r="GJ335" s="3347"/>
      <c r="GK335" s="3347"/>
      <c r="GL335" s="3347"/>
      <c r="GM335" s="3347"/>
      <c r="GN335" s="3347"/>
      <c r="GO335" s="3347"/>
      <c r="GP335" s="3347"/>
      <c r="GQ335" s="3347"/>
      <c r="GR335" s="3347"/>
      <c r="GS335" s="3347"/>
      <c r="GT335" s="3347"/>
      <c r="GU335" s="3347"/>
      <c r="GV335" s="3347"/>
      <c r="GW335" s="3347"/>
      <c r="GX335" s="3347"/>
      <c r="GY335" s="3347"/>
      <c r="GZ335" s="3347"/>
      <c r="HA335" s="3347"/>
      <c r="HB335" s="3347"/>
      <c r="HC335" s="3347"/>
      <c r="HD335" s="3347"/>
      <c r="HE335" s="3347"/>
      <c r="HF335" s="3347"/>
      <c r="HG335" s="3347"/>
      <c r="HH335" s="3347"/>
      <c r="HI335" s="3347"/>
      <c r="HJ335" s="3347"/>
      <c r="HK335" s="3347"/>
      <c r="HL335" s="3347"/>
      <c r="HM335" s="3347"/>
      <c r="HN335" s="3347"/>
      <c r="HO335" s="3347"/>
      <c r="HP335" s="3347"/>
      <c r="HQ335" s="3347"/>
      <c r="HR335" s="3347"/>
      <c r="HS335" s="3347"/>
      <c r="HT335" s="3347"/>
      <c r="HU335" s="3347"/>
      <c r="HV335" s="3347"/>
      <c r="HW335" s="3347"/>
      <c r="HX335" s="3347"/>
      <c r="HY335" s="3347"/>
      <c r="HZ335" s="3347"/>
      <c r="IA335" s="3347"/>
      <c r="IB335" s="3347"/>
      <c r="IC335" s="3347"/>
      <c r="ID335" s="3347"/>
      <c r="IE335" s="3347"/>
      <c r="IF335" s="3347"/>
      <c r="IG335" s="3347"/>
      <c r="IH335" s="3347"/>
      <c r="II335" s="3347"/>
    </row>
    <row r="336" spans="1:249" hidden="1">
      <c r="A336" s="3267" t="s">
        <v>5510</v>
      </c>
      <c r="B336" s="3267" t="s">
        <v>5511</v>
      </c>
      <c r="C336" s="3269" t="s">
        <v>5512</v>
      </c>
      <c r="D336" s="3269" t="s">
        <v>5513</v>
      </c>
      <c r="E336" s="3268" t="s">
        <v>2985</v>
      </c>
      <c r="F336" s="3268" t="s">
        <v>5514</v>
      </c>
      <c r="G336" s="3267"/>
      <c r="H336" s="3267" t="s">
        <v>3402</v>
      </c>
      <c r="I336" s="3268" t="s">
        <v>5515</v>
      </c>
      <c r="J336" s="3267" t="s">
        <v>5168</v>
      </c>
      <c r="K336" s="3267" t="s">
        <v>5516</v>
      </c>
      <c r="L336" s="3267">
        <v>142.5</v>
      </c>
      <c r="M336" s="3267" t="s">
        <v>3266</v>
      </c>
      <c r="N336" s="3267" t="s">
        <v>5517</v>
      </c>
      <c r="O336" s="3267">
        <v>109.66</v>
      </c>
      <c r="P336" s="3267" t="s">
        <v>2963</v>
      </c>
      <c r="Q336" s="3271">
        <v>1200000</v>
      </c>
      <c r="R336" s="3267">
        <v>8421</v>
      </c>
      <c r="S336" s="3272">
        <v>114.31</v>
      </c>
      <c r="T336" s="3273">
        <v>1143100</v>
      </c>
      <c r="U336" s="3267">
        <v>8022</v>
      </c>
      <c r="V336" s="3289">
        <v>0.3</v>
      </c>
      <c r="W336" s="3272">
        <v>80.010000000000005</v>
      </c>
      <c r="X336" s="3275">
        <v>800100</v>
      </c>
      <c r="Y336" s="3276">
        <v>2006</v>
      </c>
      <c r="Z336" s="3276">
        <v>10</v>
      </c>
      <c r="AA336" s="3276">
        <v>31</v>
      </c>
      <c r="AB336" s="3267">
        <v>1500</v>
      </c>
      <c r="AC336" s="3267" t="s">
        <v>2980</v>
      </c>
      <c r="AD336" s="3280" t="s">
        <v>5518</v>
      </c>
      <c r="AE336" s="3279" t="s">
        <v>3295</v>
      </c>
      <c r="AF336" s="3268" t="s">
        <v>2966</v>
      </c>
      <c r="AG336" s="3279" t="s">
        <v>2967</v>
      </c>
      <c r="AH336" s="3267"/>
      <c r="AI336" s="3279" t="s">
        <v>2992</v>
      </c>
      <c r="AJ336" s="3284"/>
      <c r="AK336" s="3278" t="s">
        <v>3148</v>
      </c>
      <c r="AL336" s="3276">
        <v>53</v>
      </c>
      <c r="AM336" s="3267"/>
      <c r="AN336" s="3279" t="s">
        <v>2994</v>
      </c>
      <c r="AO336" s="3267" t="s">
        <v>5519</v>
      </c>
      <c r="AP336" s="3279" t="s">
        <v>3305</v>
      </c>
      <c r="AQ336" s="3267" t="s">
        <v>3228</v>
      </c>
      <c r="AR336" s="3276"/>
      <c r="AS336" s="3276"/>
      <c r="AT336" s="3276"/>
      <c r="AU336" s="3276"/>
      <c r="AV336" s="3276"/>
      <c r="AW336" s="3276" t="s">
        <v>3112</v>
      </c>
      <c r="AX336" s="3276"/>
      <c r="AY336" s="3291"/>
      <c r="AZ336" s="3267" t="s">
        <v>5516</v>
      </c>
      <c r="BA336" s="3296"/>
      <c r="BB336" s="3297"/>
      <c r="BC336" s="3296"/>
      <c r="BD336" s="3296"/>
      <c r="BE336" s="3276"/>
      <c r="BF336" s="3281"/>
      <c r="BG336" s="3293">
        <v>38973</v>
      </c>
      <c r="BH336" s="3267" t="s">
        <v>2998</v>
      </c>
      <c r="BI336" s="3314" t="s">
        <v>3305</v>
      </c>
      <c r="BJ336" s="3283">
        <v>38978</v>
      </c>
      <c r="BK336" s="3283"/>
      <c r="BL336" s="3267" t="s">
        <v>3249</v>
      </c>
      <c r="BM336" s="3276" t="s">
        <v>2879</v>
      </c>
      <c r="BN336" s="3276" t="s">
        <v>2999</v>
      </c>
      <c r="BO336" s="3276" t="s">
        <v>3000</v>
      </c>
      <c r="BP336" s="3276"/>
      <c r="BQ336" s="3276">
        <v>10424</v>
      </c>
      <c r="BR336" s="3276">
        <v>10943</v>
      </c>
      <c r="BS336" s="3285"/>
      <c r="BT336" s="3285"/>
      <c r="BU336" s="3285"/>
      <c r="BV336" s="3347"/>
      <c r="BW336" s="3347"/>
      <c r="BX336" s="3347"/>
      <c r="BY336" s="3347"/>
      <c r="BZ336" s="3347"/>
      <c r="CA336" s="3347"/>
      <c r="CB336" s="3347"/>
      <c r="CC336" s="3347"/>
      <c r="CD336" s="3347"/>
      <c r="CE336" s="3347"/>
      <c r="CF336" s="3347"/>
      <c r="CG336" s="3347"/>
      <c r="CH336" s="3347"/>
      <c r="CI336" s="3347"/>
      <c r="CJ336" s="3347"/>
      <c r="CK336" s="3347"/>
      <c r="CL336" s="3347"/>
      <c r="CM336" s="3347"/>
      <c r="CN336" s="3347"/>
      <c r="CO336" s="3347"/>
      <c r="CP336" s="3347"/>
      <c r="CQ336" s="3347"/>
      <c r="CR336" s="3347"/>
      <c r="CS336" s="3347"/>
      <c r="CT336" s="3347"/>
      <c r="CU336" s="3347"/>
      <c r="CV336" s="3347"/>
      <c r="CW336" s="3347"/>
      <c r="CX336" s="3347"/>
      <c r="CY336" s="3347"/>
      <c r="CZ336" s="3347"/>
      <c r="DA336" s="3347"/>
      <c r="DB336" s="3347"/>
      <c r="DC336" s="3347"/>
      <c r="DD336" s="3347"/>
      <c r="DE336" s="3347"/>
      <c r="DF336" s="3347"/>
      <c r="DG336" s="3347"/>
      <c r="DH336" s="3347"/>
      <c r="DI336" s="3347"/>
      <c r="DJ336" s="3347"/>
      <c r="DK336" s="3347"/>
      <c r="DL336" s="3347"/>
      <c r="DM336" s="3347"/>
      <c r="DN336" s="3347"/>
      <c r="DO336" s="3347"/>
      <c r="DP336" s="3347"/>
      <c r="DQ336" s="3347"/>
      <c r="DR336" s="3347"/>
      <c r="DS336" s="3347"/>
      <c r="DT336" s="3347"/>
      <c r="DU336" s="3347"/>
      <c r="DV336" s="3347"/>
      <c r="DW336" s="3347"/>
      <c r="DX336" s="3347"/>
      <c r="DY336" s="3347"/>
      <c r="DZ336" s="3347"/>
      <c r="EA336" s="3347"/>
      <c r="EB336" s="3347"/>
      <c r="EC336" s="3347"/>
      <c r="ED336" s="3347"/>
      <c r="EE336" s="3347"/>
      <c r="EF336" s="3347"/>
      <c r="EG336" s="3347"/>
      <c r="EH336" s="3347"/>
      <c r="EI336" s="3347"/>
      <c r="EJ336" s="3347"/>
      <c r="EK336" s="3347"/>
      <c r="EL336" s="3347"/>
      <c r="EM336" s="3347"/>
      <c r="EN336" s="3347"/>
      <c r="EO336" s="3347"/>
      <c r="EP336" s="3347"/>
      <c r="EQ336" s="3347"/>
      <c r="ER336" s="3347"/>
      <c r="ES336" s="3347"/>
      <c r="ET336" s="3347"/>
      <c r="EU336" s="3347"/>
      <c r="EV336" s="3347"/>
      <c r="EW336" s="3347"/>
      <c r="EX336" s="3347"/>
      <c r="EY336" s="3347"/>
      <c r="EZ336" s="3347"/>
      <c r="FA336" s="3347"/>
      <c r="FB336" s="3347"/>
      <c r="FC336" s="3347"/>
      <c r="FD336" s="3347"/>
      <c r="FE336" s="3347"/>
      <c r="FF336" s="3347"/>
      <c r="FG336" s="3347"/>
      <c r="FH336" s="3347"/>
      <c r="FI336" s="3347"/>
      <c r="FJ336" s="3347"/>
      <c r="FK336" s="3347"/>
      <c r="FL336" s="3347"/>
      <c r="FM336" s="3347"/>
      <c r="FN336" s="3347"/>
      <c r="FO336" s="3347"/>
      <c r="FP336" s="3347"/>
      <c r="FQ336" s="3347"/>
      <c r="FR336" s="3347"/>
      <c r="FS336" s="3347"/>
      <c r="FT336" s="3347"/>
      <c r="FU336" s="3347"/>
      <c r="FV336" s="3347"/>
      <c r="FW336" s="3347"/>
      <c r="FX336" s="3347"/>
      <c r="FY336" s="3347"/>
      <c r="FZ336" s="3347"/>
      <c r="GA336" s="3347"/>
      <c r="GB336" s="3347"/>
      <c r="GC336" s="3347"/>
      <c r="GD336" s="3347"/>
      <c r="GE336" s="3347"/>
      <c r="GF336" s="3347"/>
      <c r="GG336" s="3347"/>
      <c r="GH336" s="3347"/>
      <c r="GI336" s="3347"/>
      <c r="GJ336" s="3347"/>
      <c r="GK336" s="3347"/>
      <c r="GL336" s="3347"/>
      <c r="GM336" s="3347"/>
      <c r="GN336" s="3347"/>
      <c r="GO336" s="3347"/>
      <c r="GP336" s="3347"/>
      <c r="GQ336" s="3347"/>
      <c r="GR336" s="3347"/>
      <c r="GS336" s="3347"/>
      <c r="GT336" s="3347"/>
      <c r="GU336" s="3347"/>
      <c r="GV336" s="3347"/>
      <c r="GW336" s="3347"/>
      <c r="GX336" s="3347"/>
      <c r="GY336" s="3347"/>
      <c r="GZ336" s="3347"/>
      <c r="HA336" s="3347"/>
      <c r="HB336" s="3347"/>
      <c r="HC336" s="3347"/>
      <c r="HD336" s="3347"/>
      <c r="HE336" s="3347"/>
      <c r="HF336" s="3347"/>
      <c r="HG336" s="3347"/>
      <c r="HH336" s="3347"/>
      <c r="HI336" s="3347"/>
      <c r="HJ336" s="3347"/>
      <c r="HK336" s="3347"/>
      <c r="HL336" s="3347"/>
      <c r="HM336" s="3347"/>
      <c r="HN336" s="3347"/>
      <c r="HO336" s="3347"/>
      <c r="HP336" s="3347"/>
      <c r="HQ336" s="3347"/>
      <c r="HR336" s="3347"/>
      <c r="HS336" s="3347"/>
      <c r="HT336" s="3347"/>
      <c r="HU336" s="3347"/>
      <c r="HV336" s="3347"/>
      <c r="HW336" s="3347"/>
      <c r="HX336" s="3347"/>
      <c r="HY336" s="3347"/>
      <c r="HZ336" s="3347"/>
      <c r="IA336" s="3347"/>
      <c r="IB336" s="3347"/>
      <c r="IC336" s="3347"/>
      <c r="ID336" s="3347"/>
      <c r="IE336" s="3347"/>
      <c r="IF336" s="3347"/>
      <c r="IG336" s="3347"/>
      <c r="IH336" s="3347"/>
      <c r="II336" s="3347"/>
    </row>
    <row r="337" spans="1:249" hidden="1">
      <c r="A337" s="3267" t="s">
        <v>5520</v>
      </c>
      <c r="B337" s="3267" t="s">
        <v>5521</v>
      </c>
      <c r="C337" s="3269" t="s">
        <v>5522</v>
      </c>
      <c r="D337" s="3269" t="s">
        <v>5523</v>
      </c>
      <c r="E337" s="3267" t="s">
        <v>2985</v>
      </c>
      <c r="F337" s="3267" t="s">
        <v>4501</v>
      </c>
      <c r="G337" s="3267"/>
      <c r="H337" s="3267" t="s">
        <v>3668</v>
      </c>
      <c r="I337" s="3267"/>
      <c r="J337" s="3269" t="s">
        <v>5524</v>
      </c>
      <c r="K337" s="3267" t="s">
        <v>5525</v>
      </c>
      <c r="L337" s="3286">
        <v>60.13</v>
      </c>
      <c r="M337" s="3267">
        <v>4</v>
      </c>
      <c r="N337" s="3268" t="s">
        <v>3122</v>
      </c>
      <c r="O337" s="3267"/>
      <c r="P337" s="3267" t="s">
        <v>2963</v>
      </c>
      <c r="Q337" s="3287">
        <v>560000</v>
      </c>
      <c r="R337" s="3267">
        <v>9313</v>
      </c>
      <c r="S337" s="3272">
        <v>45.77</v>
      </c>
      <c r="T337" s="3273">
        <v>457700</v>
      </c>
      <c r="U337" s="3267">
        <v>7613</v>
      </c>
      <c r="V337" s="3274">
        <v>0.2</v>
      </c>
      <c r="W337" s="3272">
        <v>36.61</v>
      </c>
      <c r="X337" s="3275">
        <v>366100</v>
      </c>
      <c r="Y337" s="3276">
        <v>2006</v>
      </c>
      <c r="Z337" s="3276">
        <v>10</v>
      </c>
      <c r="AA337" s="3267">
        <v>18</v>
      </c>
      <c r="AB337" s="3267">
        <v>1370</v>
      </c>
      <c r="AC337" s="3267" t="s">
        <v>2980</v>
      </c>
      <c r="AD337" s="3280" t="s">
        <v>5526</v>
      </c>
      <c r="AE337" s="3276" t="s">
        <v>3304</v>
      </c>
      <c r="AF337" s="3267" t="s">
        <v>2966</v>
      </c>
      <c r="AG337" s="3279" t="s">
        <v>2967</v>
      </c>
      <c r="AH337" s="3267"/>
      <c r="AI337" s="3267" t="s">
        <v>3295</v>
      </c>
      <c r="AJ337" s="3284"/>
      <c r="AK337" s="3278" t="s">
        <v>3148</v>
      </c>
      <c r="AL337" s="3267">
        <v>32</v>
      </c>
      <c r="AM337" s="3267"/>
      <c r="AN337" s="3279" t="s">
        <v>3140</v>
      </c>
      <c r="AO337" s="3267"/>
      <c r="AP337" s="3279" t="s">
        <v>3537</v>
      </c>
      <c r="AQ337" s="3267" t="s">
        <v>3228</v>
      </c>
      <c r="AR337" s="3276"/>
      <c r="AS337" s="3276"/>
      <c r="AT337" s="3276"/>
      <c r="AU337" s="3276"/>
      <c r="AV337" s="3276"/>
      <c r="AW337" s="3268" t="s">
        <v>2997</v>
      </c>
      <c r="AX337" s="3276"/>
      <c r="AY337" s="3291"/>
      <c r="AZ337" s="3276" t="s">
        <v>5525</v>
      </c>
      <c r="BA337" s="3276"/>
      <c r="BB337" s="3291"/>
      <c r="BC337" s="3276"/>
      <c r="BD337" s="3292"/>
      <c r="BE337" s="3276"/>
      <c r="BF337" s="3281"/>
      <c r="BG337" s="3307">
        <v>38955</v>
      </c>
      <c r="BH337" s="3276"/>
      <c r="BI337" s="3267" t="s">
        <v>3537</v>
      </c>
      <c r="BJ337" s="3284">
        <v>38985</v>
      </c>
      <c r="BK337" s="3283"/>
      <c r="BL337" s="3267" t="s">
        <v>2998</v>
      </c>
      <c r="BM337" s="3267" t="s">
        <v>2879</v>
      </c>
      <c r="BN337" s="3276" t="s">
        <v>3111</v>
      </c>
      <c r="BO337" s="3276" t="s">
        <v>3146</v>
      </c>
      <c r="BP337" s="3276"/>
      <c r="BQ337" s="3276"/>
      <c r="BR337" s="3276"/>
      <c r="BS337" s="3285"/>
      <c r="BT337" s="3285"/>
      <c r="BU337" s="3285"/>
      <c r="BV337" s="3347"/>
      <c r="BW337" s="3347"/>
      <c r="BX337" s="3347"/>
      <c r="BY337" s="3347"/>
      <c r="BZ337" s="3347"/>
      <c r="CA337" s="3347"/>
      <c r="CB337" s="3347"/>
      <c r="CC337" s="3347"/>
      <c r="CD337" s="3347"/>
      <c r="CE337" s="3347"/>
      <c r="CF337" s="3347"/>
      <c r="CG337" s="3347"/>
      <c r="CH337" s="3347"/>
      <c r="CI337" s="3347"/>
      <c r="CJ337" s="3347"/>
      <c r="CK337" s="3347"/>
      <c r="CL337" s="3347"/>
      <c r="CM337" s="3347"/>
      <c r="CN337" s="3347"/>
      <c r="CO337" s="3347"/>
      <c r="CP337" s="3347"/>
      <c r="CQ337" s="3347"/>
      <c r="CR337" s="3347"/>
      <c r="CS337" s="3347"/>
      <c r="CT337" s="3347"/>
      <c r="CU337" s="3347"/>
      <c r="CV337" s="3347"/>
      <c r="CW337" s="3347"/>
      <c r="CX337" s="3347"/>
      <c r="CY337" s="3347"/>
      <c r="CZ337" s="3347"/>
      <c r="DA337" s="3347"/>
      <c r="DB337" s="3347"/>
      <c r="DC337" s="3347"/>
      <c r="DD337" s="3347"/>
      <c r="DE337" s="3347"/>
      <c r="DF337" s="3347"/>
      <c r="DG337" s="3347"/>
      <c r="DH337" s="3347"/>
      <c r="DI337" s="3347"/>
      <c r="DJ337" s="3347"/>
      <c r="DK337" s="3347"/>
      <c r="DL337" s="3347"/>
      <c r="DM337" s="3347"/>
      <c r="DN337" s="3347"/>
      <c r="DO337" s="3347"/>
      <c r="DP337" s="3347"/>
      <c r="DQ337" s="3347"/>
      <c r="DR337" s="3347"/>
      <c r="DS337" s="3347"/>
      <c r="DT337" s="3347"/>
      <c r="DU337" s="3347"/>
      <c r="DV337" s="3347"/>
      <c r="DW337" s="3347"/>
      <c r="DX337" s="3347"/>
      <c r="DY337" s="3347"/>
      <c r="DZ337" s="3347"/>
      <c r="EA337" s="3347"/>
      <c r="EB337" s="3347"/>
      <c r="EC337" s="3347"/>
      <c r="ED337" s="3347"/>
      <c r="EE337" s="3347"/>
      <c r="EF337" s="3347"/>
      <c r="EG337" s="3347"/>
      <c r="EH337" s="3347"/>
      <c r="EI337" s="3347"/>
      <c r="EJ337" s="3347"/>
      <c r="EK337" s="3347"/>
      <c r="EL337" s="3347"/>
      <c r="EM337" s="3347"/>
      <c r="EN337" s="3347"/>
      <c r="EO337" s="3347"/>
      <c r="EP337" s="3347"/>
      <c r="EQ337" s="3347"/>
      <c r="ER337" s="3347"/>
      <c r="ES337" s="3347"/>
      <c r="ET337" s="3347"/>
      <c r="EU337" s="3347"/>
      <c r="EV337" s="3347"/>
      <c r="EW337" s="3347"/>
      <c r="EX337" s="3347"/>
      <c r="EY337" s="3347"/>
      <c r="EZ337" s="3347"/>
      <c r="FA337" s="3347"/>
      <c r="FB337" s="3347"/>
      <c r="FC337" s="3347"/>
      <c r="FD337" s="3347"/>
      <c r="FE337" s="3347"/>
      <c r="FF337" s="3347"/>
      <c r="FG337" s="3347"/>
      <c r="FH337" s="3347"/>
      <c r="FI337" s="3347"/>
      <c r="FJ337" s="3347"/>
      <c r="FK337" s="3347"/>
      <c r="FL337" s="3347"/>
      <c r="FM337" s="3347"/>
      <c r="FN337" s="3347"/>
      <c r="FO337" s="3347"/>
      <c r="FP337" s="3347"/>
      <c r="FQ337" s="3347"/>
      <c r="FR337" s="3347"/>
      <c r="FS337" s="3347"/>
      <c r="FT337" s="3347"/>
      <c r="FU337" s="3347"/>
      <c r="FV337" s="3347"/>
      <c r="FW337" s="3347"/>
      <c r="FX337" s="3347"/>
      <c r="FY337" s="3347"/>
      <c r="FZ337" s="3347"/>
      <c r="GA337" s="3347"/>
      <c r="GB337" s="3347"/>
      <c r="GC337" s="3347"/>
      <c r="GD337" s="3347"/>
      <c r="GE337" s="3347"/>
      <c r="GF337" s="3347"/>
      <c r="GG337" s="3347"/>
      <c r="GH337" s="3347"/>
      <c r="GI337" s="3347"/>
      <c r="GJ337" s="3347"/>
      <c r="GK337" s="3347"/>
      <c r="GL337" s="3347"/>
      <c r="GM337" s="3347"/>
      <c r="GN337" s="3347"/>
      <c r="GO337" s="3347"/>
      <c r="GP337" s="3347"/>
      <c r="GQ337" s="3347"/>
      <c r="GR337" s="3347"/>
      <c r="GS337" s="3347"/>
      <c r="GT337" s="3347"/>
      <c r="GU337" s="3347"/>
      <c r="GV337" s="3347"/>
      <c r="GW337" s="3347"/>
      <c r="GX337" s="3347"/>
      <c r="GY337" s="3347"/>
      <c r="GZ337" s="3347"/>
      <c r="HA337" s="3347"/>
      <c r="HB337" s="3347"/>
      <c r="HC337" s="3347"/>
      <c r="HD337" s="3347"/>
      <c r="HE337" s="3347"/>
      <c r="HF337" s="3347"/>
      <c r="HG337" s="3347"/>
      <c r="HH337" s="3347"/>
      <c r="HI337" s="3347"/>
      <c r="HJ337" s="3347"/>
      <c r="HK337" s="3347"/>
      <c r="HL337" s="3347"/>
      <c r="HM337" s="3347"/>
      <c r="HN337" s="3347"/>
      <c r="HO337" s="3347"/>
      <c r="HP337" s="3347"/>
      <c r="HQ337" s="3347"/>
      <c r="HR337" s="3347"/>
      <c r="HS337" s="3347"/>
      <c r="HT337" s="3347"/>
      <c r="HU337" s="3347"/>
      <c r="HV337" s="3347"/>
      <c r="HW337" s="3347"/>
      <c r="HX337" s="3347"/>
      <c r="HY337" s="3347"/>
      <c r="HZ337" s="3347"/>
      <c r="IA337" s="3347"/>
      <c r="IB337" s="3347"/>
      <c r="IC337" s="3347"/>
      <c r="ID337" s="3347"/>
      <c r="IE337" s="3347"/>
      <c r="IF337" s="3347"/>
      <c r="IG337" s="3347"/>
      <c r="IH337" s="3347"/>
      <c r="II337" s="3347"/>
    </row>
    <row r="338" spans="1:249" hidden="1">
      <c r="A338" s="3268" t="s">
        <v>5527</v>
      </c>
      <c r="B338" s="3267" t="s">
        <v>5528</v>
      </c>
      <c r="C338" s="3269" t="s">
        <v>5529</v>
      </c>
      <c r="D338" s="3269" t="s">
        <v>5530</v>
      </c>
      <c r="E338" s="3267" t="s">
        <v>2985</v>
      </c>
      <c r="F338" s="3267" t="s">
        <v>3949</v>
      </c>
      <c r="G338" s="3267"/>
      <c r="H338" s="3267" t="s">
        <v>3225</v>
      </c>
      <c r="I338" s="3267" t="s">
        <v>3141</v>
      </c>
      <c r="J338" s="3269" t="s">
        <v>3189</v>
      </c>
      <c r="K338" s="3267" t="s">
        <v>5531</v>
      </c>
      <c r="L338" s="3267">
        <v>61.2</v>
      </c>
      <c r="M338" s="3267">
        <v>1</v>
      </c>
      <c r="N338" s="3267" t="s">
        <v>3122</v>
      </c>
      <c r="O338" s="3267"/>
      <c r="P338" s="3267" t="s">
        <v>2963</v>
      </c>
      <c r="Q338" s="3271">
        <v>585000</v>
      </c>
      <c r="R338" s="3267">
        <v>9559</v>
      </c>
      <c r="S338" s="3272">
        <v>43.61</v>
      </c>
      <c r="T338" s="3273">
        <v>436100</v>
      </c>
      <c r="U338" s="3267">
        <v>7127</v>
      </c>
      <c r="V338" s="3289">
        <v>0.2</v>
      </c>
      <c r="W338" s="3272">
        <v>34.880000000000003</v>
      </c>
      <c r="X338" s="3275">
        <v>348800</v>
      </c>
      <c r="Y338" s="3276">
        <v>2006</v>
      </c>
      <c r="Z338" s="3276">
        <v>11</v>
      </c>
      <c r="AA338" s="3276">
        <v>9</v>
      </c>
      <c r="AB338" s="3267">
        <v>1305</v>
      </c>
      <c r="AC338" s="3267" t="s">
        <v>2980</v>
      </c>
      <c r="AD338" s="3269" t="s">
        <v>5532</v>
      </c>
      <c r="AE338" s="3279" t="s">
        <v>3344</v>
      </c>
      <c r="AF338" s="3267" t="s">
        <v>2966</v>
      </c>
      <c r="AG338" s="3267" t="s">
        <v>2967</v>
      </c>
      <c r="AH338" s="3267"/>
      <c r="AI338" s="3279" t="s">
        <v>2992</v>
      </c>
      <c r="AJ338" s="3284"/>
      <c r="AK338" s="3316" t="s">
        <v>3137</v>
      </c>
      <c r="AL338" s="3276">
        <v>30</v>
      </c>
      <c r="AM338" s="3267"/>
      <c r="AN338" s="3276" t="s">
        <v>2994</v>
      </c>
      <c r="AO338" s="3276" t="s">
        <v>5533</v>
      </c>
      <c r="AP338" s="3279" t="s">
        <v>4230</v>
      </c>
      <c r="AQ338" s="3267" t="s">
        <v>3228</v>
      </c>
      <c r="AR338" s="3276"/>
      <c r="AS338" s="3276"/>
      <c r="AT338" s="3276"/>
      <c r="AU338" s="3276"/>
      <c r="AV338" s="3276"/>
      <c r="AW338" s="3276" t="s">
        <v>3119</v>
      </c>
      <c r="AX338" s="3276"/>
      <c r="AY338" s="3291"/>
      <c r="AZ338" s="3276" t="s">
        <v>5531</v>
      </c>
      <c r="BA338" s="3276"/>
      <c r="BB338" s="3291"/>
      <c r="BC338" s="3276"/>
      <c r="BD338" s="3292"/>
      <c r="BE338" s="3276"/>
      <c r="BF338" s="3281"/>
      <c r="BG338" s="3299">
        <v>38900</v>
      </c>
      <c r="BH338" s="3276" t="s">
        <v>2998</v>
      </c>
      <c r="BI338" s="3314" t="s">
        <v>4230</v>
      </c>
      <c r="BJ338" s="3283">
        <v>39001</v>
      </c>
      <c r="BK338" s="3283"/>
      <c r="BL338" s="3267" t="s">
        <v>3249</v>
      </c>
      <c r="BM338" s="3276" t="s">
        <v>2879</v>
      </c>
      <c r="BN338" s="3276" t="s">
        <v>2999</v>
      </c>
      <c r="BO338" s="3276" t="s">
        <v>3146</v>
      </c>
      <c r="BP338" s="3276"/>
      <c r="BQ338" s="3276" t="e">
        <v>#DIV/0!</v>
      </c>
      <c r="BR338" s="3276" t="e">
        <v>#DIV/0!</v>
      </c>
      <c r="BS338" s="3285"/>
      <c r="BT338" s="3285"/>
      <c r="BU338" s="3285"/>
    </row>
    <row r="339" spans="1:249" hidden="1">
      <c r="A339" s="3267" t="s">
        <v>5534</v>
      </c>
      <c r="B339" s="3267" t="s">
        <v>5535</v>
      </c>
      <c r="C339" s="3269" t="s">
        <v>5536</v>
      </c>
      <c r="D339" s="3269" t="s">
        <v>5537</v>
      </c>
      <c r="E339" s="3267" t="s">
        <v>2985</v>
      </c>
      <c r="F339" s="3244" t="s">
        <v>5538</v>
      </c>
      <c r="G339" s="3267"/>
      <c r="H339" s="3267" t="s">
        <v>5539</v>
      </c>
      <c r="I339" s="3267"/>
      <c r="J339" s="3269" t="s">
        <v>5540</v>
      </c>
      <c r="K339" s="3267"/>
      <c r="L339" s="3267">
        <v>57.89</v>
      </c>
      <c r="M339" s="3267">
        <v>2</v>
      </c>
      <c r="N339" s="3267" t="s">
        <v>3122</v>
      </c>
      <c r="O339" s="3267"/>
      <c r="P339" s="3267" t="s">
        <v>2963</v>
      </c>
      <c r="Q339" s="3271">
        <v>485000</v>
      </c>
      <c r="R339" s="3267">
        <v>8378</v>
      </c>
      <c r="S339" s="3272">
        <v>38.82</v>
      </c>
      <c r="T339" s="3273">
        <v>388200</v>
      </c>
      <c r="U339" s="3267">
        <v>6707</v>
      </c>
      <c r="V339" s="3289">
        <v>0.2</v>
      </c>
      <c r="W339" s="3272">
        <v>31.05</v>
      </c>
      <c r="X339" s="3275">
        <v>310500</v>
      </c>
      <c r="Y339" s="3276">
        <v>2006</v>
      </c>
      <c r="Z339" s="3276">
        <v>9</v>
      </c>
      <c r="AA339" s="3276">
        <v>28</v>
      </c>
      <c r="AB339" s="3267">
        <v>1160</v>
      </c>
      <c r="AC339" s="3267" t="s">
        <v>2980</v>
      </c>
      <c r="AD339" s="3267">
        <v>91302006091688</v>
      </c>
      <c r="AE339" s="3276" t="s">
        <v>3487</v>
      </c>
      <c r="AF339" s="3267" t="s">
        <v>2966</v>
      </c>
      <c r="AG339" s="3279" t="s">
        <v>2967</v>
      </c>
      <c r="AH339" s="3267" t="s">
        <v>2968</v>
      </c>
      <c r="AI339" s="3267" t="s">
        <v>2992</v>
      </c>
      <c r="AJ339" s="3284"/>
      <c r="AK339" s="3316">
        <v>9</v>
      </c>
      <c r="AL339" s="3276">
        <v>47</v>
      </c>
      <c r="AM339" s="3276"/>
      <c r="AN339" s="3276" t="s">
        <v>2994</v>
      </c>
      <c r="AO339" s="3276" t="s">
        <v>2968</v>
      </c>
      <c r="AP339" s="3276" t="s">
        <v>3487</v>
      </c>
      <c r="AQ339" s="3276" t="s">
        <v>3113</v>
      </c>
      <c r="AR339" s="3276"/>
      <c r="AS339" s="3276"/>
      <c r="AT339" s="3276"/>
      <c r="AU339" s="3276"/>
      <c r="AV339" s="3276" t="s">
        <v>2968</v>
      </c>
      <c r="AW339" s="3276" t="s">
        <v>3171</v>
      </c>
      <c r="AX339" s="3276"/>
      <c r="AY339" s="3291"/>
      <c r="AZ339" s="3276"/>
      <c r="BA339" s="3276"/>
      <c r="BB339" s="3291"/>
      <c r="BC339" s="3276"/>
      <c r="BD339" s="3292"/>
      <c r="BE339" s="3276"/>
      <c r="BF339" s="3281"/>
      <c r="BG339" s="3299">
        <v>38980</v>
      </c>
      <c r="BH339" s="3276"/>
      <c r="BI339" s="3276" t="s">
        <v>3487</v>
      </c>
      <c r="BJ339" s="3283">
        <v>38986</v>
      </c>
      <c r="BK339" s="3283"/>
      <c r="BL339" s="3267" t="s">
        <v>2998</v>
      </c>
      <c r="BM339" s="3276"/>
      <c r="BN339" s="3276"/>
      <c r="BO339" s="3276"/>
      <c r="BP339" s="3276"/>
      <c r="BQ339" s="3276" t="e">
        <v>#DIV/0!</v>
      </c>
      <c r="BR339" s="3276" t="e">
        <v>#DIV/0!</v>
      </c>
      <c r="BS339" s="3285"/>
      <c r="BT339" s="3285"/>
      <c r="BU339" s="3285"/>
    </row>
    <row r="340" spans="1:249" hidden="1">
      <c r="A340" s="3267" t="s">
        <v>5541</v>
      </c>
      <c r="B340" s="3267" t="s">
        <v>5542</v>
      </c>
      <c r="C340" s="3280" t="s">
        <v>5543</v>
      </c>
      <c r="D340" s="3267">
        <v>13716916982</v>
      </c>
      <c r="E340" s="3267" t="s">
        <v>2985</v>
      </c>
      <c r="F340" s="3267" t="s">
        <v>5544</v>
      </c>
      <c r="G340" s="3267"/>
      <c r="H340" s="3267" t="s">
        <v>3402</v>
      </c>
      <c r="I340" s="3267" t="s">
        <v>5545</v>
      </c>
      <c r="J340" s="3267" t="s">
        <v>5546</v>
      </c>
      <c r="K340" s="3267" t="s">
        <v>5547</v>
      </c>
      <c r="L340" s="3267">
        <v>46.13</v>
      </c>
      <c r="M340" s="3267">
        <v>12</v>
      </c>
      <c r="N340" s="3267" t="s">
        <v>3535</v>
      </c>
      <c r="O340" s="3267"/>
      <c r="P340" s="3267" t="s">
        <v>2963</v>
      </c>
      <c r="Q340" s="3271">
        <v>420000</v>
      </c>
      <c r="R340" s="3267">
        <v>9105</v>
      </c>
      <c r="S340" s="3272">
        <v>36.409999999999997</v>
      </c>
      <c r="T340" s="3273">
        <v>364100</v>
      </c>
      <c r="U340" s="3267">
        <v>7894</v>
      </c>
      <c r="V340" s="3289">
        <v>0.2</v>
      </c>
      <c r="W340" s="3272">
        <v>29.12</v>
      </c>
      <c r="X340" s="3275">
        <v>291200</v>
      </c>
      <c r="Y340" s="3276">
        <v>2006</v>
      </c>
      <c r="Z340" s="3276">
        <v>10</v>
      </c>
      <c r="AA340" s="3267">
        <v>19</v>
      </c>
      <c r="AB340" s="3267">
        <v>1090</v>
      </c>
      <c r="AC340" s="3267" t="s">
        <v>2980</v>
      </c>
      <c r="AD340" s="3304">
        <v>91302006091687</v>
      </c>
      <c r="AE340" s="3267" t="s">
        <v>2991</v>
      </c>
      <c r="AF340" s="3267" t="s">
        <v>2966</v>
      </c>
      <c r="AG340" s="3267" t="s">
        <v>2967</v>
      </c>
      <c r="AH340" s="3267"/>
      <c r="AI340" s="3267" t="s">
        <v>2992</v>
      </c>
      <c r="AJ340" s="3284"/>
      <c r="AK340" s="3316" t="s">
        <v>3148</v>
      </c>
      <c r="AL340" s="3267">
        <v>58</v>
      </c>
      <c r="AM340" s="3267"/>
      <c r="AN340" s="3279" t="s">
        <v>3114</v>
      </c>
      <c r="AO340" s="3356" t="s">
        <v>5548</v>
      </c>
      <c r="AP340" s="3267" t="s">
        <v>2991</v>
      </c>
      <c r="AQ340" s="3267" t="s">
        <v>3228</v>
      </c>
      <c r="AR340" s="3276">
        <v>2006</v>
      </c>
      <c r="AS340" s="3276">
        <v>10</v>
      </c>
      <c r="AT340" s="3276">
        <v>19</v>
      </c>
      <c r="AU340" s="3267"/>
      <c r="AV340" s="3267"/>
      <c r="AW340" s="3267" t="s">
        <v>2997</v>
      </c>
      <c r="AX340" s="3267"/>
      <c r="AY340" s="3269"/>
      <c r="AZ340" s="3267" t="s">
        <v>5547</v>
      </c>
      <c r="BA340" s="3267"/>
      <c r="BB340" s="3269"/>
      <c r="BC340" s="3267"/>
      <c r="BD340" s="3304"/>
      <c r="BE340" s="3267"/>
      <c r="BF340" s="3305"/>
      <c r="BG340" s="3284">
        <v>38980</v>
      </c>
      <c r="BH340" s="3267"/>
      <c r="BI340" s="3276" t="s">
        <v>2991</v>
      </c>
      <c r="BJ340" s="3283">
        <v>38986</v>
      </c>
      <c r="BK340" s="3284"/>
      <c r="BL340" s="3276" t="s">
        <v>4905</v>
      </c>
      <c r="BM340" s="3276" t="s">
        <v>2879</v>
      </c>
      <c r="BN340" s="3276" t="s">
        <v>2999</v>
      </c>
      <c r="BO340" s="3267" t="s">
        <v>3146</v>
      </c>
      <c r="BP340" s="3267"/>
      <c r="BQ340" s="3276" t="e">
        <v>#DIV/0!</v>
      </c>
      <c r="BR340" s="3276" t="e">
        <v>#DIV/0!</v>
      </c>
      <c r="BS340" s="3285"/>
      <c r="BT340" s="3285"/>
      <c r="BU340" s="3285"/>
    </row>
    <row r="341" spans="1:249" hidden="1">
      <c r="A341" s="3267" t="s">
        <v>5549</v>
      </c>
      <c r="B341" s="3267" t="s">
        <v>5550</v>
      </c>
      <c r="C341" s="3269" t="s">
        <v>5551</v>
      </c>
      <c r="D341" s="3269" t="s">
        <v>5552</v>
      </c>
      <c r="E341" s="3268" t="s">
        <v>2985</v>
      </c>
      <c r="F341" s="3268" t="s">
        <v>4449</v>
      </c>
      <c r="G341" s="3267"/>
      <c r="H341" s="3267" t="s">
        <v>3127</v>
      </c>
      <c r="I341" s="3268"/>
      <c r="J341" s="3267" t="s">
        <v>3165</v>
      </c>
      <c r="K341" s="3267" t="s">
        <v>5553</v>
      </c>
      <c r="L341" s="3267">
        <v>53.95</v>
      </c>
      <c r="M341" s="3269" t="s">
        <v>3282</v>
      </c>
      <c r="N341" s="3267" t="s">
        <v>3122</v>
      </c>
      <c r="O341" s="3267"/>
      <c r="P341" s="3267" t="s">
        <v>2963</v>
      </c>
      <c r="Q341" s="3271">
        <v>425000</v>
      </c>
      <c r="R341" s="3267">
        <v>7878</v>
      </c>
      <c r="S341" s="3272">
        <v>33.85</v>
      </c>
      <c r="T341" s="3273">
        <v>338500</v>
      </c>
      <c r="U341" s="3267">
        <v>6276</v>
      </c>
      <c r="V341" s="3289">
        <v>0.2</v>
      </c>
      <c r="W341" s="3272">
        <v>27.08</v>
      </c>
      <c r="X341" s="3275">
        <v>270800</v>
      </c>
      <c r="Y341" s="3276">
        <v>2006</v>
      </c>
      <c r="Z341" s="3276">
        <v>10</v>
      </c>
      <c r="AA341" s="3276">
        <v>30</v>
      </c>
      <c r="AB341" s="3267">
        <v>1015</v>
      </c>
      <c r="AC341" s="3267" t="s">
        <v>2980</v>
      </c>
      <c r="AD341" s="3269" t="s">
        <v>5554</v>
      </c>
      <c r="AE341" s="3279" t="s">
        <v>3295</v>
      </c>
      <c r="AF341" s="3268" t="s">
        <v>2966</v>
      </c>
      <c r="AG341" s="3279" t="s">
        <v>2967</v>
      </c>
      <c r="AH341" s="3267"/>
      <c r="AI341" s="3279" t="s">
        <v>2992</v>
      </c>
      <c r="AJ341" s="3284"/>
      <c r="AK341" s="3278" t="s">
        <v>3148</v>
      </c>
      <c r="AL341" s="3276">
        <v>27</v>
      </c>
      <c r="AM341" s="3276"/>
      <c r="AN341" s="3279" t="s">
        <v>2994</v>
      </c>
      <c r="AO341" s="3267"/>
      <c r="AP341" s="3279" t="s">
        <v>3305</v>
      </c>
      <c r="AQ341" s="3276" t="s">
        <v>2996</v>
      </c>
      <c r="AR341" s="3276"/>
      <c r="AS341" s="3276"/>
      <c r="AT341" s="3276"/>
      <c r="AU341" s="3276"/>
      <c r="AV341" s="3276"/>
      <c r="AW341" s="3276" t="s">
        <v>3112</v>
      </c>
      <c r="AX341" s="3276"/>
      <c r="AY341" s="3291"/>
      <c r="AZ341" s="3267" t="s">
        <v>5553</v>
      </c>
      <c r="BA341" s="3296"/>
      <c r="BB341" s="3297"/>
      <c r="BC341" s="3296"/>
      <c r="BD341" s="3298"/>
      <c r="BE341" s="3276" t="s">
        <v>5555</v>
      </c>
      <c r="BF341" s="3281"/>
      <c r="BG341" s="3293">
        <v>38983</v>
      </c>
      <c r="BH341" s="3267" t="s">
        <v>2998</v>
      </c>
      <c r="BI341" s="3314" t="s">
        <v>3305</v>
      </c>
      <c r="BJ341" s="3283">
        <v>39013</v>
      </c>
      <c r="BK341" s="3283"/>
      <c r="BL341" s="3267" t="s">
        <v>3249</v>
      </c>
      <c r="BM341" s="3276" t="s">
        <v>2879</v>
      </c>
      <c r="BN341" s="3276" t="s">
        <v>2999</v>
      </c>
      <c r="BO341" s="3276" t="s">
        <v>3000</v>
      </c>
      <c r="BP341" s="3276"/>
      <c r="BQ341" s="3276" t="e">
        <v>#DIV/0!</v>
      </c>
      <c r="BR341" s="3276" t="e">
        <v>#DIV/0!</v>
      </c>
      <c r="BS341" s="3285"/>
      <c r="BT341" s="3285"/>
      <c r="BU341" s="3285"/>
    </row>
    <row r="342" spans="1:249">
      <c r="A342" s="3267" t="s">
        <v>5556</v>
      </c>
      <c r="B342" s="3267" t="s">
        <v>5557</v>
      </c>
      <c r="C342" s="3269" t="s">
        <v>5558</v>
      </c>
      <c r="D342" s="3269" t="s">
        <v>5559</v>
      </c>
      <c r="E342" s="3268" t="s">
        <v>2985</v>
      </c>
      <c r="F342" s="3268" t="s">
        <v>5560</v>
      </c>
      <c r="G342" s="3267"/>
      <c r="H342" s="3267" t="s">
        <v>3194</v>
      </c>
      <c r="I342" s="3268"/>
      <c r="J342" s="3267">
        <v>603</v>
      </c>
      <c r="K342" s="3267" t="s">
        <v>5561</v>
      </c>
      <c r="L342" s="3267">
        <v>58.82</v>
      </c>
      <c r="M342" s="3267">
        <v>6</v>
      </c>
      <c r="N342" s="3267" t="s">
        <v>3152</v>
      </c>
      <c r="O342" s="3267"/>
      <c r="P342" s="3267" t="s">
        <v>2963</v>
      </c>
      <c r="Q342" s="3271">
        <v>448000</v>
      </c>
      <c r="R342" s="3267">
        <v>7616</v>
      </c>
      <c r="S342" s="3272">
        <v>38.85</v>
      </c>
      <c r="T342" s="3273">
        <v>388500</v>
      </c>
      <c r="U342" s="3267">
        <v>6606</v>
      </c>
      <c r="V342" s="3289">
        <v>0.2</v>
      </c>
      <c r="W342" s="3272">
        <v>31.08</v>
      </c>
      <c r="X342" s="3275">
        <v>310800</v>
      </c>
      <c r="Y342" s="3267">
        <v>2006</v>
      </c>
      <c r="Z342" s="3276">
        <v>10</v>
      </c>
      <c r="AA342" s="3276">
        <v>18</v>
      </c>
      <c r="AB342" s="3267">
        <v>1165</v>
      </c>
      <c r="AC342" s="3267" t="s">
        <v>2980</v>
      </c>
      <c r="AD342" s="3269" t="s">
        <v>5562</v>
      </c>
      <c r="AE342" s="3279" t="s">
        <v>3344</v>
      </c>
      <c r="AF342" s="3268" t="s">
        <v>2966</v>
      </c>
      <c r="AG342" s="3279" t="s">
        <v>2967</v>
      </c>
      <c r="AH342" s="3267"/>
      <c r="AI342" s="3279" t="s">
        <v>2992</v>
      </c>
      <c r="AJ342" s="3284"/>
      <c r="AK342" s="3278" t="s">
        <v>3148</v>
      </c>
      <c r="AL342" s="3276">
        <v>50</v>
      </c>
      <c r="AM342" s="3267"/>
      <c r="AN342" s="3279" t="s">
        <v>2994</v>
      </c>
      <c r="AO342" s="3267" t="s">
        <v>5563</v>
      </c>
      <c r="AP342" s="3279" t="s">
        <v>4230</v>
      </c>
      <c r="AQ342" s="3267" t="s">
        <v>3228</v>
      </c>
      <c r="AR342" s="3276"/>
      <c r="AS342" s="3276"/>
      <c r="AT342" s="3276"/>
      <c r="AU342" s="3276"/>
      <c r="AV342" s="3276"/>
      <c r="AW342" s="3276" t="s">
        <v>2997</v>
      </c>
      <c r="AX342" s="3276"/>
      <c r="AY342" s="3291"/>
      <c r="AZ342" s="3267" t="s">
        <v>5561</v>
      </c>
      <c r="BA342" s="3296"/>
      <c r="BB342" s="3297"/>
      <c r="BC342" s="3296"/>
      <c r="BD342" s="3298"/>
      <c r="BE342" s="3276"/>
      <c r="BF342" s="3281"/>
      <c r="BG342" s="3293">
        <v>38983</v>
      </c>
      <c r="BH342" s="3354" t="s">
        <v>2998</v>
      </c>
      <c r="BI342" s="3314" t="s">
        <v>4230</v>
      </c>
      <c r="BJ342" s="3283">
        <v>38988</v>
      </c>
      <c r="BK342" s="3283"/>
      <c r="BL342" s="3267" t="s">
        <v>3249</v>
      </c>
      <c r="BM342" s="3276" t="s">
        <v>2879</v>
      </c>
      <c r="BN342" s="3276" t="s">
        <v>2999</v>
      </c>
      <c r="BO342" s="3276" t="s">
        <v>3146</v>
      </c>
      <c r="BP342" s="3276"/>
      <c r="BQ342" s="3276" t="e">
        <v>#DIV/0!</v>
      </c>
      <c r="BR342" s="3276" t="e">
        <v>#DIV/0!</v>
      </c>
      <c r="BS342" s="3285"/>
      <c r="BT342" s="3285"/>
      <c r="BU342" s="3285"/>
    </row>
    <row r="343" spans="1:249" hidden="1">
      <c r="A343" s="3267" t="s">
        <v>5564</v>
      </c>
      <c r="B343" s="3267" t="s">
        <v>5565</v>
      </c>
      <c r="C343" s="3269" t="s">
        <v>5566</v>
      </c>
      <c r="D343" s="3269" t="s">
        <v>5567</v>
      </c>
      <c r="E343" s="3268" t="s">
        <v>2985</v>
      </c>
      <c r="F343" s="3268" t="s">
        <v>3309</v>
      </c>
      <c r="G343" s="3267"/>
      <c r="H343" s="3267" t="s">
        <v>3806</v>
      </c>
      <c r="I343" s="3268"/>
      <c r="J343" s="3267" t="s">
        <v>5568</v>
      </c>
      <c r="K343" s="3267" t="s">
        <v>5569</v>
      </c>
      <c r="L343" s="3267">
        <v>122.71</v>
      </c>
      <c r="M343" s="3267">
        <v>2</v>
      </c>
      <c r="N343" s="3267" t="s">
        <v>3116</v>
      </c>
      <c r="O343" s="3267">
        <v>98.09</v>
      </c>
      <c r="P343" s="3267" t="s">
        <v>2963</v>
      </c>
      <c r="Q343" s="3271">
        <v>521517</v>
      </c>
      <c r="R343" s="3267">
        <v>4250</v>
      </c>
      <c r="S343" s="3272">
        <v>52.15</v>
      </c>
      <c r="T343" s="3273">
        <v>521500</v>
      </c>
      <c r="U343" s="3267">
        <v>4250</v>
      </c>
      <c r="V343" s="3289">
        <v>0.3</v>
      </c>
      <c r="W343" s="3272">
        <v>36.5</v>
      </c>
      <c r="X343" s="3275">
        <v>365000</v>
      </c>
      <c r="Y343" s="3276">
        <v>2006</v>
      </c>
      <c r="Z343" s="3276">
        <v>11</v>
      </c>
      <c r="AA343" s="3276">
        <v>2</v>
      </c>
      <c r="AB343" s="3267">
        <v>1500</v>
      </c>
      <c r="AC343" s="3267" t="s">
        <v>2980</v>
      </c>
      <c r="AD343" s="3269" t="s">
        <v>5570</v>
      </c>
      <c r="AE343" s="3279" t="s">
        <v>3344</v>
      </c>
      <c r="AF343" s="3268" t="s">
        <v>2966</v>
      </c>
      <c r="AG343" s="3279" t="s">
        <v>5571</v>
      </c>
      <c r="AH343" s="3267"/>
      <c r="AI343" s="3279" t="s">
        <v>2992</v>
      </c>
      <c r="AJ343" s="3284"/>
      <c r="AK343" s="3278" t="s">
        <v>3137</v>
      </c>
      <c r="AL343" s="3276">
        <v>59</v>
      </c>
      <c r="AM343" s="3267"/>
      <c r="AN343" s="3279" t="s">
        <v>3131</v>
      </c>
      <c r="AO343" s="3267" t="s">
        <v>5572</v>
      </c>
      <c r="AP343" s="3279" t="s">
        <v>3305</v>
      </c>
      <c r="AQ343" s="3267" t="s">
        <v>3228</v>
      </c>
      <c r="AR343" s="3276"/>
      <c r="AS343" s="3276"/>
      <c r="AT343" s="3276"/>
      <c r="AU343" s="3276"/>
      <c r="AV343" s="3276"/>
      <c r="AW343" s="3276" t="s">
        <v>2997</v>
      </c>
      <c r="AX343" s="3276"/>
      <c r="AY343" s="3291"/>
      <c r="AZ343" s="3267" t="s">
        <v>5569</v>
      </c>
      <c r="BA343" s="3296"/>
      <c r="BB343" s="3297"/>
      <c r="BC343" s="3296"/>
      <c r="BD343" s="3296"/>
      <c r="BE343" s="3276"/>
      <c r="BF343" s="3281"/>
      <c r="BG343" s="3293">
        <v>38989</v>
      </c>
      <c r="BH343" s="3267" t="s">
        <v>2998</v>
      </c>
      <c r="BI343" s="3314" t="s">
        <v>3305</v>
      </c>
      <c r="BJ343" s="3283">
        <v>38989</v>
      </c>
      <c r="BK343" s="3283"/>
      <c r="BL343" s="3267" t="s">
        <v>3249</v>
      </c>
      <c r="BM343" s="3276" t="s">
        <v>2879</v>
      </c>
      <c r="BN343" s="3276" t="s">
        <v>2999</v>
      </c>
      <c r="BO343" s="3276" t="s">
        <v>3146</v>
      </c>
      <c r="BP343" s="3276"/>
      <c r="BQ343" s="3276">
        <v>5317</v>
      </c>
      <c r="BR343" s="3276">
        <v>5317</v>
      </c>
      <c r="BS343" s="3285"/>
      <c r="BT343" s="3285"/>
      <c r="BU343" s="3285"/>
    </row>
    <row r="344" spans="1:249" hidden="1">
      <c r="A344" s="3267" t="s">
        <v>5573</v>
      </c>
      <c r="B344" s="3267" t="s">
        <v>5574</v>
      </c>
      <c r="C344" s="3269" t="s">
        <v>5575</v>
      </c>
      <c r="D344" s="3269">
        <v>13520028345</v>
      </c>
      <c r="E344" s="3268" t="s">
        <v>2985</v>
      </c>
      <c r="F344" s="3268" t="s">
        <v>4157</v>
      </c>
      <c r="G344" s="3267"/>
      <c r="H344" s="3267" t="s">
        <v>4158</v>
      </c>
      <c r="I344" s="3268" t="s">
        <v>3281</v>
      </c>
      <c r="J344" s="3267" t="s">
        <v>3165</v>
      </c>
      <c r="K344" s="3267" t="s">
        <v>5576</v>
      </c>
      <c r="L344" s="3267">
        <v>107.54</v>
      </c>
      <c r="M344" s="3267">
        <v>6</v>
      </c>
      <c r="N344" s="3267" t="s">
        <v>3116</v>
      </c>
      <c r="O344" s="3267">
        <v>94.59</v>
      </c>
      <c r="P344" s="3267" t="s">
        <v>2963</v>
      </c>
      <c r="Q344" s="3271">
        <v>670000</v>
      </c>
      <c r="R344" s="3267">
        <v>6230</v>
      </c>
      <c r="S344" s="3272">
        <v>66.489999999999995</v>
      </c>
      <c r="T344" s="3273">
        <v>664900</v>
      </c>
      <c r="U344" s="3267">
        <v>6183</v>
      </c>
      <c r="V344" s="3289">
        <v>0.3</v>
      </c>
      <c r="W344" s="3272">
        <v>46.54</v>
      </c>
      <c r="X344" s="3275">
        <v>465400</v>
      </c>
      <c r="Y344" s="3276">
        <v>2006</v>
      </c>
      <c r="Z344" s="3276">
        <v>10</v>
      </c>
      <c r="AA344" s="3276">
        <v>31</v>
      </c>
      <c r="AB344" s="3267">
        <v>1500</v>
      </c>
      <c r="AC344" s="3267" t="s">
        <v>2980</v>
      </c>
      <c r="AD344" s="3280" t="s">
        <v>5577</v>
      </c>
      <c r="AE344" s="3279" t="s">
        <v>3245</v>
      </c>
      <c r="AF344" s="3268" t="s">
        <v>2966</v>
      </c>
      <c r="AG344" s="3279" t="s">
        <v>2967</v>
      </c>
      <c r="AH344" s="3267"/>
      <c r="AI344" s="3279" t="s">
        <v>2992</v>
      </c>
      <c r="AJ344" s="3284"/>
      <c r="AK344" s="3278" t="s">
        <v>3148</v>
      </c>
      <c r="AL344" s="3276">
        <v>42</v>
      </c>
      <c r="AM344" s="3267"/>
      <c r="AN344" s="3279" t="s">
        <v>2994</v>
      </c>
      <c r="AO344" s="3267" t="s">
        <v>5578</v>
      </c>
      <c r="AP344" s="3279" t="s">
        <v>3305</v>
      </c>
      <c r="AQ344" s="3267" t="s">
        <v>3113</v>
      </c>
      <c r="AR344" s="3276"/>
      <c r="AS344" s="3276"/>
      <c r="AT344" s="3276"/>
      <c r="AU344" s="3276"/>
      <c r="AV344" s="3276"/>
      <c r="AW344" s="3276" t="s">
        <v>2997</v>
      </c>
      <c r="AX344" s="3276" t="s">
        <v>2968</v>
      </c>
      <c r="AY344" s="3291"/>
      <c r="AZ344" s="3267" t="s">
        <v>5576</v>
      </c>
      <c r="BA344" s="3296"/>
      <c r="BB344" s="3297"/>
      <c r="BC344" s="3296"/>
      <c r="BD344" s="3296"/>
      <c r="BE344" s="3276">
        <v>13051641658</v>
      </c>
      <c r="BF344" s="3281" t="s">
        <v>2968</v>
      </c>
      <c r="BG344" s="3293">
        <v>38986</v>
      </c>
      <c r="BH344" s="3267" t="s">
        <v>2998</v>
      </c>
      <c r="BI344" s="3314" t="s">
        <v>3305</v>
      </c>
      <c r="BJ344" s="3283">
        <v>38986</v>
      </c>
      <c r="BK344" s="3283" t="s">
        <v>2968</v>
      </c>
      <c r="BL344" s="3267" t="s">
        <v>3249</v>
      </c>
      <c r="BM344" s="3276" t="s">
        <v>2879</v>
      </c>
      <c r="BN344" s="3276" t="s">
        <v>3111</v>
      </c>
      <c r="BO344" s="3276" t="s">
        <v>3000</v>
      </c>
      <c r="BP344" s="3276"/>
      <c r="BQ344" s="3276">
        <v>7029</v>
      </c>
      <c r="BR344" s="3276">
        <v>7083</v>
      </c>
      <c r="BS344" s="3285"/>
      <c r="BT344" s="3285"/>
      <c r="BU344" s="3285"/>
    </row>
    <row r="345" spans="1:249" hidden="1">
      <c r="A345" s="3267" t="s">
        <v>5579</v>
      </c>
      <c r="B345" s="3267" t="s">
        <v>5580</v>
      </c>
      <c r="C345" s="3269" t="s">
        <v>5581</v>
      </c>
      <c r="D345" s="3269" t="s">
        <v>5582</v>
      </c>
      <c r="E345" s="3268" t="s">
        <v>2985</v>
      </c>
      <c r="F345" s="3268" t="s">
        <v>5583</v>
      </c>
      <c r="G345" s="3267"/>
      <c r="H345" s="3267" t="s">
        <v>3139</v>
      </c>
      <c r="I345" s="3268"/>
      <c r="J345" s="3267" t="s">
        <v>5450</v>
      </c>
      <c r="K345" s="3267" t="s">
        <v>3222</v>
      </c>
      <c r="L345" s="3267">
        <v>115.46</v>
      </c>
      <c r="M345" s="3267">
        <v>13</v>
      </c>
      <c r="N345" s="3267" t="s">
        <v>3122</v>
      </c>
      <c r="O345" s="3267">
        <v>97.58</v>
      </c>
      <c r="P345" s="3267" t="s">
        <v>2963</v>
      </c>
      <c r="Q345" s="3271">
        <v>630000</v>
      </c>
      <c r="R345" s="3267">
        <v>5456</v>
      </c>
      <c r="S345" s="3272">
        <v>82.71</v>
      </c>
      <c r="T345" s="3273">
        <v>827099.99999999988</v>
      </c>
      <c r="U345" s="3267">
        <v>7164</v>
      </c>
      <c r="V345" s="3289">
        <v>0.3</v>
      </c>
      <c r="W345" s="3272">
        <v>57.89</v>
      </c>
      <c r="X345" s="3275">
        <v>578900</v>
      </c>
      <c r="Y345" s="3276">
        <v>2006</v>
      </c>
      <c r="Z345" s="3276">
        <v>10</v>
      </c>
      <c r="AA345" s="3276">
        <v>8</v>
      </c>
      <c r="AB345" s="3267">
        <v>1500</v>
      </c>
      <c r="AC345" s="3267" t="s">
        <v>3110</v>
      </c>
      <c r="AD345" s="3280"/>
      <c r="AE345" s="3279" t="s">
        <v>3344</v>
      </c>
      <c r="AF345" s="3268" t="s">
        <v>2966</v>
      </c>
      <c r="AG345" s="3279" t="s">
        <v>2967</v>
      </c>
      <c r="AH345" s="3267" t="s">
        <v>5584</v>
      </c>
      <c r="AI345" s="3279" t="s">
        <v>2992</v>
      </c>
      <c r="AJ345" s="3284"/>
      <c r="AK345" s="3278" t="s">
        <v>3148</v>
      </c>
      <c r="AL345" s="3276">
        <v>56</v>
      </c>
      <c r="AM345" s="3267"/>
      <c r="AN345" s="3279" t="s">
        <v>3131</v>
      </c>
      <c r="AO345" s="3267" t="s">
        <v>5585</v>
      </c>
      <c r="AP345" s="3279" t="s">
        <v>3305</v>
      </c>
      <c r="AQ345" s="3276" t="s">
        <v>3113</v>
      </c>
      <c r="AR345" s="3276"/>
      <c r="AS345" s="3276"/>
      <c r="AT345" s="3276"/>
      <c r="AU345" s="3276"/>
      <c r="AV345" s="3276"/>
      <c r="AW345" s="3276" t="s">
        <v>2997</v>
      </c>
      <c r="AX345" s="3276"/>
      <c r="AY345" s="3291"/>
      <c r="AZ345" s="3267" t="s">
        <v>3222</v>
      </c>
      <c r="BA345" s="3296"/>
      <c r="BB345" s="3297"/>
      <c r="BC345" s="3296"/>
      <c r="BD345" s="3296"/>
      <c r="BE345" s="3276" t="s">
        <v>5586</v>
      </c>
      <c r="BF345" s="3281"/>
      <c r="BG345" s="3293">
        <v>38977</v>
      </c>
      <c r="BH345" s="3267" t="s">
        <v>2998</v>
      </c>
      <c r="BI345" s="3314" t="s">
        <v>3305</v>
      </c>
      <c r="BJ345" s="3283">
        <v>38977</v>
      </c>
      <c r="BK345" s="3283"/>
      <c r="BL345" s="3267" t="s">
        <v>3249</v>
      </c>
      <c r="BM345" s="3276" t="s">
        <v>2879</v>
      </c>
      <c r="BN345" s="3276" t="s">
        <v>2999</v>
      </c>
      <c r="BO345" s="3276" t="s">
        <v>3146</v>
      </c>
      <c r="BP345" s="3276"/>
      <c r="BQ345" s="3276">
        <v>8476</v>
      </c>
      <c r="BR345" s="3276">
        <v>6456</v>
      </c>
      <c r="BS345" s="3285"/>
      <c r="BT345" s="3285"/>
      <c r="BU345" s="3285"/>
    </row>
    <row r="346" spans="1:249" hidden="1">
      <c r="A346" s="3268" t="s">
        <v>5587</v>
      </c>
      <c r="B346" s="3267" t="s">
        <v>5588</v>
      </c>
      <c r="C346" s="3269" t="s">
        <v>5589</v>
      </c>
      <c r="D346" s="3269" t="s">
        <v>5590</v>
      </c>
      <c r="E346" s="3267" t="s">
        <v>2985</v>
      </c>
      <c r="F346" s="3267" t="s">
        <v>5591</v>
      </c>
      <c r="G346" s="3267"/>
      <c r="H346" s="3267" t="s">
        <v>3138</v>
      </c>
      <c r="I346" s="3267" t="s">
        <v>3608</v>
      </c>
      <c r="J346" s="3269" t="s">
        <v>3662</v>
      </c>
      <c r="K346" s="3267" t="s">
        <v>5592</v>
      </c>
      <c r="L346" s="3267">
        <v>68.540000000000006</v>
      </c>
      <c r="M346" s="3267">
        <v>5</v>
      </c>
      <c r="N346" s="3267" t="s">
        <v>3122</v>
      </c>
      <c r="O346" s="3267"/>
      <c r="P346" s="3267" t="s">
        <v>2963</v>
      </c>
      <c r="Q346" s="3271">
        <v>630000</v>
      </c>
      <c r="R346" s="3267">
        <v>9192</v>
      </c>
      <c r="S346" s="3272">
        <v>46.24</v>
      </c>
      <c r="T346" s="3273">
        <v>462400</v>
      </c>
      <c r="U346" s="3267">
        <v>6747</v>
      </c>
      <c r="V346" s="3289">
        <v>0.2</v>
      </c>
      <c r="W346" s="3272">
        <v>36.99</v>
      </c>
      <c r="X346" s="3275">
        <v>369900</v>
      </c>
      <c r="Y346" s="3276">
        <v>2006</v>
      </c>
      <c r="Z346" s="3276">
        <v>11</v>
      </c>
      <c r="AA346" s="3276">
        <v>1</v>
      </c>
      <c r="AB346" s="3267">
        <v>1385</v>
      </c>
      <c r="AC346" s="3267" t="s">
        <v>2980</v>
      </c>
      <c r="AD346" s="3269" t="s">
        <v>5593</v>
      </c>
      <c r="AE346" s="3279" t="s">
        <v>3344</v>
      </c>
      <c r="AF346" s="3267" t="s">
        <v>2966</v>
      </c>
      <c r="AG346" s="3267" t="s">
        <v>2967</v>
      </c>
      <c r="AH346" s="3267"/>
      <c r="AI346" s="3279" t="s">
        <v>2992</v>
      </c>
      <c r="AJ346" s="3284"/>
      <c r="AK346" s="3316" t="s">
        <v>3137</v>
      </c>
      <c r="AL346" s="3276">
        <v>30</v>
      </c>
      <c r="AM346" s="3267"/>
      <c r="AN346" s="3276" t="s">
        <v>3131</v>
      </c>
      <c r="AO346" s="3276" t="s">
        <v>5594</v>
      </c>
      <c r="AP346" s="3279" t="s">
        <v>4230</v>
      </c>
      <c r="AQ346" s="3267" t="s">
        <v>3228</v>
      </c>
      <c r="AR346" s="3276"/>
      <c r="AS346" s="3276"/>
      <c r="AT346" s="3276"/>
      <c r="AU346" s="3276"/>
      <c r="AV346" s="3276"/>
      <c r="AW346" s="3276" t="s">
        <v>3119</v>
      </c>
      <c r="AX346" s="3276"/>
      <c r="AY346" s="3291"/>
      <c r="AZ346" s="3276" t="s">
        <v>5592</v>
      </c>
      <c r="BA346" s="3276"/>
      <c r="BB346" s="3291"/>
      <c r="BC346" s="3276"/>
      <c r="BD346" s="3292"/>
      <c r="BE346" s="3276">
        <v>13501360409</v>
      </c>
      <c r="BF346" s="3281"/>
      <c r="BG346" s="3299">
        <v>39000</v>
      </c>
      <c r="BH346" s="3276" t="s">
        <v>2998</v>
      </c>
      <c r="BI346" s="3314" t="s">
        <v>4230</v>
      </c>
      <c r="BJ346" s="3283">
        <v>39000</v>
      </c>
      <c r="BK346" s="3283"/>
      <c r="BL346" s="3267" t="s">
        <v>3249</v>
      </c>
      <c r="BM346" s="3276" t="s">
        <v>2879</v>
      </c>
      <c r="BN346" s="3276" t="s">
        <v>2999</v>
      </c>
      <c r="BO346" s="3276" t="s">
        <v>3146</v>
      </c>
      <c r="BP346" s="3276"/>
      <c r="BQ346" s="3276" t="e">
        <v>#DIV/0!</v>
      </c>
      <c r="BR346" s="3276" t="e">
        <v>#DIV/0!</v>
      </c>
      <c r="BS346" s="3285"/>
      <c r="BT346" s="3285"/>
      <c r="BU346" s="3285"/>
    </row>
    <row r="347" spans="1:249" hidden="1">
      <c r="A347" s="3267" t="s">
        <v>5595</v>
      </c>
      <c r="B347" s="3267" t="s">
        <v>5596</v>
      </c>
      <c r="C347" s="3269" t="s">
        <v>5597</v>
      </c>
      <c r="D347" s="3269" t="s">
        <v>5598</v>
      </c>
      <c r="E347" s="3268" t="s">
        <v>2985</v>
      </c>
      <c r="F347" s="3268" t="s">
        <v>3401</v>
      </c>
      <c r="G347" s="3267"/>
      <c r="H347" s="3268" t="s">
        <v>3118</v>
      </c>
      <c r="I347" s="3268"/>
      <c r="J347" s="3267" t="s">
        <v>4873</v>
      </c>
      <c r="K347" s="3267" t="s">
        <v>5155</v>
      </c>
      <c r="L347" s="3267">
        <v>72</v>
      </c>
      <c r="M347" s="3267">
        <v>2</v>
      </c>
      <c r="N347" s="3267" t="s">
        <v>3098</v>
      </c>
      <c r="O347" s="3267"/>
      <c r="P347" s="3267" t="s">
        <v>2963</v>
      </c>
      <c r="Q347" s="3271">
        <v>580000</v>
      </c>
      <c r="R347" s="3267">
        <v>8056</v>
      </c>
      <c r="S347" s="3272">
        <v>47.16</v>
      </c>
      <c r="T347" s="3273">
        <v>471600</v>
      </c>
      <c r="U347" s="3267">
        <v>6550</v>
      </c>
      <c r="V347" s="3289">
        <v>0.2</v>
      </c>
      <c r="W347" s="3272">
        <v>37.72</v>
      </c>
      <c r="X347" s="3275">
        <v>377200</v>
      </c>
      <c r="Y347" s="3276">
        <v>2006</v>
      </c>
      <c r="Z347" s="3276">
        <v>12</v>
      </c>
      <c r="AA347" s="3276">
        <v>8</v>
      </c>
      <c r="AB347" s="3267">
        <v>1410</v>
      </c>
      <c r="AC347" s="3267" t="s">
        <v>2980</v>
      </c>
      <c r="AD347" s="3269" t="s">
        <v>5599</v>
      </c>
      <c r="AE347" s="3279" t="s">
        <v>3344</v>
      </c>
      <c r="AF347" s="3268" t="s">
        <v>2966</v>
      </c>
      <c r="AG347" s="3279" t="s">
        <v>2967</v>
      </c>
      <c r="AH347" s="3267"/>
      <c r="AI347" s="3279" t="s">
        <v>2992</v>
      </c>
      <c r="AJ347" s="3284"/>
      <c r="AK347" s="3278" t="s">
        <v>3120</v>
      </c>
      <c r="AL347" s="3276">
        <v>43</v>
      </c>
      <c r="AM347" s="3276"/>
      <c r="AN347" s="3279" t="s">
        <v>3140</v>
      </c>
      <c r="AO347" s="3267" t="s">
        <v>5600</v>
      </c>
      <c r="AP347" s="3279" t="s">
        <v>3305</v>
      </c>
      <c r="AQ347" s="3267" t="s">
        <v>3228</v>
      </c>
      <c r="AR347" s="3276"/>
      <c r="AS347" s="3276"/>
      <c r="AT347" s="3276"/>
      <c r="AU347" s="3276"/>
      <c r="AV347" s="3276"/>
      <c r="AW347" s="3267" t="s">
        <v>3119</v>
      </c>
      <c r="AX347" s="3276"/>
      <c r="AY347" s="3291"/>
      <c r="AZ347" s="3267" t="s">
        <v>5155</v>
      </c>
      <c r="BA347" s="3296"/>
      <c r="BB347" s="3297"/>
      <c r="BC347" s="3296"/>
      <c r="BD347" s="3298"/>
      <c r="BE347" s="3276">
        <v>84627128</v>
      </c>
      <c r="BF347" s="3281"/>
      <c r="BG347" s="3293">
        <v>39000</v>
      </c>
      <c r="BH347" s="3267" t="s">
        <v>2998</v>
      </c>
      <c r="BI347" s="3279" t="s">
        <v>3305</v>
      </c>
      <c r="BJ347" s="3293">
        <v>39006</v>
      </c>
      <c r="BK347" s="3283"/>
      <c r="BL347" s="3267" t="s">
        <v>3249</v>
      </c>
      <c r="BM347" s="3276" t="s">
        <v>2879</v>
      </c>
      <c r="BN347" s="3276" t="s">
        <v>3111</v>
      </c>
      <c r="BO347" s="3276" t="s">
        <v>3146</v>
      </c>
      <c r="BP347" s="3276"/>
      <c r="BQ347" s="3276" t="e">
        <v>#DIV/0!</v>
      </c>
      <c r="BR347" s="3276" t="e">
        <v>#DIV/0!</v>
      </c>
      <c r="BS347" s="3285"/>
      <c r="BT347" s="3285"/>
      <c r="BU347" s="3285"/>
    </row>
    <row r="348" spans="1:249" hidden="1">
      <c r="A348" s="3268" t="s">
        <v>5601</v>
      </c>
      <c r="B348" s="3267" t="s">
        <v>5602</v>
      </c>
      <c r="C348" s="3269" t="s">
        <v>5603</v>
      </c>
      <c r="D348" s="3269" t="s">
        <v>5604</v>
      </c>
      <c r="E348" s="3267" t="s">
        <v>2985</v>
      </c>
      <c r="F348" s="3267" t="s">
        <v>5605</v>
      </c>
      <c r="G348" s="3267"/>
      <c r="H348" s="3267" t="s">
        <v>5606</v>
      </c>
      <c r="I348" s="3267" t="s">
        <v>5607</v>
      </c>
      <c r="J348" s="3269" t="s">
        <v>3163</v>
      </c>
      <c r="K348" s="3267" t="s">
        <v>5608</v>
      </c>
      <c r="L348" s="3267">
        <v>63.93</v>
      </c>
      <c r="M348" s="3267">
        <v>3</v>
      </c>
      <c r="N348" s="3267" t="s">
        <v>3122</v>
      </c>
      <c r="O348" s="3267"/>
      <c r="P348" s="3267" t="s">
        <v>2963</v>
      </c>
      <c r="Q348" s="3271">
        <v>428500</v>
      </c>
      <c r="R348" s="3267">
        <v>6703</v>
      </c>
      <c r="S348" s="3272">
        <v>34.950000000000003</v>
      </c>
      <c r="T348" s="3273">
        <v>349500</v>
      </c>
      <c r="U348" s="3267">
        <v>5467</v>
      </c>
      <c r="V348" s="3289">
        <v>0.2</v>
      </c>
      <c r="W348" s="3272">
        <v>27.96</v>
      </c>
      <c r="X348" s="3275">
        <v>279600</v>
      </c>
      <c r="Y348" s="3276">
        <v>2006</v>
      </c>
      <c r="Z348" s="3276">
        <v>10</v>
      </c>
      <c r="AA348" s="3276">
        <v>17</v>
      </c>
      <c r="AB348" s="3267">
        <v>1045</v>
      </c>
      <c r="AC348" s="3267" t="s">
        <v>3110</v>
      </c>
      <c r="AD348" s="3269"/>
      <c r="AE348" s="3279" t="s">
        <v>3344</v>
      </c>
      <c r="AF348" s="3267" t="s">
        <v>2966</v>
      </c>
      <c r="AG348" s="3267" t="s">
        <v>2967</v>
      </c>
      <c r="AH348" s="3267"/>
      <c r="AI348" s="3279" t="s">
        <v>2992</v>
      </c>
      <c r="AJ348" s="3284"/>
      <c r="AK348" s="3316" t="s">
        <v>3148</v>
      </c>
      <c r="AL348" s="3276">
        <v>45</v>
      </c>
      <c r="AM348" s="3267"/>
      <c r="AN348" s="3276" t="s">
        <v>2994</v>
      </c>
      <c r="AO348" s="3276" t="s">
        <v>5609</v>
      </c>
      <c r="AP348" s="3279" t="s">
        <v>4230</v>
      </c>
      <c r="AQ348" s="3276" t="s">
        <v>3113</v>
      </c>
      <c r="AR348" s="3276"/>
      <c r="AS348" s="3276"/>
      <c r="AT348" s="3276"/>
      <c r="AU348" s="3276"/>
      <c r="AV348" s="3276"/>
      <c r="AW348" s="3276" t="s">
        <v>3119</v>
      </c>
      <c r="AX348" s="3276"/>
      <c r="AY348" s="3291"/>
      <c r="AZ348" s="3276" t="s">
        <v>5608</v>
      </c>
      <c r="BA348" s="3276"/>
      <c r="BB348" s="3291"/>
      <c r="BC348" s="3276"/>
      <c r="BD348" s="3292"/>
      <c r="BE348" s="3276" t="s">
        <v>5610</v>
      </c>
      <c r="BF348" s="3281"/>
      <c r="BG348" s="3299">
        <v>38967</v>
      </c>
      <c r="BH348" s="3276" t="s">
        <v>2998</v>
      </c>
      <c r="BI348" s="3314" t="s">
        <v>4230</v>
      </c>
      <c r="BJ348" s="3283"/>
      <c r="BK348" s="3283"/>
      <c r="BL348" s="3267" t="s">
        <v>3249</v>
      </c>
      <c r="BM348" s="3276" t="s">
        <v>2879</v>
      </c>
      <c r="BN348" s="3276" t="s">
        <v>2999</v>
      </c>
      <c r="BO348" s="3276" t="s">
        <v>3146</v>
      </c>
      <c r="BP348" s="3276"/>
      <c r="BQ348" s="3276" t="e">
        <v>#DIV/0!</v>
      </c>
      <c r="BR348" s="3276" t="e">
        <v>#DIV/0!</v>
      </c>
      <c r="BS348" s="3285"/>
      <c r="BT348" s="3285"/>
      <c r="BU348" s="3285"/>
    </row>
    <row r="349" spans="1:249" hidden="1">
      <c r="A349" s="3267" t="s">
        <v>5611</v>
      </c>
      <c r="B349" s="3267" t="s">
        <v>5612</v>
      </c>
      <c r="C349" s="3269" t="s">
        <v>5613</v>
      </c>
      <c r="D349" s="3269" t="s">
        <v>5614</v>
      </c>
      <c r="E349" s="3268" t="s">
        <v>2985</v>
      </c>
      <c r="F349" s="3268" t="s">
        <v>3309</v>
      </c>
      <c r="G349" s="3267"/>
      <c r="H349" s="3267" t="s">
        <v>5615</v>
      </c>
      <c r="I349" s="3268"/>
      <c r="J349" s="3267" t="s">
        <v>5616</v>
      </c>
      <c r="K349" s="3267" t="s">
        <v>5617</v>
      </c>
      <c r="L349" s="3267">
        <v>81.27</v>
      </c>
      <c r="M349" s="3267">
        <v>8</v>
      </c>
      <c r="N349" s="3267" t="s">
        <v>3122</v>
      </c>
      <c r="O349" s="3267"/>
      <c r="P349" s="3267" t="s">
        <v>2963</v>
      </c>
      <c r="Q349" s="3271">
        <v>600000</v>
      </c>
      <c r="R349" s="3267">
        <v>7383</v>
      </c>
      <c r="S349" s="3272">
        <v>52.62</v>
      </c>
      <c r="T349" s="3273">
        <v>526200</v>
      </c>
      <c r="U349" s="3267">
        <v>6475</v>
      </c>
      <c r="V349" s="3289">
        <v>0.2</v>
      </c>
      <c r="W349" s="3272">
        <v>42.09</v>
      </c>
      <c r="X349" s="3275">
        <v>420900</v>
      </c>
      <c r="Y349" s="3276">
        <v>2006</v>
      </c>
      <c r="Z349" s="3276">
        <v>11</v>
      </c>
      <c r="AA349" s="3276">
        <v>2</v>
      </c>
      <c r="AB349" s="3267">
        <v>1500</v>
      </c>
      <c r="AC349" s="3267" t="s">
        <v>2980</v>
      </c>
      <c r="AD349" s="3269" t="s">
        <v>5618</v>
      </c>
      <c r="AE349" s="3279" t="s">
        <v>3344</v>
      </c>
      <c r="AF349" s="3268" t="s">
        <v>2966</v>
      </c>
      <c r="AG349" s="3279" t="s">
        <v>2967</v>
      </c>
      <c r="AH349" s="3267"/>
      <c r="AI349" s="3279" t="s">
        <v>2992</v>
      </c>
      <c r="AJ349" s="3284"/>
      <c r="AK349" s="3278" t="s">
        <v>3137</v>
      </c>
      <c r="AL349" s="3276">
        <v>50</v>
      </c>
      <c r="AM349" s="3267"/>
      <c r="AN349" s="3279" t="s">
        <v>3131</v>
      </c>
      <c r="AO349" s="3267" t="s">
        <v>5619</v>
      </c>
      <c r="AP349" s="3279" t="s">
        <v>3305</v>
      </c>
      <c r="AQ349" s="3267" t="s">
        <v>3228</v>
      </c>
      <c r="AR349" s="3276"/>
      <c r="AS349" s="3276"/>
      <c r="AT349" s="3276"/>
      <c r="AU349" s="3276"/>
      <c r="AV349" s="3276"/>
      <c r="AW349" s="3276" t="s">
        <v>3119</v>
      </c>
      <c r="AX349" s="3276"/>
      <c r="AY349" s="3291"/>
      <c r="AZ349" s="3267" t="s">
        <v>5617</v>
      </c>
      <c r="BA349" s="3296"/>
      <c r="BB349" s="3297"/>
      <c r="BC349" s="3296"/>
      <c r="BD349" s="3296"/>
      <c r="BE349" s="3276">
        <v>13911287439</v>
      </c>
      <c r="BF349" s="3281"/>
      <c r="BG349" s="3293">
        <v>38973</v>
      </c>
      <c r="BH349" s="3267" t="s">
        <v>2998</v>
      </c>
      <c r="BI349" s="3314" t="s">
        <v>3305</v>
      </c>
      <c r="BJ349" s="3283">
        <v>39006</v>
      </c>
      <c r="BK349" s="3283"/>
      <c r="BL349" s="3267" t="s">
        <v>3249</v>
      </c>
      <c r="BM349" s="3276" t="s">
        <v>2879</v>
      </c>
      <c r="BN349" s="3276" t="s">
        <v>2999</v>
      </c>
      <c r="BO349" s="3276" t="s">
        <v>3146</v>
      </c>
      <c r="BP349" s="3276"/>
      <c r="BQ349" s="3276" t="e">
        <v>#DIV/0!</v>
      </c>
      <c r="BR349" s="3276" t="e">
        <v>#DIV/0!</v>
      </c>
      <c r="BS349" s="3285"/>
      <c r="BT349" s="3285"/>
      <c r="BU349" s="3285"/>
    </row>
    <row r="350" spans="1:249" hidden="1">
      <c r="A350" s="3267" t="s">
        <v>5620</v>
      </c>
      <c r="B350" s="3267" t="s">
        <v>5621</v>
      </c>
      <c r="C350" s="3269" t="s">
        <v>5622</v>
      </c>
      <c r="D350" s="3269" t="s">
        <v>5623</v>
      </c>
      <c r="E350" s="3268" t="s">
        <v>2985</v>
      </c>
      <c r="F350" s="3268" t="s">
        <v>3324</v>
      </c>
      <c r="G350" s="3267"/>
      <c r="H350" s="3267" t="s">
        <v>5624</v>
      </c>
      <c r="I350" s="3268"/>
      <c r="J350" s="3267" t="s">
        <v>3669</v>
      </c>
      <c r="K350" s="3267" t="s">
        <v>5625</v>
      </c>
      <c r="L350" s="3267">
        <v>92.25</v>
      </c>
      <c r="M350" s="3267">
        <v>16</v>
      </c>
      <c r="N350" s="3267" t="s">
        <v>3122</v>
      </c>
      <c r="O350" s="3267"/>
      <c r="P350" s="3267" t="s">
        <v>2963</v>
      </c>
      <c r="Q350" s="3271">
        <v>610000</v>
      </c>
      <c r="R350" s="3267">
        <v>6612</v>
      </c>
      <c r="S350" s="3272">
        <v>58.88</v>
      </c>
      <c r="T350" s="3273">
        <v>588800</v>
      </c>
      <c r="U350" s="3267">
        <v>6383</v>
      </c>
      <c r="V350" s="3289">
        <v>0.3</v>
      </c>
      <c r="W350" s="3272">
        <v>41.21</v>
      </c>
      <c r="X350" s="3275">
        <v>412100</v>
      </c>
      <c r="Y350" s="3276">
        <v>2006</v>
      </c>
      <c r="Z350" s="3276">
        <v>11</v>
      </c>
      <c r="AA350" s="3276">
        <v>2</v>
      </c>
      <c r="AB350" s="3267">
        <v>1500</v>
      </c>
      <c r="AC350" s="3267" t="s">
        <v>2980</v>
      </c>
      <c r="AD350" s="3280" t="s">
        <v>5626</v>
      </c>
      <c r="AE350" s="3279" t="s">
        <v>3344</v>
      </c>
      <c r="AF350" s="3268" t="s">
        <v>2966</v>
      </c>
      <c r="AG350" s="3279" t="s">
        <v>2967</v>
      </c>
      <c r="AH350" s="3267" t="s">
        <v>5627</v>
      </c>
      <c r="AI350" s="3279" t="s">
        <v>2992</v>
      </c>
      <c r="AJ350" s="3284"/>
      <c r="AK350" s="3278" t="s">
        <v>3137</v>
      </c>
      <c r="AL350" s="3276">
        <v>51</v>
      </c>
      <c r="AM350" s="3267"/>
      <c r="AN350" s="3279" t="s">
        <v>3131</v>
      </c>
      <c r="AO350" s="3267" t="s">
        <v>5628</v>
      </c>
      <c r="AP350" s="3279" t="s">
        <v>3305</v>
      </c>
      <c r="AQ350" s="3267" t="s">
        <v>3228</v>
      </c>
      <c r="AR350" s="3276"/>
      <c r="AS350" s="3276"/>
      <c r="AT350" s="3276"/>
      <c r="AU350" s="3276"/>
      <c r="AV350" s="3276"/>
      <c r="AW350" s="3276" t="s">
        <v>3119</v>
      </c>
      <c r="AX350" s="3276"/>
      <c r="AY350" s="3291"/>
      <c r="AZ350" s="3267" t="s">
        <v>5625</v>
      </c>
      <c r="BA350" s="3296"/>
      <c r="BB350" s="3297"/>
      <c r="BC350" s="3296"/>
      <c r="BD350" s="3298"/>
      <c r="BE350" s="3276"/>
      <c r="BF350" s="3281"/>
      <c r="BG350" s="3293">
        <v>38980</v>
      </c>
      <c r="BH350" s="3267" t="s">
        <v>2998</v>
      </c>
      <c r="BI350" s="3314" t="s">
        <v>3305</v>
      </c>
      <c r="BJ350" s="3283">
        <v>39008</v>
      </c>
      <c r="BK350" s="3283"/>
      <c r="BL350" s="3267" t="s">
        <v>3249</v>
      </c>
      <c r="BM350" s="3276" t="s">
        <v>2879</v>
      </c>
      <c r="BN350" s="3276" t="s">
        <v>2999</v>
      </c>
      <c r="BO350" s="3276" t="s">
        <v>3000</v>
      </c>
      <c r="BP350" s="3276"/>
      <c r="BQ350" s="3276" t="e">
        <v>#DIV/0!</v>
      </c>
      <c r="BR350" s="3276" t="e">
        <v>#DIV/0!</v>
      </c>
      <c r="BS350" s="3285"/>
      <c r="BT350" s="3285"/>
      <c r="BU350" s="3285"/>
    </row>
    <row r="351" spans="1:249" hidden="1">
      <c r="A351" s="3267" t="s">
        <v>5629</v>
      </c>
      <c r="B351" s="3267" t="s">
        <v>5630</v>
      </c>
      <c r="C351" s="3269" t="s">
        <v>5631</v>
      </c>
      <c r="D351" s="3269" t="s">
        <v>5632</v>
      </c>
      <c r="E351" s="3267" t="s">
        <v>2985</v>
      </c>
      <c r="F351" s="3269" t="s">
        <v>3224</v>
      </c>
      <c r="G351" s="3267"/>
      <c r="H351" s="3267" t="s">
        <v>4341</v>
      </c>
      <c r="I351" s="3268"/>
      <c r="J351" s="3268" t="s">
        <v>5633</v>
      </c>
      <c r="K351" s="3267" t="s">
        <v>5634</v>
      </c>
      <c r="L351" s="3267">
        <v>108.61</v>
      </c>
      <c r="M351" s="3267">
        <v>8</v>
      </c>
      <c r="N351" s="3267" t="s">
        <v>3116</v>
      </c>
      <c r="O351" s="3267"/>
      <c r="P351" s="3267" t="s">
        <v>2963</v>
      </c>
      <c r="Q351" s="3271">
        <v>490000</v>
      </c>
      <c r="R351" s="3267">
        <v>4512</v>
      </c>
      <c r="S351" s="3272">
        <v>48.61</v>
      </c>
      <c r="T351" s="3273">
        <v>486100</v>
      </c>
      <c r="U351" s="3267">
        <v>4476</v>
      </c>
      <c r="V351" s="3289">
        <v>0.3</v>
      </c>
      <c r="W351" s="3272">
        <v>34.020000000000003</v>
      </c>
      <c r="X351" s="3275">
        <v>340200.00000000006</v>
      </c>
      <c r="Y351" s="3276">
        <v>2006</v>
      </c>
      <c r="Z351" s="3276">
        <v>10</v>
      </c>
      <c r="AA351" s="3276">
        <v>31</v>
      </c>
      <c r="AB351" s="3267">
        <v>1455</v>
      </c>
      <c r="AC351" s="3267" t="s">
        <v>2980</v>
      </c>
      <c r="AD351" s="3366">
        <v>91302006100987</v>
      </c>
      <c r="AE351" s="3279" t="s">
        <v>2991</v>
      </c>
      <c r="AF351" s="3268"/>
      <c r="AG351" s="3279" t="s">
        <v>2967</v>
      </c>
      <c r="AH351" s="3267"/>
      <c r="AI351" s="3279" t="s">
        <v>2992</v>
      </c>
      <c r="AJ351" s="3284"/>
      <c r="AK351" s="3278" t="s">
        <v>3148</v>
      </c>
      <c r="AL351" s="3276">
        <v>54</v>
      </c>
      <c r="AM351" s="3267"/>
      <c r="AN351" s="3279" t="s">
        <v>3099</v>
      </c>
      <c r="AO351" s="3267" t="s">
        <v>5635</v>
      </c>
      <c r="AP351" s="3279" t="s">
        <v>2991</v>
      </c>
      <c r="AQ351" s="3267" t="s">
        <v>3113</v>
      </c>
      <c r="AR351" s="3276">
        <v>2006</v>
      </c>
      <c r="AS351" s="3276">
        <v>10</v>
      </c>
      <c r="AT351" s="3276">
        <v>31</v>
      </c>
      <c r="AU351" s="3276"/>
      <c r="AV351" s="3276"/>
      <c r="AW351" s="3276" t="s">
        <v>2997</v>
      </c>
      <c r="AX351" s="3276"/>
      <c r="AY351" s="3291"/>
      <c r="AZ351" s="3267" t="s">
        <v>5634</v>
      </c>
      <c r="BA351" s="3296"/>
      <c r="BB351" s="3297"/>
      <c r="BC351" s="3296"/>
      <c r="BD351" s="3298"/>
      <c r="BE351" s="3276"/>
      <c r="BF351" s="3281"/>
      <c r="BG351" s="3293">
        <v>39004</v>
      </c>
      <c r="BH351" s="3267"/>
      <c r="BI351" s="3267" t="s">
        <v>2991</v>
      </c>
      <c r="BJ351" s="3299">
        <v>39010</v>
      </c>
      <c r="BK351" s="3283"/>
      <c r="BL351" s="3267" t="s">
        <v>2998</v>
      </c>
      <c r="BM351" s="3276" t="s">
        <v>2879</v>
      </c>
      <c r="BN351" s="3276" t="s">
        <v>2999</v>
      </c>
      <c r="BO351" s="3276" t="s">
        <v>3146</v>
      </c>
      <c r="BP351" s="3276"/>
      <c r="BQ351" s="3276" t="e">
        <v>#DIV/0!</v>
      </c>
      <c r="BR351" s="3276" t="e">
        <v>#DIV/0!</v>
      </c>
      <c r="BS351" s="3285"/>
      <c r="BT351" s="3285"/>
      <c r="BU351" s="3285"/>
      <c r="BY351" s="3262" t="s">
        <v>3262</v>
      </c>
      <c r="BZ351" s="3262" t="s">
        <v>3262</v>
      </c>
      <c r="CA351" s="3262" t="s">
        <v>3262</v>
      </c>
      <c r="CB351" s="3262" t="s">
        <v>3262</v>
      </c>
      <c r="CC351" s="3262" t="s">
        <v>3262</v>
      </c>
      <c r="CD351" s="3262" t="s">
        <v>3262</v>
      </c>
      <c r="CE351" s="3262" t="s">
        <v>3262</v>
      </c>
      <c r="CF351" s="3262" t="s">
        <v>3262</v>
      </c>
      <c r="CG351" s="3262" t="s">
        <v>3262</v>
      </c>
      <c r="CH351" s="3262" t="s">
        <v>3262</v>
      </c>
      <c r="CI351" s="3262" t="s">
        <v>3262</v>
      </c>
      <c r="CJ351" s="3262" t="s">
        <v>3262</v>
      </c>
      <c r="CK351" s="3262" t="s">
        <v>3262</v>
      </c>
      <c r="CL351" s="3262" t="s">
        <v>3262</v>
      </c>
      <c r="CM351" s="3262" t="s">
        <v>3262</v>
      </c>
      <c r="CN351" s="3262" t="s">
        <v>3262</v>
      </c>
      <c r="CO351" s="3262" t="s">
        <v>3262</v>
      </c>
      <c r="CP351" s="3262" t="s">
        <v>3262</v>
      </c>
      <c r="CQ351" s="3262" t="s">
        <v>3262</v>
      </c>
      <c r="CR351" s="3262" t="s">
        <v>3262</v>
      </c>
      <c r="CS351" s="3262" t="s">
        <v>3262</v>
      </c>
      <c r="CT351" s="3262" t="s">
        <v>3262</v>
      </c>
      <c r="CU351" s="3262" t="s">
        <v>3262</v>
      </c>
      <c r="CV351" s="3262" t="s">
        <v>3262</v>
      </c>
      <c r="CW351" s="3262" t="s">
        <v>3262</v>
      </c>
      <c r="CX351" s="3262" t="s">
        <v>3262</v>
      </c>
      <c r="CY351" s="3262" t="s">
        <v>3262</v>
      </c>
      <c r="CZ351" s="3262" t="s">
        <v>3262</v>
      </c>
      <c r="DA351" s="3262" t="s">
        <v>3262</v>
      </c>
      <c r="DB351" s="3262" t="s">
        <v>3262</v>
      </c>
      <c r="DC351" s="3262" t="s">
        <v>3262</v>
      </c>
      <c r="DD351" s="3262" t="s">
        <v>3262</v>
      </c>
      <c r="DE351" s="3262" t="s">
        <v>3262</v>
      </c>
      <c r="DF351" s="3262" t="s">
        <v>3262</v>
      </c>
      <c r="DG351" s="3262" t="s">
        <v>3262</v>
      </c>
      <c r="DH351" s="3262" t="s">
        <v>3262</v>
      </c>
      <c r="DI351" s="3262" t="s">
        <v>3262</v>
      </c>
      <c r="DJ351" s="3262" t="s">
        <v>3262</v>
      </c>
      <c r="DK351" s="3262" t="s">
        <v>3262</v>
      </c>
      <c r="DL351" s="3262" t="s">
        <v>3262</v>
      </c>
      <c r="DM351" s="3262" t="s">
        <v>3262</v>
      </c>
      <c r="DN351" s="3262" t="s">
        <v>3262</v>
      </c>
      <c r="DO351" s="3262" t="s">
        <v>3262</v>
      </c>
      <c r="DP351" s="3262" t="s">
        <v>3262</v>
      </c>
      <c r="DQ351" s="3262" t="s">
        <v>3262</v>
      </c>
      <c r="DR351" s="3262" t="s">
        <v>3262</v>
      </c>
      <c r="DS351" s="3262" t="s">
        <v>3262</v>
      </c>
      <c r="DT351" s="3262" t="s">
        <v>3262</v>
      </c>
      <c r="DU351" s="3262" t="s">
        <v>3262</v>
      </c>
      <c r="DV351" s="3262" t="s">
        <v>3262</v>
      </c>
      <c r="DW351" s="3262" t="s">
        <v>3262</v>
      </c>
      <c r="DX351" s="3262" t="s">
        <v>3262</v>
      </c>
      <c r="DY351" s="3262" t="s">
        <v>3262</v>
      </c>
      <c r="DZ351" s="3262" t="s">
        <v>3262</v>
      </c>
      <c r="EA351" s="3262" t="s">
        <v>3262</v>
      </c>
      <c r="EB351" s="3262" t="s">
        <v>3262</v>
      </c>
      <c r="EC351" s="3262" t="s">
        <v>3262</v>
      </c>
      <c r="ED351" s="3262" t="s">
        <v>3262</v>
      </c>
      <c r="EE351" s="3262" t="s">
        <v>3262</v>
      </c>
      <c r="EF351" s="3262" t="s">
        <v>3262</v>
      </c>
      <c r="EG351" s="3262" t="s">
        <v>3262</v>
      </c>
      <c r="EH351" s="3262" t="s">
        <v>3262</v>
      </c>
      <c r="EI351" s="3262" t="s">
        <v>3262</v>
      </c>
      <c r="EJ351" s="3262" t="s">
        <v>3262</v>
      </c>
      <c r="EK351" s="3262" t="s">
        <v>3262</v>
      </c>
      <c r="EL351" s="3262" t="s">
        <v>3262</v>
      </c>
      <c r="EM351" s="3262" t="s">
        <v>3262</v>
      </c>
      <c r="EN351" s="3262" t="s">
        <v>3262</v>
      </c>
      <c r="EO351" s="3262" t="s">
        <v>3262</v>
      </c>
      <c r="EP351" s="3262" t="s">
        <v>3262</v>
      </c>
      <c r="EQ351" s="3262" t="s">
        <v>3262</v>
      </c>
      <c r="ER351" s="3262" t="s">
        <v>3262</v>
      </c>
      <c r="ES351" s="3262" t="s">
        <v>3262</v>
      </c>
      <c r="ET351" s="3262" t="s">
        <v>3262</v>
      </c>
      <c r="EU351" s="3262" t="s">
        <v>3262</v>
      </c>
      <c r="EV351" s="3262" t="s">
        <v>3262</v>
      </c>
      <c r="EW351" s="3262" t="s">
        <v>3262</v>
      </c>
      <c r="EX351" s="3262" t="s">
        <v>3262</v>
      </c>
      <c r="EY351" s="3262" t="s">
        <v>3262</v>
      </c>
      <c r="EZ351" s="3262" t="s">
        <v>3262</v>
      </c>
      <c r="FA351" s="3262" t="s">
        <v>3262</v>
      </c>
      <c r="FB351" s="3262" t="s">
        <v>3262</v>
      </c>
      <c r="FC351" s="3262" t="s">
        <v>3262</v>
      </c>
      <c r="FD351" s="3262" t="s">
        <v>3262</v>
      </c>
      <c r="FE351" s="3262" t="s">
        <v>3262</v>
      </c>
      <c r="FF351" s="3262" t="s">
        <v>3262</v>
      </c>
      <c r="FG351" s="3262" t="s">
        <v>3262</v>
      </c>
      <c r="FH351" s="3262" t="s">
        <v>3262</v>
      </c>
      <c r="FI351" s="3262" t="s">
        <v>3262</v>
      </c>
      <c r="FJ351" s="3262" t="s">
        <v>3262</v>
      </c>
      <c r="FK351" s="3262" t="s">
        <v>3262</v>
      </c>
      <c r="FL351" s="3262" t="s">
        <v>3262</v>
      </c>
      <c r="FM351" s="3262" t="s">
        <v>3262</v>
      </c>
      <c r="FN351" s="3262" t="s">
        <v>3262</v>
      </c>
      <c r="FO351" s="3262" t="s">
        <v>3262</v>
      </c>
      <c r="FP351" s="3262" t="s">
        <v>3262</v>
      </c>
      <c r="FQ351" s="3262" t="s">
        <v>3262</v>
      </c>
      <c r="FR351" s="3262" t="s">
        <v>3262</v>
      </c>
      <c r="FS351" s="3262" t="s">
        <v>3262</v>
      </c>
      <c r="FT351" s="3262" t="s">
        <v>3262</v>
      </c>
      <c r="FU351" s="3262" t="s">
        <v>3262</v>
      </c>
      <c r="FV351" s="3262" t="s">
        <v>3262</v>
      </c>
      <c r="FW351" s="3262" t="s">
        <v>3262</v>
      </c>
      <c r="FX351" s="3262" t="s">
        <v>3262</v>
      </c>
      <c r="FY351" s="3262" t="s">
        <v>3262</v>
      </c>
      <c r="FZ351" s="3262" t="s">
        <v>3262</v>
      </c>
      <c r="GA351" s="3262" t="s">
        <v>3262</v>
      </c>
      <c r="GB351" s="3262" t="s">
        <v>3262</v>
      </c>
      <c r="GC351" s="3262" t="s">
        <v>3262</v>
      </c>
      <c r="GD351" s="3262" t="s">
        <v>3262</v>
      </c>
      <c r="GE351" s="3262" t="s">
        <v>3262</v>
      </c>
      <c r="GF351" s="3262" t="s">
        <v>3262</v>
      </c>
      <c r="GG351" s="3262" t="s">
        <v>3262</v>
      </c>
      <c r="GH351" s="3262" t="s">
        <v>3262</v>
      </c>
      <c r="GI351" s="3262" t="s">
        <v>3262</v>
      </c>
      <c r="GJ351" s="3262" t="s">
        <v>3262</v>
      </c>
      <c r="GK351" s="3262" t="s">
        <v>3262</v>
      </c>
      <c r="GL351" s="3262" t="s">
        <v>3262</v>
      </c>
      <c r="GM351" s="3262" t="s">
        <v>3262</v>
      </c>
      <c r="GN351" s="3262" t="s">
        <v>3262</v>
      </c>
      <c r="GO351" s="3262" t="s">
        <v>3262</v>
      </c>
      <c r="GP351" s="3262" t="s">
        <v>3262</v>
      </c>
      <c r="GQ351" s="3262" t="s">
        <v>3262</v>
      </c>
      <c r="GR351" s="3262" t="s">
        <v>3262</v>
      </c>
      <c r="GS351" s="3262" t="s">
        <v>3262</v>
      </c>
      <c r="GT351" s="3262" t="s">
        <v>3262</v>
      </c>
      <c r="GU351" s="3262" t="s">
        <v>3262</v>
      </c>
      <c r="GV351" s="3262" t="s">
        <v>3262</v>
      </c>
      <c r="GW351" s="3262" t="s">
        <v>3262</v>
      </c>
      <c r="GX351" s="3262" t="s">
        <v>3262</v>
      </c>
      <c r="GY351" s="3262" t="s">
        <v>3262</v>
      </c>
      <c r="GZ351" s="3262" t="s">
        <v>3262</v>
      </c>
      <c r="HA351" s="3262" t="s">
        <v>3262</v>
      </c>
      <c r="HB351" s="3262" t="s">
        <v>3262</v>
      </c>
      <c r="HC351" s="3262" t="s">
        <v>3262</v>
      </c>
      <c r="HD351" s="3262" t="s">
        <v>3262</v>
      </c>
      <c r="HE351" s="3262" t="s">
        <v>3262</v>
      </c>
      <c r="HF351" s="3262" t="s">
        <v>3262</v>
      </c>
      <c r="HG351" s="3262" t="s">
        <v>3262</v>
      </c>
      <c r="HH351" s="3262" t="s">
        <v>3262</v>
      </c>
      <c r="HI351" s="3262" t="s">
        <v>3262</v>
      </c>
      <c r="HJ351" s="3262" t="s">
        <v>3262</v>
      </c>
      <c r="HK351" s="3262" t="s">
        <v>3262</v>
      </c>
      <c r="HL351" s="3262" t="s">
        <v>3262</v>
      </c>
      <c r="HM351" s="3262" t="s">
        <v>3262</v>
      </c>
      <c r="HN351" s="3262" t="s">
        <v>3262</v>
      </c>
      <c r="HO351" s="3262" t="s">
        <v>3262</v>
      </c>
      <c r="HP351" s="3262" t="s">
        <v>3262</v>
      </c>
      <c r="HQ351" s="3262" t="s">
        <v>3262</v>
      </c>
      <c r="HR351" s="3262" t="s">
        <v>3262</v>
      </c>
      <c r="HS351" s="3262" t="s">
        <v>3262</v>
      </c>
      <c r="HT351" s="3262" t="s">
        <v>3262</v>
      </c>
      <c r="HU351" s="3262" t="s">
        <v>3262</v>
      </c>
      <c r="HV351" s="3262" t="s">
        <v>3262</v>
      </c>
      <c r="HW351" s="3262" t="s">
        <v>3262</v>
      </c>
      <c r="HX351" s="3262" t="s">
        <v>3262</v>
      </c>
      <c r="HY351" s="3262" t="s">
        <v>3262</v>
      </c>
      <c r="HZ351" s="3262" t="s">
        <v>3262</v>
      </c>
      <c r="IA351" s="3262" t="s">
        <v>3262</v>
      </c>
      <c r="IB351" s="3262" t="s">
        <v>3262</v>
      </c>
      <c r="IC351" s="3262" t="s">
        <v>3262</v>
      </c>
      <c r="ID351" s="3262" t="s">
        <v>3262</v>
      </c>
      <c r="IE351" s="3262" t="s">
        <v>3262</v>
      </c>
      <c r="IF351" s="3262" t="s">
        <v>3262</v>
      </c>
      <c r="IG351" s="3262" t="s">
        <v>3262</v>
      </c>
      <c r="IH351" s="3262" t="s">
        <v>3262</v>
      </c>
      <c r="II351" s="3262" t="s">
        <v>3262</v>
      </c>
      <c r="IJ351" s="3262" t="s">
        <v>3262</v>
      </c>
      <c r="IK351" s="3262" t="s">
        <v>3262</v>
      </c>
      <c r="IL351" s="3262" t="s">
        <v>3262</v>
      </c>
      <c r="IM351" s="3262" t="s">
        <v>3262</v>
      </c>
      <c r="IN351" s="3262" t="s">
        <v>3262</v>
      </c>
      <c r="IO351" s="3262" t="s">
        <v>3262</v>
      </c>
    </row>
    <row r="352" spans="1:249" hidden="1">
      <c r="A352" s="3267" t="s">
        <v>5636</v>
      </c>
      <c r="B352" s="3267" t="s">
        <v>5637</v>
      </c>
      <c r="C352" s="3269" t="s">
        <v>5638</v>
      </c>
      <c r="D352" s="3269" t="s">
        <v>5639</v>
      </c>
      <c r="E352" s="3267" t="s">
        <v>2985</v>
      </c>
      <c r="F352" s="3269" t="s">
        <v>3525</v>
      </c>
      <c r="G352" s="3267"/>
      <c r="H352" s="3267" t="s">
        <v>3150</v>
      </c>
      <c r="I352" s="3268" t="s">
        <v>3586</v>
      </c>
      <c r="J352" s="3268" t="s">
        <v>3117</v>
      </c>
      <c r="K352" s="3267" t="s">
        <v>5640</v>
      </c>
      <c r="L352" s="3267">
        <v>60.72</v>
      </c>
      <c r="M352" s="3267">
        <v>2</v>
      </c>
      <c r="N352" s="3267" t="s">
        <v>3122</v>
      </c>
      <c r="O352" s="3267"/>
      <c r="P352" s="3267" t="s">
        <v>2963</v>
      </c>
      <c r="Q352" s="3271">
        <v>545000</v>
      </c>
      <c r="R352" s="3267">
        <v>8976</v>
      </c>
      <c r="S352" s="3272">
        <v>47.81</v>
      </c>
      <c r="T352" s="3273">
        <v>478100</v>
      </c>
      <c r="U352" s="3267">
        <v>7875</v>
      </c>
      <c r="V352" s="3289">
        <v>0.2</v>
      </c>
      <c r="W352" s="3272">
        <v>38.24</v>
      </c>
      <c r="X352" s="3275">
        <v>382400</v>
      </c>
      <c r="Y352" s="3276">
        <v>2006</v>
      </c>
      <c r="Z352" s="3276">
        <v>11</v>
      </c>
      <c r="AA352" s="3276">
        <v>9</v>
      </c>
      <c r="AB352" s="3267">
        <v>1430</v>
      </c>
      <c r="AC352" s="3267" t="s">
        <v>2980</v>
      </c>
      <c r="AD352" s="3366">
        <v>91302006101004</v>
      </c>
      <c r="AE352" s="3279" t="s">
        <v>2991</v>
      </c>
      <c r="AF352" s="3268"/>
      <c r="AG352" s="3279" t="s">
        <v>2967</v>
      </c>
      <c r="AH352" s="3267"/>
      <c r="AI352" s="3279" t="s">
        <v>2992</v>
      </c>
      <c r="AJ352" s="3284"/>
      <c r="AK352" s="3278" t="s">
        <v>3137</v>
      </c>
      <c r="AL352" s="3276">
        <v>25</v>
      </c>
      <c r="AM352" s="3267"/>
      <c r="AN352" s="3279" t="s">
        <v>3140</v>
      </c>
      <c r="AO352" s="3267" t="s">
        <v>5641</v>
      </c>
      <c r="AP352" s="3279" t="s">
        <v>2991</v>
      </c>
      <c r="AQ352" s="3267" t="s">
        <v>3228</v>
      </c>
      <c r="AR352" s="3276">
        <v>2006</v>
      </c>
      <c r="AS352" s="3276">
        <v>11</v>
      </c>
      <c r="AT352" s="3276">
        <v>9</v>
      </c>
      <c r="AU352" s="3276"/>
      <c r="AV352" s="3276"/>
      <c r="AW352" s="3276" t="s">
        <v>2997</v>
      </c>
      <c r="AX352" s="3276"/>
      <c r="AY352" s="3291"/>
      <c r="AZ352" s="3267" t="s">
        <v>5640</v>
      </c>
      <c r="BA352" s="3296"/>
      <c r="BB352" s="3297"/>
      <c r="BC352" s="3296"/>
      <c r="BD352" s="3298"/>
      <c r="BE352" s="3276"/>
      <c r="BF352" s="3281"/>
      <c r="BG352" s="3293">
        <v>39004</v>
      </c>
      <c r="BH352" s="3267"/>
      <c r="BI352" s="3267" t="s">
        <v>2991</v>
      </c>
      <c r="BJ352" s="3299">
        <v>39013</v>
      </c>
      <c r="BK352" s="3283"/>
      <c r="BL352" s="3267" t="s">
        <v>2998</v>
      </c>
      <c r="BM352" s="3276" t="s">
        <v>2879</v>
      </c>
      <c r="BN352" s="3276" t="s">
        <v>2999</v>
      </c>
      <c r="BO352" s="3276" t="s">
        <v>3146</v>
      </c>
      <c r="BP352" s="3276"/>
      <c r="BQ352" s="3276" t="e">
        <v>#DIV/0!</v>
      </c>
      <c r="BR352" s="3276" t="e">
        <v>#DIV/0!</v>
      </c>
      <c r="BS352" s="3285"/>
      <c r="BT352" s="3285"/>
      <c r="BU352" s="3285"/>
      <c r="BY352" s="3262" t="s">
        <v>3262</v>
      </c>
      <c r="BZ352" s="3262" t="s">
        <v>3262</v>
      </c>
      <c r="CA352" s="3262" t="s">
        <v>3262</v>
      </c>
      <c r="CB352" s="3262" t="s">
        <v>3262</v>
      </c>
      <c r="CC352" s="3262" t="s">
        <v>3262</v>
      </c>
      <c r="CD352" s="3262" t="s">
        <v>3262</v>
      </c>
      <c r="CE352" s="3262" t="s">
        <v>3262</v>
      </c>
      <c r="CF352" s="3262" t="s">
        <v>3262</v>
      </c>
      <c r="CG352" s="3262" t="s">
        <v>3262</v>
      </c>
      <c r="CH352" s="3262" t="s">
        <v>3262</v>
      </c>
      <c r="CI352" s="3262" t="s">
        <v>3262</v>
      </c>
      <c r="CJ352" s="3262" t="s">
        <v>3262</v>
      </c>
      <c r="CK352" s="3262" t="s">
        <v>3262</v>
      </c>
      <c r="CL352" s="3262" t="s">
        <v>3262</v>
      </c>
      <c r="CM352" s="3262" t="s">
        <v>3262</v>
      </c>
      <c r="CN352" s="3262" t="s">
        <v>3262</v>
      </c>
      <c r="CO352" s="3262" t="s">
        <v>3262</v>
      </c>
      <c r="CP352" s="3262" t="s">
        <v>3262</v>
      </c>
      <c r="CQ352" s="3262" t="s">
        <v>3262</v>
      </c>
      <c r="CR352" s="3262" t="s">
        <v>3262</v>
      </c>
      <c r="CS352" s="3262" t="s">
        <v>3262</v>
      </c>
      <c r="CT352" s="3262" t="s">
        <v>3262</v>
      </c>
      <c r="CU352" s="3262" t="s">
        <v>3262</v>
      </c>
      <c r="CV352" s="3262" t="s">
        <v>3262</v>
      </c>
      <c r="CW352" s="3262" t="s">
        <v>3262</v>
      </c>
      <c r="CX352" s="3262" t="s">
        <v>3262</v>
      </c>
      <c r="CY352" s="3262" t="s">
        <v>3262</v>
      </c>
      <c r="CZ352" s="3262" t="s">
        <v>3262</v>
      </c>
      <c r="DA352" s="3262" t="s">
        <v>3262</v>
      </c>
      <c r="DB352" s="3262" t="s">
        <v>3262</v>
      </c>
      <c r="DC352" s="3262" t="s">
        <v>3262</v>
      </c>
      <c r="DD352" s="3262" t="s">
        <v>3262</v>
      </c>
      <c r="DE352" s="3262" t="s">
        <v>3262</v>
      </c>
      <c r="DF352" s="3262" t="s">
        <v>3262</v>
      </c>
      <c r="DG352" s="3262" t="s">
        <v>3262</v>
      </c>
      <c r="DH352" s="3262" t="s">
        <v>3262</v>
      </c>
      <c r="DI352" s="3262" t="s">
        <v>3262</v>
      </c>
      <c r="DJ352" s="3262" t="s">
        <v>3262</v>
      </c>
      <c r="DK352" s="3262" t="s">
        <v>3262</v>
      </c>
      <c r="DL352" s="3262" t="s">
        <v>3262</v>
      </c>
      <c r="DM352" s="3262" t="s">
        <v>3262</v>
      </c>
      <c r="DN352" s="3262" t="s">
        <v>3262</v>
      </c>
      <c r="DO352" s="3262" t="s">
        <v>3262</v>
      </c>
      <c r="DP352" s="3262" t="s">
        <v>3262</v>
      </c>
      <c r="DQ352" s="3262" t="s">
        <v>3262</v>
      </c>
      <c r="DR352" s="3262" t="s">
        <v>3262</v>
      </c>
      <c r="DS352" s="3262" t="s">
        <v>3262</v>
      </c>
      <c r="DT352" s="3262" t="s">
        <v>3262</v>
      </c>
      <c r="DU352" s="3262" t="s">
        <v>3262</v>
      </c>
      <c r="DV352" s="3262" t="s">
        <v>3262</v>
      </c>
      <c r="DW352" s="3262" t="s">
        <v>3262</v>
      </c>
      <c r="DX352" s="3262" t="s">
        <v>3262</v>
      </c>
      <c r="DY352" s="3262" t="s">
        <v>3262</v>
      </c>
      <c r="DZ352" s="3262" t="s">
        <v>3262</v>
      </c>
      <c r="EA352" s="3262" t="s">
        <v>3262</v>
      </c>
      <c r="EB352" s="3262" t="s">
        <v>3262</v>
      </c>
      <c r="EC352" s="3262" t="s">
        <v>3262</v>
      </c>
      <c r="ED352" s="3262" t="s">
        <v>3262</v>
      </c>
      <c r="EE352" s="3262" t="s">
        <v>3262</v>
      </c>
      <c r="EF352" s="3262" t="s">
        <v>3262</v>
      </c>
      <c r="EG352" s="3262" t="s">
        <v>3262</v>
      </c>
      <c r="EH352" s="3262" t="s">
        <v>3262</v>
      </c>
      <c r="EI352" s="3262" t="s">
        <v>3262</v>
      </c>
      <c r="EJ352" s="3262" t="s">
        <v>3262</v>
      </c>
      <c r="EK352" s="3262" t="s">
        <v>3262</v>
      </c>
      <c r="EL352" s="3262" t="s">
        <v>3262</v>
      </c>
      <c r="EM352" s="3262" t="s">
        <v>3262</v>
      </c>
      <c r="EN352" s="3262" t="s">
        <v>3262</v>
      </c>
      <c r="EO352" s="3262" t="s">
        <v>3262</v>
      </c>
      <c r="EP352" s="3262" t="s">
        <v>3262</v>
      </c>
      <c r="EQ352" s="3262" t="s">
        <v>3262</v>
      </c>
      <c r="ER352" s="3262" t="s">
        <v>3262</v>
      </c>
      <c r="ES352" s="3262" t="s">
        <v>3262</v>
      </c>
      <c r="ET352" s="3262" t="s">
        <v>3262</v>
      </c>
      <c r="EU352" s="3262" t="s">
        <v>3262</v>
      </c>
      <c r="EV352" s="3262" t="s">
        <v>3262</v>
      </c>
      <c r="EW352" s="3262" t="s">
        <v>3262</v>
      </c>
      <c r="EX352" s="3262" t="s">
        <v>3262</v>
      </c>
      <c r="EY352" s="3262" t="s">
        <v>3262</v>
      </c>
      <c r="EZ352" s="3262" t="s">
        <v>3262</v>
      </c>
      <c r="FA352" s="3262" t="s">
        <v>3262</v>
      </c>
      <c r="FB352" s="3262" t="s">
        <v>3262</v>
      </c>
      <c r="FC352" s="3262" t="s">
        <v>3262</v>
      </c>
      <c r="FD352" s="3262" t="s">
        <v>3262</v>
      </c>
      <c r="FE352" s="3262" t="s">
        <v>3262</v>
      </c>
      <c r="FF352" s="3262" t="s">
        <v>3262</v>
      </c>
      <c r="FG352" s="3262" t="s">
        <v>3262</v>
      </c>
      <c r="FH352" s="3262" t="s">
        <v>3262</v>
      </c>
      <c r="FI352" s="3262" t="s">
        <v>3262</v>
      </c>
      <c r="FJ352" s="3262" t="s">
        <v>3262</v>
      </c>
      <c r="FK352" s="3262" t="s">
        <v>3262</v>
      </c>
      <c r="FL352" s="3262" t="s">
        <v>3262</v>
      </c>
      <c r="FM352" s="3262" t="s">
        <v>3262</v>
      </c>
      <c r="FN352" s="3262" t="s">
        <v>3262</v>
      </c>
      <c r="FO352" s="3262" t="s">
        <v>3262</v>
      </c>
      <c r="FP352" s="3262" t="s">
        <v>3262</v>
      </c>
      <c r="FQ352" s="3262" t="s">
        <v>3262</v>
      </c>
      <c r="FR352" s="3262" t="s">
        <v>3262</v>
      </c>
      <c r="FS352" s="3262" t="s">
        <v>3262</v>
      </c>
      <c r="FT352" s="3262" t="s">
        <v>3262</v>
      </c>
      <c r="FU352" s="3262" t="s">
        <v>3262</v>
      </c>
      <c r="FV352" s="3262" t="s">
        <v>3262</v>
      </c>
      <c r="FW352" s="3262" t="s">
        <v>3262</v>
      </c>
      <c r="FX352" s="3262" t="s">
        <v>3262</v>
      </c>
      <c r="FY352" s="3262" t="s">
        <v>3262</v>
      </c>
      <c r="FZ352" s="3262" t="s">
        <v>3262</v>
      </c>
      <c r="GA352" s="3262" t="s">
        <v>3262</v>
      </c>
      <c r="GB352" s="3262" t="s">
        <v>3262</v>
      </c>
      <c r="GC352" s="3262" t="s">
        <v>3262</v>
      </c>
      <c r="GD352" s="3262" t="s">
        <v>3262</v>
      </c>
      <c r="GE352" s="3262" t="s">
        <v>3262</v>
      </c>
      <c r="GF352" s="3262" t="s">
        <v>3262</v>
      </c>
      <c r="GG352" s="3262" t="s">
        <v>3262</v>
      </c>
      <c r="GH352" s="3262" t="s">
        <v>3262</v>
      </c>
      <c r="GI352" s="3262" t="s">
        <v>3262</v>
      </c>
      <c r="GJ352" s="3262" t="s">
        <v>3262</v>
      </c>
      <c r="GK352" s="3262" t="s">
        <v>3262</v>
      </c>
      <c r="GL352" s="3262" t="s">
        <v>3262</v>
      </c>
      <c r="GM352" s="3262" t="s">
        <v>3262</v>
      </c>
      <c r="GN352" s="3262" t="s">
        <v>3262</v>
      </c>
      <c r="GO352" s="3262" t="s">
        <v>3262</v>
      </c>
      <c r="GP352" s="3262" t="s">
        <v>3262</v>
      </c>
      <c r="GQ352" s="3262" t="s">
        <v>3262</v>
      </c>
      <c r="GR352" s="3262" t="s">
        <v>3262</v>
      </c>
      <c r="GS352" s="3262" t="s">
        <v>3262</v>
      </c>
      <c r="GT352" s="3262" t="s">
        <v>3262</v>
      </c>
      <c r="GU352" s="3262" t="s">
        <v>3262</v>
      </c>
      <c r="GV352" s="3262" t="s">
        <v>3262</v>
      </c>
      <c r="GW352" s="3262" t="s">
        <v>3262</v>
      </c>
      <c r="GX352" s="3262" t="s">
        <v>3262</v>
      </c>
      <c r="GY352" s="3262" t="s">
        <v>3262</v>
      </c>
      <c r="GZ352" s="3262" t="s">
        <v>3262</v>
      </c>
      <c r="HA352" s="3262" t="s">
        <v>3262</v>
      </c>
      <c r="HB352" s="3262" t="s">
        <v>3262</v>
      </c>
      <c r="HC352" s="3262" t="s">
        <v>3262</v>
      </c>
      <c r="HD352" s="3262" t="s">
        <v>3262</v>
      </c>
      <c r="HE352" s="3262" t="s">
        <v>3262</v>
      </c>
      <c r="HF352" s="3262" t="s">
        <v>3262</v>
      </c>
      <c r="HG352" s="3262" t="s">
        <v>3262</v>
      </c>
      <c r="HH352" s="3262" t="s">
        <v>3262</v>
      </c>
      <c r="HI352" s="3262" t="s">
        <v>3262</v>
      </c>
      <c r="HJ352" s="3262" t="s">
        <v>3262</v>
      </c>
      <c r="HK352" s="3262" t="s">
        <v>3262</v>
      </c>
      <c r="HL352" s="3262" t="s">
        <v>3262</v>
      </c>
      <c r="HM352" s="3262" t="s">
        <v>3262</v>
      </c>
      <c r="HN352" s="3262" t="s">
        <v>3262</v>
      </c>
      <c r="HO352" s="3262" t="s">
        <v>3262</v>
      </c>
      <c r="HP352" s="3262" t="s">
        <v>3262</v>
      </c>
      <c r="HQ352" s="3262" t="s">
        <v>3262</v>
      </c>
      <c r="HR352" s="3262" t="s">
        <v>3262</v>
      </c>
      <c r="HS352" s="3262" t="s">
        <v>3262</v>
      </c>
      <c r="HT352" s="3262" t="s">
        <v>3262</v>
      </c>
      <c r="HU352" s="3262" t="s">
        <v>3262</v>
      </c>
      <c r="HV352" s="3262" t="s">
        <v>3262</v>
      </c>
      <c r="HW352" s="3262" t="s">
        <v>3262</v>
      </c>
      <c r="HX352" s="3262" t="s">
        <v>3262</v>
      </c>
      <c r="HY352" s="3262" t="s">
        <v>3262</v>
      </c>
      <c r="HZ352" s="3262" t="s">
        <v>3262</v>
      </c>
      <c r="IA352" s="3262" t="s">
        <v>3262</v>
      </c>
      <c r="IB352" s="3262" t="s">
        <v>3262</v>
      </c>
      <c r="IC352" s="3262" t="s">
        <v>3262</v>
      </c>
      <c r="ID352" s="3262" t="s">
        <v>3262</v>
      </c>
      <c r="IE352" s="3262" t="s">
        <v>3262</v>
      </c>
      <c r="IF352" s="3262" t="s">
        <v>3262</v>
      </c>
      <c r="IG352" s="3262" t="s">
        <v>3262</v>
      </c>
      <c r="IH352" s="3262" t="s">
        <v>3262</v>
      </c>
      <c r="II352" s="3262" t="s">
        <v>3262</v>
      </c>
      <c r="IJ352" s="3262" t="s">
        <v>3262</v>
      </c>
      <c r="IK352" s="3262" t="s">
        <v>3262</v>
      </c>
      <c r="IL352" s="3262" t="s">
        <v>3262</v>
      </c>
      <c r="IM352" s="3262" t="s">
        <v>3262</v>
      </c>
      <c r="IN352" s="3262" t="s">
        <v>3262</v>
      </c>
      <c r="IO352" s="3262" t="s">
        <v>3262</v>
      </c>
    </row>
    <row r="353" spans="1:249" hidden="1">
      <c r="A353" s="3267" t="s">
        <v>5642</v>
      </c>
      <c r="B353" s="3267" t="s">
        <v>5643</v>
      </c>
      <c r="C353" s="3269" t="s">
        <v>5644</v>
      </c>
      <c r="D353" s="3269" t="s">
        <v>5645</v>
      </c>
      <c r="E353" s="3268" t="s">
        <v>2985</v>
      </c>
      <c r="F353" s="3268" t="s">
        <v>5646</v>
      </c>
      <c r="G353" s="3267"/>
      <c r="H353" s="3267" t="s">
        <v>3402</v>
      </c>
      <c r="I353" s="3268" t="s">
        <v>3191</v>
      </c>
      <c r="J353" s="3267" t="s">
        <v>5647</v>
      </c>
      <c r="K353" s="3267" t="s">
        <v>5648</v>
      </c>
      <c r="L353" s="3267">
        <v>129.91999999999999</v>
      </c>
      <c r="M353" s="3269">
        <v>19</v>
      </c>
      <c r="N353" s="3267" t="s">
        <v>3303</v>
      </c>
      <c r="O353" s="3267">
        <v>103.12</v>
      </c>
      <c r="P353" s="3267" t="s">
        <v>2963</v>
      </c>
      <c r="Q353" s="3271">
        <v>810000</v>
      </c>
      <c r="R353" s="3267">
        <v>6235</v>
      </c>
      <c r="S353" s="3272">
        <v>93.08</v>
      </c>
      <c r="T353" s="3273">
        <v>930800</v>
      </c>
      <c r="U353" s="3267">
        <v>7165</v>
      </c>
      <c r="V353" s="3289">
        <v>0.3</v>
      </c>
      <c r="W353" s="3272">
        <v>65.150000000000006</v>
      </c>
      <c r="X353" s="3275">
        <v>651500</v>
      </c>
      <c r="Y353" s="3276">
        <v>2006</v>
      </c>
      <c r="Z353" s="3276">
        <v>11</v>
      </c>
      <c r="AA353" s="3276">
        <v>30</v>
      </c>
      <c r="AB353" s="3267">
        <v>1500</v>
      </c>
      <c r="AC353" s="3267" t="s">
        <v>2980</v>
      </c>
      <c r="AD353" s="3269" t="s">
        <v>5649</v>
      </c>
      <c r="AE353" s="3279" t="s">
        <v>3245</v>
      </c>
      <c r="AF353" s="3268" t="s">
        <v>2966</v>
      </c>
      <c r="AG353" s="3279" t="s">
        <v>2967</v>
      </c>
      <c r="AH353" s="3267" t="s">
        <v>5650</v>
      </c>
      <c r="AI353" s="3279" t="s">
        <v>2992</v>
      </c>
      <c r="AJ353" s="3284"/>
      <c r="AK353" s="3278" t="s">
        <v>3137</v>
      </c>
      <c r="AL353" s="3276">
        <v>59</v>
      </c>
      <c r="AM353" s="3267"/>
      <c r="AN353" s="3279" t="s">
        <v>3099</v>
      </c>
      <c r="AO353" s="3267" t="s">
        <v>5651</v>
      </c>
      <c r="AP353" s="3279" t="s">
        <v>3305</v>
      </c>
      <c r="AQ353" s="3267" t="s">
        <v>3228</v>
      </c>
      <c r="AR353" s="3276"/>
      <c r="AS353" s="3276"/>
      <c r="AT353" s="3276"/>
      <c r="AU353" s="3276"/>
      <c r="AV353" s="3276"/>
      <c r="AW353" s="3276" t="s">
        <v>3119</v>
      </c>
      <c r="AX353" s="3276"/>
      <c r="AY353" s="3291"/>
      <c r="AZ353" s="3267" t="s">
        <v>5648</v>
      </c>
      <c r="BA353" s="3296"/>
      <c r="BB353" s="3297"/>
      <c r="BC353" s="3296"/>
      <c r="BD353" s="3296"/>
      <c r="BE353" s="3276"/>
      <c r="BF353" s="3281"/>
      <c r="BG353" s="3293">
        <v>39008</v>
      </c>
      <c r="BH353" s="3267" t="s">
        <v>2998</v>
      </c>
      <c r="BI353" s="3314" t="s">
        <v>3305</v>
      </c>
      <c r="BJ353" s="3283">
        <v>39036</v>
      </c>
      <c r="BK353" s="3283"/>
      <c r="BL353" s="3267" t="s">
        <v>3249</v>
      </c>
      <c r="BM353" s="3276" t="s">
        <v>5652</v>
      </c>
      <c r="BN353" s="3276" t="s">
        <v>2999</v>
      </c>
      <c r="BO353" s="3276" t="s">
        <v>3000</v>
      </c>
      <c r="BP353" s="3276"/>
      <c r="BQ353" s="3276">
        <v>9026</v>
      </c>
      <c r="BR353" s="3276">
        <v>7855</v>
      </c>
      <c r="BS353" s="3285"/>
      <c r="BT353" s="3285"/>
      <c r="BU353" s="3285"/>
    </row>
    <row r="354" spans="1:249" hidden="1">
      <c r="A354" s="3267" t="s">
        <v>5653</v>
      </c>
      <c r="B354" s="3267" t="s">
        <v>5654</v>
      </c>
      <c r="C354" s="3269" t="s">
        <v>5655</v>
      </c>
      <c r="D354" s="3269" t="s">
        <v>5656</v>
      </c>
      <c r="E354" s="3267" t="s">
        <v>2985</v>
      </c>
      <c r="F354" s="3268" t="s">
        <v>4412</v>
      </c>
      <c r="G354" s="3267"/>
      <c r="H354" s="3267" t="s">
        <v>3138</v>
      </c>
      <c r="I354" s="3267"/>
      <c r="J354" s="3269" t="s">
        <v>5657</v>
      </c>
      <c r="K354" s="3267" t="s">
        <v>5658</v>
      </c>
      <c r="L354" s="3267">
        <v>57.76</v>
      </c>
      <c r="M354" s="3267">
        <v>2</v>
      </c>
      <c r="N354" s="3267" t="s">
        <v>3122</v>
      </c>
      <c r="O354" s="3267"/>
      <c r="P354" s="3267" t="s">
        <v>2963</v>
      </c>
      <c r="Q354" s="3271">
        <v>438000</v>
      </c>
      <c r="R354" s="3267">
        <v>7583</v>
      </c>
      <c r="S354" s="3272">
        <v>36.19</v>
      </c>
      <c r="T354" s="3273">
        <v>361900</v>
      </c>
      <c r="U354" s="3267">
        <v>6266</v>
      </c>
      <c r="V354" s="3289">
        <v>0.2</v>
      </c>
      <c r="W354" s="3272">
        <v>28.95</v>
      </c>
      <c r="X354" s="3275">
        <v>289500</v>
      </c>
      <c r="Y354" s="3267">
        <v>2006</v>
      </c>
      <c r="Z354" s="3276">
        <v>11</v>
      </c>
      <c r="AA354" s="3276">
        <v>14</v>
      </c>
      <c r="AB354" s="3267">
        <v>1085</v>
      </c>
      <c r="AC354" s="3267" t="s">
        <v>2980</v>
      </c>
      <c r="AD354" s="3366">
        <v>91302006101554</v>
      </c>
      <c r="AE354" s="3267" t="s">
        <v>3487</v>
      </c>
      <c r="AF354" s="3267" t="s">
        <v>2966</v>
      </c>
      <c r="AG354" s="3267" t="s">
        <v>2967</v>
      </c>
      <c r="AH354" s="3267" t="s">
        <v>2968</v>
      </c>
      <c r="AI354" s="3270" t="s">
        <v>2992</v>
      </c>
      <c r="AJ354" s="3284"/>
      <c r="AK354" s="3278" t="s">
        <v>3137</v>
      </c>
      <c r="AL354" s="3276">
        <v>22</v>
      </c>
      <c r="AM354" s="3276"/>
      <c r="AN354" s="3279" t="s">
        <v>3114</v>
      </c>
      <c r="AO354" s="3276" t="s">
        <v>2968</v>
      </c>
      <c r="AP354" s="3279" t="s">
        <v>3537</v>
      </c>
      <c r="AQ354" s="3267" t="s">
        <v>3228</v>
      </c>
      <c r="AR354" s="3276"/>
      <c r="AS354" s="3276"/>
      <c r="AT354" s="3276"/>
      <c r="AU354" s="3276"/>
      <c r="AV354" s="3276" t="s">
        <v>2968</v>
      </c>
      <c r="AW354" s="3276" t="s">
        <v>2997</v>
      </c>
      <c r="AX354" s="3276"/>
      <c r="AY354" s="3291"/>
      <c r="AZ354" s="3267" t="s">
        <v>5658</v>
      </c>
      <c r="BA354" s="3276"/>
      <c r="BB354" s="3291"/>
      <c r="BC354" s="3276"/>
      <c r="BD354" s="3292"/>
      <c r="BE354" s="3276">
        <v>13311030856</v>
      </c>
      <c r="BF354" s="3281"/>
      <c r="BG354" s="3307">
        <v>39008</v>
      </c>
      <c r="BH354" s="3276" t="s">
        <v>2998</v>
      </c>
      <c r="BI354" s="3267" t="s">
        <v>3537</v>
      </c>
      <c r="BJ354" s="3293">
        <v>39021</v>
      </c>
      <c r="BK354" s="3283"/>
      <c r="BL354" s="3267" t="s">
        <v>2998</v>
      </c>
      <c r="BM354" s="3276"/>
      <c r="BN354" s="3276"/>
      <c r="BO354" s="3276"/>
      <c r="BP354" s="3276"/>
      <c r="BQ354" s="3276" t="e">
        <v>#DIV/0!</v>
      </c>
      <c r="BR354" s="3276" t="e">
        <v>#DIV/0!</v>
      </c>
      <c r="BS354" s="3285"/>
      <c r="BT354" s="3285"/>
      <c r="BU354" s="3285"/>
    </row>
    <row r="355" spans="1:249" hidden="1">
      <c r="A355" s="3267" t="s">
        <v>5659</v>
      </c>
      <c r="B355" s="3267" t="s">
        <v>5660</v>
      </c>
      <c r="C355" s="3269" t="s">
        <v>5661</v>
      </c>
      <c r="D355" s="3269">
        <v>13511027331</v>
      </c>
      <c r="E355" s="3268" t="s">
        <v>2985</v>
      </c>
      <c r="F355" s="3268" t="s">
        <v>3324</v>
      </c>
      <c r="G355" s="3267"/>
      <c r="H355" s="3267" t="s">
        <v>3720</v>
      </c>
      <c r="I355" s="3268"/>
      <c r="J355" s="3267" t="s">
        <v>5469</v>
      </c>
      <c r="K355" s="3267" t="s">
        <v>5662</v>
      </c>
      <c r="L355" s="3267">
        <v>126.11</v>
      </c>
      <c r="M355" s="3267">
        <v>5</v>
      </c>
      <c r="N355" s="3267" t="s">
        <v>3125</v>
      </c>
      <c r="O355" s="3267"/>
      <c r="P355" s="3267" t="s">
        <v>2963</v>
      </c>
      <c r="Q355" s="3271">
        <v>850000</v>
      </c>
      <c r="R355" s="3267">
        <v>6740</v>
      </c>
      <c r="S355" s="3272">
        <v>82.41</v>
      </c>
      <c r="T355" s="3273">
        <v>824100</v>
      </c>
      <c r="U355" s="3267">
        <v>6535</v>
      </c>
      <c r="V355" s="3289">
        <v>0.3</v>
      </c>
      <c r="W355" s="3272">
        <v>57.68</v>
      </c>
      <c r="X355" s="3275">
        <v>576800</v>
      </c>
      <c r="Y355" s="3276">
        <v>2006</v>
      </c>
      <c r="Z355" s="3276">
        <v>12</v>
      </c>
      <c r="AA355" s="3276">
        <v>13</v>
      </c>
      <c r="AB355" s="3267">
        <v>1500</v>
      </c>
      <c r="AC355" s="3267" t="s">
        <v>2980</v>
      </c>
      <c r="AD355" s="3280" t="s">
        <v>5663</v>
      </c>
      <c r="AE355" s="3279" t="s">
        <v>3245</v>
      </c>
      <c r="AF355" s="3268" t="s">
        <v>2966</v>
      </c>
      <c r="AG355" s="3279" t="s">
        <v>2967</v>
      </c>
      <c r="AH355" s="3267" t="s">
        <v>5664</v>
      </c>
      <c r="AI355" s="3279" t="s">
        <v>2992</v>
      </c>
      <c r="AJ355" s="3284"/>
      <c r="AK355" s="3278" t="s">
        <v>3120</v>
      </c>
      <c r="AL355" s="3276">
        <v>51</v>
      </c>
      <c r="AM355" s="3267"/>
      <c r="AN355" s="3279" t="s">
        <v>3114</v>
      </c>
      <c r="AO355" s="3267" t="s">
        <v>5665</v>
      </c>
      <c r="AP355" s="3279" t="s">
        <v>3305</v>
      </c>
      <c r="AQ355" s="3267" t="s">
        <v>3228</v>
      </c>
      <c r="AR355" s="3276"/>
      <c r="AS355" s="3276"/>
      <c r="AT355" s="3276"/>
      <c r="AU355" s="3276"/>
      <c r="AV355" s="3276"/>
      <c r="AW355" s="3276" t="s">
        <v>2997</v>
      </c>
      <c r="AX355" s="3276"/>
      <c r="AY355" s="3291"/>
      <c r="AZ355" s="3267" t="s">
        <v>5662</v>
      </c>
      <c r="BA355" s="3296"/>
      <c r="BB355" s="3297"/>
      <c r="BC355" s="3296"/>
      <c r="BD355" s="3296"/>
      <c r="BE355" s="3276">
        <v>13701374724</v>
      </c>
      <c r="BF355" s="3281"/>
      <c r="BG355" s="3293">
        <v>39003</v>
      </c>
      <c r="BH355" s="3267" t="s">
        <v>2998</v>
      </c>
      <c r="BI355" s="3314" t="s">
        <v>3305</v>
      </c>
      <c r="BJ355" s="3283">
        <v>39031</v>
      </c>
      <c r="BK355" s="3283"/>
      <c r="BL355" s="3267" t="s">
        <v>3249</v>
      </c>
      <c r="BM355" s="3276" t="s">
        <v>2879</v>
      </c>
      <c r="BN355" s="3276" t="s">
        <v>3111</v>
      </c>
      <c r="BO355" s="3276" t="s">
        <v>3146</v>
      </c>
      <c r="BP355" s="3276"/>
      <c r="BQ355" s="3276" t="e">
        <v>#DIV/0!</v>
      </c>
      <c r="BR355" s="3276" t="e">
        <v>#DIV/0!</v>
      </c>
      <c r="BS355" s="3285"/>
      <c r="BT355" s="3285"/>
      <c r="BU355" s="3285"/>
    </row>
    <row r="356" spans="1:249" hidden="1">
      <c r="A356" s="3267" t="s">
        <v>5666</v>
      </c>
      <c r="B356" s="3267" t="s">
        <v>5667</v>
      </c>
      <c r="C356" s="3269" t="s">
        <v>5668</v>
      </c>
      <c r="D356" s="3267">
        <v>13910188177</v>
      </c>
      <c r="E356" s="3267" t="s">
        <v>2985</v>
      </c>
      <c r="F356" s="3267" t="s">
        <v>5669</v>
      </c>
      <c r="G356" s="3267"/>
      <c r="H356" s="3267"/>
      <c r="I356" s="3267"/>
      <c r="J356" s="3267" t="s">
        <v>5670</v>
      </c>
      <c r="K356" s="3267" t="s">
        <v>5667</v>
      </c>
      <c r="L356" s="3267">
        <v>58.98</v>
      </c>
      <c r="M356" s="3267">
        <v>3</v>
      </c>
      <c r="N356" s="3267" t="s">
        <v>3122</v>
      </c>
      <c r="O356" s="3267"/>
      <c r="P356" s="3267" t="s">
        <v>2963</v>
      </c>
      <c r="Q356" s="3267">
        <v>508000</v>
      </c>
      <c r="R356" s="3267">
        <v>8613</v>
      </c>
      <c r="S356" s="3272">
        <v>50.57</v>
      </c>
      <c r="T356" s="3273">
        <v>505700</v>
      </c>
      <c r="U356" s="3267">
        <v>8575</v>
      </c>
      <c r="V356" s="3274">
        <v>0.2</v>
      </c>
      <c r="W356" s="3272">
        <v>40.450000000000003</v>
      </c>
      <c r="X356" s="3275">
        <v>404500</v>
      </c>
      <c r="Y356" s="3267">
        <v>2006</v>
      </c>
      <c r="Z356" s="3267">
        <v>12</v>
      </c>
      <c r="AA356" s="3276">
        <v>27</v>
      </c>
      <c r="AB356" s="3267">
        <v>1500</v>
      </c>
      <c r="AC356" s="3267" t="s">
        <v>2980</v>
      </c>
      <c r="AD356" s="3269" t="s">
        <v>5671</v>
      </c>
      <c r="AE356" s="3267" t="s">
        <v>3069</v>
      </c>
      <c r="AF356" s="3267" t="s">
        <v>2966</v>
      </c>
      <c r="AG356" s="3267" t="s">
        <v>2967</v>
      </c>
      <c r="AH356" s="3267"/>
      <c r="AI356" s="3267" t="s">
        <v>3115</v>
      </c>
      <c r="AJ356" s="3284"/>
      <c r="AK356" s="3267" t="s">
        <v>3120</v>
      </c>
      <c r="AL356" s="3267" t="s">
        <v>5672</v>
      </c>
      <c r="AM356" s="3267" t="s">
        <v>5673</v>
      </c>
      <c r="AN356" s="3267" t="s">
        <v>3099</v>
      </c>
      <c r="AO356" s="3267" t="s">
        <v>5674</v>
      </c>
      <c r="AP356" s="3267" t="s">
        <v>3069</v>
      </c>
      <c r="AQ356" s="3267" t="s">
        <v>3228</v>
      </c>
      <c r="AR356" s="3267">
        <v>2006</v>
      </c>
      <c r="AS356" s="3267">
        <v>12</v>
      </c>
      <c r="AT356" s="3267">
        <v>27</v>
      </c>
      <c r="AU356" s="3267"/>
      <c r="AV356" s="3267"/>
      <c r="AW356" s="3267" t="s">
        <v>3112</v>
      </c>
      <c r="AX356" s="3267"/>
      <c r="AY356" s="3269"/>
      <c r="AZ356" s="3268" t="s">
        <v>5675</v>
      </c>
      <c r="BA356" s="3267"/>
      <c r="BB356" s="3267"/>
      <c r="BC356" s="3267"/>
      <c r="BD356" s="3267"/>
      <c r="BE356" s="3267"/>
      <c r="BF356" s="3267"/>
      <c r="BG356" s="3307">
        <v>39011</v>
      </c>
      <c r="BH356" s="3267"/>
      <c r="BI356" s="3267" t="s">
        <v>3069</v>
      </c>
      <c r="BJ356" s="3283">
        <v>39017</v>
      </c>
      <c r="BK356" s="3283"/>
      <c r="BL356" s="3267" t="s">
        <v>2998</v>
      </c>
      <c r="BM356" s="3267" t="s">
        <v>2879</v>
      </c>
      <c r="BN356" s="3267" t="s">
        <v>2999</v>
      </c>
      <c r="BO356" s="3267" t="s">
        <v>3000</v>
      </c>
      <c r="BP356" s="3267"/>
      <c r="BQ356" s="3276" t="e">
        <v>#DIV/0!</v>
      </c>
      <c r="BR356" s="3276" t="e">
        <v>#DIV/0!</v>
      </c>
      <c r="BS356" s="3285"/>
      <c r="BT356" s="3285"/>
      <c r="BU356" s="3285"/>
    </row>
    <row r="357" spans="1:249" hidden="1">
      <c r="A357" s="3267" t="s">
        <v>5676</v>
      </c>
      <c r="B357" s="3267" t="s">
        <v>5677</v>
      </c>
      <c r="C357" s="3269" t="s">
        <v>5678</v>
      </c>
      <c r="D357" s="3269" t="s">
        <v>5679</v>
      </c>
      <c r="E357" s="3268" t="s">
        <v>2985</v>
      </c>
      <c r="F357" s="3268" t="s">
        <v>3884</v>
      </c>
      <c r="G357" s="3267"/>
      <c r="H357" s="3267" t="s">
        <v>3225</v>
      </c>
      <c r="I357" s="3268" t="s">
        <v>3458</v>
      </c>
      <c r="J357" s="3267" t="s">
        <v>4886</v>
      </c>
      <c r="K357" s="3267" t="s">
        <v>5680</v>
      </c>
      <c r="L357" s="3267">
        <v>70.84</v>
      </c>
      <c r="M357" s="3269">
        <v>2</v>
      </c>
      <c r="N357" s="3267" t="s">
        <v>3152</v>
      </c>
      <c r="O357" s="3267">
        <v>63.1</v>
      </c>
      <c r="P357" s="3267" t="s">
        <v>2963</v>
      </c>
      <c r="Q357" s="3271">
        <v>430000</v>
      </c>
      <c r="R357" s="3267">
        <v>6070</v>
      </c>
      <c r="S357" s="3272">
        <v>53.03</v>
      </c>
      <c r="T357" s="3273">
        <v>530300</v>
      </c>
      <c r="U357" s="3267">
        <v>7486</v>
      </c>
      <c r="V357" s="3289">
        <v>0.2</v>
      </c>
      <c r="W357" s="3272">
        <v>42.42</v>
      </c>
      <c r="X357" s="3275">
        <v>424200</v>
      </c>
      <c r="Y357" s="3276">
        <v>2006</v>
      </c>
      <c r="Z357" s="3276">
        <v>10</v>
      </c>
      <c r="AA357" s="3276">
        <v>24</v>
      </c>
      <c r="AB357" s="3267">
        <v>1500</v>
      </c>
      <c r="AC357" s="3267" t="s">
        <v>3110</v>
      </c>
      <c r="AD357" s="3269"/>
      <c r="AE357" s="3279" t="s">
        <v>3344</v>
      </c>
      <c r="AF357" s="3268" t="s">
        <v>2966</v>
      </c>
      <c r="AG357" s="3279" t="s">
        <v>2967</v>
      </c>
      <c r="AH357" s="3267" t="s">
        <v>5681</v>
      </c>
      <c r="AI357" s="3279" t="s">
        <v>2992</v>
      </c>
      <c r="AJ357" s="3284"/>
      <c r="AK357" s="3278" t="s">
        <v>3148</v>
      </c>
      <c r="AL357" s="3276">
        <v>45</v>
      </c>
      <c r="AM357" s="3276"/>
      <c r="AN357" s="3279" t="s">
        <v>3114</v>
      </c>
      <c r="AO357" s="3267" t="s">
        <v>5682</v>
      </c>
      <c r="AP357" s="3279" t="s">
        <v>3305</v>
      </c>
      <c r="AQ357" s="3276" t="s">
        <v>3113</v>
      </c>
      <c r="AR357" s="3276"/>
      <c r="AS357" s="3276"/>
      <c r="AT357" s="3276"/>
      <c r="AU357" s="3276"/>
      <c r="AV357" s="3276"/>
      <c r="AW357" s="3276" t="s">
        <v>3119</v>
      </c>
      <c r="AX357" s="3276"/>
      <c r="AY357" s="3291"/>
      <c r="AZ357" s="3267" t="s">
        <v>5680</v>
      </c>
      <c r="BA357" s="3296"/>
      <c r="BB357" s="3297"/>
      <c r="BC357" s="3296"/>
      <c r="BD357" s="3298"/>
      <c r="BE357" s="3276">
        <v>13601364834</v>
      </c>
      <c r="BF357" s="3281"/>
      <c r="BG357" s="3293">
        <v>38984</v>
      </c>
      <c r="BH357" s="3267" t="s">
        <v>2998</v>
      </c>
      <c r="BI357" s="3314" t="s">
        <v>3305</v>
      </c>
      <c r="BJ357" s="3283"/>
      <c r="BK357" s="3283"/>
      <c r="BL357" s="3267" t="s">
        <v>3249</v>
      </c>
      <c r="BM357" s="3276" t="s">
        <v>2879</v>
      </c>
      <c r="BN357" s="3276" t="s">
        <v>2999</v>
      </c>
      <c r="BO357" s="3276" t="s">
        <v>3000</v>
      </c>
      <c r="BP357" s="3276"/>
      <c r="BQ357" s="3276">
        <v>8404</v>
      </c>
      <c r="BR357" s="3276">
        <v>6815</v>
      </c>
      <c r="BS357" s="3285"/>
      <c r="BT357" s="3285"/>
      <c r="BU357" s="3285"/>
    </row>
    <row r="358" spans="1:249">
      <c r="A358" s="3267" t="s">
        <v>5683</v>
      </c>
      <c r="B358" s="3267" t="s">
        <v>5684</v>
      </c>
      <c r="C358" s="3269" t="s">
        <v>5685</v>
      </c>
      <c r="D358" s="3269" t="s">
        <v>5686</v>
      </c>
      <c r="E358" s="3268" t="s">
        <v>2985</v>
      </c>
      <c r="F358" s="3268" t="s">
        <v>5687</v>
      </c>
      <c r="G358" s="3267"/>
      <c r="H358" s="3267" t="s">
        <v>3169</v>
      </c>
      <c r="I358" s="3268" t="s">
        <v>3254</v>
      </c>
      <c r="J358" s="3267" t="s">
        <v>5688</v>
      </c>
      <c r="K358" s="3267" t="s">
        <v>5689</v>
      </c>
      <c r="L358" s="3267">
        <v>54.25</v>
      </c>
      <c r="M358" s="3267" t="s">
        <v>3155</v>
      </c>
      <c r="N358" s="3267" t="s">
        <v>3122</v>
      </c>
      <c r="O358" s="3267"/>
      <c r="P358" s="3267" t="s">
        <v>2963</v>
      </c>
      <c r="Q358" s="3271">
        <v>560000</v>
      </c>
      <c r="R358" s="3288">
        <v>10323</v>
      </c>
      <c r="S358" s="3272">
        <v>46.36</v>
      </c>
      <c r="T358" s="3273">
        <v>463600</v>
      </c>
      <c r="U358" s="3267">
        <v>8546</v>
      </c>
      <c r="V358" s="3289">
        <v>0.2</v>
      </c>
      <c r="W358" s="3272">
        <v>37.08</v>
      </c>
      <c r="X358" s="3273">
        <v>370800</v>
      </c>
      <c r="Y358" s="3267">
        <v>2006</v>
      </c>
      <c r="Z358" s="3276">
        <v>10</v>
      </c>
      <c r="AA358" s="3276">
        <v>27</v>
      </c>
      <c r="AB358" s="3267">
        <v>1390</v>
      </c>
      <c r="AC358" s="3267" t="s">
        <v>3110</v>
      </c>
      <c r="AD358" s="3280"/>
      <c r="AE358" s="3279" t="s">
        <v>3295</v>
      </c>
      <c r="AF358" s="3268" t="s">
        <v>2966</v>
      </c>
      <c r="AG358" s="3279" t="s">
        <v>2967</v>
      </c>
      <c r="AH358" s="3267"/>
      <c r="AI358" s="3279" t="s">
        <v>2992</v>
      </c>
      <c r="AJ358" s="3284"/>
      <c r="AK358" s="3278" t="s">
        <v>3148</v>
      </c>
      <c r="AL358" s="3276">
        <v>27</v>
      </c>
      <c r="AM358" s="3267"/>
      <c r="AN358" s="3279" t="s">
        <v>3114</v>
      </c>
      <c r="AO358" s="3267" t="s">
        <v>5690</v>
      </c>
      <c r="AP358" s="3279" t="s">
        <v>3305</v>
      </c>
      <c r="AQ358" s="3276" t="s">
        <v>3113</v>
      </c>
      <c r="AR358" s="3276"/>
      <c r="AS358" s="3276"/>
      <c r="AT358" s="3276"/>
      <c r="AU358" s="3276"/>
      <c r="AV358" s="3276"/>
      <c r="AW358" s="3276" t="s">
        <v>3112</v>
      </c>
      <c r="AX358" s="3276"/>
      <c r="AY358" s="3291"/>
      <c r="AZ358" s="3267" t="s">
        <v>5689</v>
      </c>
      <c r="BA358" s="3296"/>
      <c r="BB358" s="3297"/>
      <c r="BC358" s="3296"/>
      <c r="BD358" s="3298"/>
      <c r="BE358" s="3276"/>
      <c r="BF358" s="3281"/>
      <c r="BG358" s="3293">
        <v>38988</v>
      </c>
      <c r="BH358" s="3354" t="s">
        <v>2998</v>
      </c>
      <c r="BI358" s="3314" t="s">
        <v>3305</v>
      </c>
      <c r="BJ358" s="3283"/>
      <c r="BK358" s="3283"/>
      <c r="BL358" s="3267" t="s">
        <v>3249</v>
      </c>
      <c r="BM358" s="3276" t="s">
        <v>2879</v>
      </c>
      <c r="BN358" s="3276" t="s">
        <v>2999</v>
      </c>
      <c r="BO358" s="3276" t="s">
        <v>3000</v>
      </c>
      <c r="BP358" s="3276"/>
      <c r="BQ358" s="3276" t="e">
        <v>#DIV/0!</v>
      </c>
      <c r="BR358" s="3276" t="e">
        <v>#DIV/0!</v>
      </c>
      <c r="BS358" s="3285"/>
      <c r="BT358" s="3285"/>
      <c r="BU358" s="3285"/>
    </row>
    <row r="359" spans="1:249" hidden="1">
      <c r="A359" s="3267" t="s">
        <v>5691</v>
      </c>
      <c r="B359" s="3267" t="s">
        <v>5692</v>
      </c>
      <c r="C359" s="3267" t="s">
        <v>5693</v>
      </c>
      <c r="D359" s="3267" t="s">
        <v>5694</v>
      </c>
      <c r="E359" s="3267" t="s">
        <v>2985</v>
      </c>
      <c r="F359" s="3267" t="s">
        <v>5695</v>
      </c>
      <c r="G359" s="3267"/>
      <c r="H359" s="3267"/>
      <c r="I359" s="3267"/>
      <c r="J359" s="3267" t="s">
        <v>5696</v>
      </c>
      <c r="K359" s="3267"/>
      <c r="L359" s="3267">
        <v>66.150000000000006</v>
      </c>
      <c r="M359" s="3267">
        <v>4</v>
      </c>
      <c r="N359" s="3267" t="s">
        <v>3122</v>
      </c>
      <c r="O359" s="3267"/>
      <c r="P359" s="3267" t="s">
        <v>2963</v>
      </c>
      <c r="Q359" s="3267">
        <v>335000</v>
      </c>
      <c r="R359" s="3288">
        <v>5064</v>
      </c>
      <c r="S359" s="3272">
        <v>32.53</v>
      </c>
      <c r="T359" s="3273">
        <v>325300</v>
      </c>
      <c r="U359" s="3267">
        <v>4918</v>
      </c>
      <c r="V359" s="3289">
        <v>0.2</v>
      </c>
      <c r="W359" s="3272">
        <v>26.02</v>
      </c>
      <c r="X359" s="3273">
        <v>260200</v>
      </c>
      <c r="Y359" s="3267">
        <v>2006</v>
      </c>
      <c r="Z359" s="3267">
        <v>11</v>
      </c>
      <c r="AA359" s="3267">
        <v>14</v>
      </c>
      <c r="AB359" s="3267">
        <v>975</v>
      </c>
      <c r="AC359" s="3267" t="s">
        <v>2980</v>
      </c>
      <c r="AD359" s="3267">
        <v>91302006101270</v>
      </c>
      <c r="AE359" s="3267" t="s">
        <v>3487</v>
      </c>
      <c r="AF359" s="3267" t="s">
        <v>2966</v>
      </c>
      <c r="AG359" s="3267" t="s">
        <v>2967</v>
      </c>
      <c r="AH359" s="3267" t="s">
        <v>2968</v>
      </c>
      <c r="AI359" s="3267" t="s">
        <v>2992</v>
      </c>
      <c r="AJ359" s="3267"/>
      <c r="AK359" s="3267" t="s">
        <v>3137</v>
      </c>
      <c r="AL359" s="3267">
        <v>39</v>
      </c>
      <c r="AM359" s="3267" t="s">
        <v>5697</v>
      </c>
      <c r="AN359" s="3267" t="s">
        <v>3140</v>
      </c>
      <c r="AO359" s="3267" t="s">
        <v>2968</v>
      </c>
      <c r="AP359" s="3267" t="s">
        <v>3487</v>
      </c>
      <c r="AQ359" s="3267" t="s">
        <v>3113</v>
      </c>
      <c r="AR359" s="3267"/>
      <c r="AS359" s="3267"/>
      <c r="AT359" s="3267"/>
      <c r="AU359" s="3267"/>
      <c r="AV359" s="3267" t="s">
        <v>2968</v>
      </c>
      <c r="AW359" s="3267" t="s">
        <v>3171</v>
      </c>
      <c r="AX359" s="3267"/>
      <c r="AY359" s="3269"/>
      <c r="AZ359" s="3267"/>
      <c r="BA359" s="3267"/>
      <c r="BB359" s="3269"/>
      <c r="BC359" s="3267"/>
      <c r="BD359" s="3304"/>
      <c r="BE359" s="3267"/>
      <c r="BF359" s="3305"/>
      <c r="BG359" s="3284">
        <v>39011</v>
      </c>
      <c r="BH359" s="3267"/>
      <c r="BI359" s="3267" t="s">
        <v>3487</v>
      </c>
      <c r="BJ359" s="3303">
        <v>39016</v>
      </c>
      <c r="BK359" s="3303"/>
      <c r="BL359" s="3267" t="s">
        <v>2998</v>
      </c>
      <c r="BM359" s="3267"/>
      <c r="BN359" s="3267"/>
      <c r="BO359" s="3267"/>
      <c r="BP359" s="3267"/>
      <c r="BQ359" s="3276" t="e">
        <v>#DIV/0!</v>
      </c>
      <c r="BR359" s="3276" t="e">
        <v>#DIV/0!</v>
      </c>
      <c r="BS359" s="3285"/>
      <c r="BT359" s="3285"/>
      <c r="BU359" s="3285"/>
    </row>
    <row r="360" spans="1:249" hidden="1">
      <c r="A360" s="3267" t="s">
        <v>5698</v>
      </c>
      <c r="B360" s="3267" t="s">
        <v>5699</v>
      </c>
      <c r="C360" s="3269" t="s">
        <v>5700</v>
      </c>
      <c r="D360" s="3269" t="s">
        <v>5701</v>
      </c>
      <c r="E360" s="3268" t="s">
        <v>2985</v>
      </c>
      <c r="F360" s="3268" t="s">
        <v>4826</v>
      </c>
      <c r="G360" s="3267"/>
      <c r="H360" s="3267" t="s">
        <v>3139</v>
      </c>
      <c r="I360" s="3268" t="s">
        <v>3191</v>
      </c>
      <c r="J360" s="3267" t="s">
        <v>5702</v>
      </c>
      <c r="K360" s="3267" t="s">
        <v>5703</v>
      </c>
      <c r="L360" s="3267">
        <v>53.92</v>
      </c>
      <c r="M360" s="3269">
        <v>3</v>
      </c>
      <c r="N360" s="3267" t="s">
        <v>3122</v>
      </c>
      <c r="O360" s="3267"/>
      <c r="P360" s="3267" t="s">
        <v>2963</v>
      </c>
      <c r="Q360" s="3271">
        <v>410000</v>
      </c>
      <c r="R360" s="3267">
        <v>7604</v>
      </c>
      <c r="S360" s="3272">
        <v>31.72</v>
      </c>
      <c r="T360" s="3273">
        <v>317200</v>
      </c>
      <c r="U360" s="3267">
        <v>5883</v>
      </c>
      <c r="V360" s="3289">
        <v>0.2</v>
      </c>
      <c r="W360" s="3272">
        <v>25.37</v>
      </c>
      <c r="X360" s="3275">
        <v>253700</v>
      </c>
      <c r="Y360" s="3276">
        <v>2006</v>
      </c>
      <c r="Z360" s="3276">
        <v>11</v>
      </c>
      <c r="AA360" s="3276">
        <v>17</v>
      </c>
      <c r="AB360" s="3267">
        <v>950</v>
      </c>
      <c r="AC360" s="3267" t="s">
        <v>2980</v>
      </c>
      <c r="AD360" s="3269" t="s">
        <v>5704</v>
      </c>
      <c r="AE360" s="3279" t="s">
        <v>3344</v>
      </c>
      <c r="AF360" s="3268" t="s">
        <v>2966</v>
      </c>
      <c r="AG360" s="3279" t="s">
        <v>2967</v>
      </c>
      <c r="AH360" s="3267"/>
      <c r="AI360" s="3279" t="s">
        <v>2992</v>
      </c>
      <c r="AJ360" s="3284"/>
      <c r="AK360" s="3278" t="s">
        <v>3137</v>
      </c>
      <c r="AL360" s="3276">
        <v>30</v>
      </c>
      <c r="AM360" s="3267"/>
      <c r="AN360" s="3276" t="s">
        <v>3114</v>
      </c>
      <c r="AO360" s="3267" t="s">
        <v>5705</v>
      </c>
      <c r="AP360" s="3279" t="s">
        <v>5706</v>
      </c>
      <c r="AQ360" s="3276" t="s">
        <v>3113</v>
      </c>
      <c r="AR360" s="3276"/>
      <c r="AS360" s="3276"/>
      <c r="AT360" s="3276"/>
      <c r="AU360" s="3276"/>
      <c r="AV360" s="3276" t="s">
        <v>2968</v>
      </c>
      <c r="AW360" s="3276" t="s">
        <v>3171</v>
      </c>
      <c r="AX360" s="3276"/>
      <c r="AY360" s="3291"/>
      <c r="AZ360" s="3267" t="s">
        <v>5703</v>
      </c>
      <c r="BA360" s="3296"/>
      <c r="BB360" s="3297"/>
      <c r="BC360" s="3296"/>
      <c r="BD360" s="3298"/>
      <c r="BE360" s="3276">
        <v>13718873196</v>
      </c>
      <c r="BF360" s="3281" t="s">
        <v>2968</v>
      </c>
      <c r="BG360" s="3293">
        <v>39012</v>
      </c>
      <c r="BH360" s="3267" t="s">
        <v>2998</v>
      </c>
      <c r="BI360" s="3276" t="s">
        <v>5706</v>
      </c>
      <c r="BJ360" s="3283">
        <v>39022</v>
      </c>
      <c r="BK360" s="3283"/>
      <c r="BL360" s="3267" t="s">
        <v>3249</v>
      </c>
      <c r="BM360" s="3276" t="s">
        <v>2879</v>
      </c>
      <c r="BN360" s="3276" t="s">
        <v>2999</v>
      </c>
      <c r="BO360" s="3276" t="s">
        <v>3146</v>
      </c>
      <c r="BP360" s="3276"/>
      <c r="BQ360" s="3276" t="e">
        <v>#DIV/0!</v>
      </c>
      <c r="BR360" s="3276" t="e">
        <v>#DIV/0!</v>
      </c>
      <c r="BS360" s="3285"/>
      <c r="BT360" s="3285"/>
      <c r="BU360" s="3285"/>
    </row>
    <row r="361" spans="1:249" hidden="1">
      <c r="A361" s="3267" t="s">
        <v>5707</v>
      </c>
      <c r="B361" s="3267" t="s">
        <v>5708</v>
      </c>
      <c r="C361" s="3269" t="s">
        <v>5709</v>
      </c>
      <c r="D361" s="3269" t="s">
        <v>5710</v>
      </c>
      <c r="E361" s="3268" t="s">
        <v>2985</v>
      </c>
      <c r="F361" s="3268" t="s">
        <v>5711</v>
      </c>
      <c r="G361" s="3267"/>
      <c r="H361" s="3267" t="s">
        <v>3402</v>
      </c>
      <c r="I361" s="3268"/>
      <c r="J361" s="3267" t="s">
        <v>5200</v>
      </c>
      <c r="K361" s="3267" t="s">
        <v>5712</v>
      </c>
      <c r="L361" s="3267">
        <v>107.13</v>
      </c>
      <c r="M361" s="3269">
        <v>22</v>
      </c>
      <c r="N361" s="3267" t="s">
        <v>3098</v>
      </c>
      <c r="O361" s="3267">
        <v>87.71</v>
      </c>
      <c r="P361" s="3267" t="s">
        <v>2963</v>
      </c>
      <c r="Q361" s="3271">
        <v>580000</v>
      </c>
      <c r="R361" s="3267">
        <v>5414</v>
      </c>
      <c r="S361" s="3272">
        <v>71.3</v>
      </c>
      <c r="T361" s="3273">
        <v>713000</v>
      </c>
      <c r="U361" s="3267">
        <v>6656</v>
      </c>
      <c r="V361" s="3289">
        <v>0.3</v>
      </c>
      <c r="W361" s="3272">
        <v>49.91</v>
      </c>
      <c r="X361" s="3275">
        <v>499100</v>
      </c>
      <c r="Y361" s="3276">
        <v>2006</v>
      </c>
      <c r="Z361" s="3276">
        <v>11</v>
      </c>
      <c r="AA361" s="3276">
        <v>14</v>
      </c>
      <c r="AB361" s="3267">
        <v>1500</v>
      </c>
      <c r="AC361" s="3267" t="s">
        <v>2980</v>
      </c>
      <c r="AD361" s="3269" t="s">
        <v>5713</v>
      </c>
      <c r="AE361" s="3279" t="s">
        <v>3344</v>
      </c>
      <c r="AF361" s="3268" t="s">
        <v>2966</v>
      </c>
      <c r="AG361" s="3279" t="s">
        <v>2967</v>
      </c>
      <c r="AH361" s="3267"/>
      <c r="AI361" s="3279" t="s">
        <v>2992</v>
      </c>
      <c r="AJ361" s="3284"/>
      <c r="AK361" s="3267" t="s">
        <v>3137</v>
      </c>
      <c r="AL361" s="3276">
        <v>59</v>
      </c>
      <c r="AM361" s="3276"/>
      <c r="AN361" s="3267" t="s">
        <v>3114</v>
      </c>
      <c r="AO361" s="3267" t="s">
        <v>5714</v>
      </c>
      <c r="AP361" s="3279" t="s">
        <v>3305</v>
      </c>
      <c r="AQ361" s="3267" t="s">
        <v>3228</v>
      </c>
      <c r="AR361" s="3276">
        <v>2006</v>
      </c>
      <c r="AS361" s="3276">
        <v>11</v>
      </c>
      <c r="AT361" s="3276">
        <v>14</v>
      </c>
      <c r="AU361" s="3276"/>
      <c r="AV361" s="3276"/>
      <c r="AW361" s="3276" t="s">
        <v>3112</v>
      </c>
      <c r="AX361" s="3276"/>
      <c r="AY361" s="3291"/>
      <c r="AZ361" s="3267" t="s">
        <v>5712</v>
      </c>
      <c r="BA361" s="3296"/>
      <c r="BB361" s="3297"/>
      <c r="BC361" s="3296"/>
      <c r="BD361" s="3298"/>
      <c r="BE361" s="3276">
        <v>13901150163</v>
      </c>
      <c r="BF361" s="3281"/>
      <c r="BG361" s="3293">
        <v>39014</v>
      </c>
      <c r="BH361" s="3267" t="s">
        <v>2998</v>
      </c>
      <c r="BI361" s="3314" t="s">
        <v>3305</v>
      </c>
      <c r="BJ361" s="3283">
        <v>39016</v>
      </c>
      <c r="BK361" s="3283"/>
      <c r="BL361" s="3267" t="s">
        <v>3249</v>
      </c>
      <c r="BM361" s="3276" t="s">
        <v>2879</v>
      </c>
      <c r="BN361" s="3276" t="s">
        <v>2999</v>
      </c>
      <c r="BO361" s="3276" t="s">
        <v>3146</v>
      </c>
      <c r="BP361" s="3276"/>
      <c r="BQ361" s="3276">
        <v>8129</v>
      </c>
      <c r="BR361" s="3276">
        <v>6613</v>
      </c>
      <c r="BS361" s="3285"/>
      <c r="BT361" s="3285"/>
      <c r="BU361" s="3285"/>
    </row>
    <row r="362" spans="1:249" hidden="1">
      <c r="A362" s="3267" t="s">
        <v>5715</v>
      </c>
      <c r="B362" s="3267" t="s">
        <v>5716</v>
      </c>
      <c r="C362" s="3269" t="s">
        <v>5717</v>
      </c>
      <c r="D362" s="3269" t="s">
        <v>5718</v>
      </c>
      <c r="E362" s="3268" t="s">
        <v>2985</v>
      </c>
      <c r="F362" s="3267" t="s">
        <v>5719</v>
      </c>
      <c r="G362" s="3267"/>
      <c r="H362" s="3267" t="s">
        <v>3225</v>
      </c>
      <c r="I362" s="3268" t="s">
        <v>3436</v>
      </c>
      <c r="J362" s="3269" t="s">
        <v>5720</v>
      </c>
      <c r="K362" s="3267" t="s">
        <v>5721</v>
      </c>
      <c r="L362" s="3286">
        <v>79.55</v>
      </c>
      <c r="M362" s="3267">
        <v>4</v>
      </c>
      <c r="N362" s="3267" t="s">
        <v>3125</v>
      </c>
      <c r="O362" s="3267" t="s">
        <v>2968</v>
      </c>
      <c r="P362" s="3267" t="s">
        <v>2963</v>
      </c>
      <c r="Q362" s="3287">
        <v>350000</v>
      </c>
      <c r="R362" s="3267">
        <v>4400</v>
      </c>
      <c r="S362" s="3272">
        <v>32.020000000000003</v>
      </c>
      <c r="T362" s="3273">
        <v>320200</v>
      </c>
      <c r="U362" s="3367">
        <v>4026</v>
      </c>
      <c r="V362" s="3289">
        <v>0.2</v>
      </c>
      <c r="W362" s="3272">
        <v>25.61</v>
      </c>
      <c r="X362" s="3275">
        <v>256100</v>
      </c>
      <c r="Y362" s="3276">
        <v>2006</v>
      </c>
      <c r="Z362" s="3276">
        <v>11</v>
      </c>
      <c r="AA362" s="3276">
        <v>7</v>
      </c>
      <c r="AB362" s="3267">
        <v>960</v>
      </c>
      <c r="AC362" s="3267" t="s">
        <v>2980</v>
      </c>
      <c r="AD362" s="3269" t="s">
        <v>5722</v>
      </c>
      <c r="AE362" s="3279" t="s">
        <v>2979</v>
      </c>
      <c r="AF362" s="3268" t="s">
        <v>2966</v>
      </c>
      <c r="AG362" s="3267" t="s">
        <v>2967</v>
      </c>
      <c r="AH362" s="3267" t="s">
        <v>2968</v>
      </c>
      <c r="AI362" s="3279" t="s">
        <v>2992</v>
      </c>
      <c r="AJ362" s="3290" t="s">
        <v>2968</v>
      </c>
      <c r="AK362" s="3278" t="s">
        <v>3137</v>
      </c>
      <c r="AL362" s="3276">
        <v>39</v>
      </c>
      <c r="AM362" s="3276"/>
      <c r="AN362" s="3279" t="s">
        <v>3140</v>
      </c>
      <c r="AO362" s="3276"/>
      <c r="AP362" s="3279" t="s">
        <v>2979</v>
      </c>
      <c r="AQ362" s="3267" t="s">
        <v>3228</v>
      </c>
      <c r="AR362" s="3267">
        <v>2006</v>
      </c>
      <c r="AS362" s="3267">
        <v>11</v>
      </c>
      <c r="AT362" s="3267">
        <v>7</v>
      </c>
      <c r="AU362" s="3267"/>
      <c r="AV362" s="3276" t="s">
        <v>2968</v>
      </c>
      <c r="AW362" s="3276" t="s">
        <v>3119</v>
      </c>
      <c r="AX362" s="3276" t="s">
        <v>2968</v>
      </c>
      <c r="AY362" s="3291" t="s">
        <v>2968</v>
      </c>
      <c r="AZ362" s="3267" t="s">
        <v>5723</v>
      </c>
      <c r="BA362" s="3276" t="s">
        <v>2968</v>
      </c>
      <c r="BB362" s="3291" t="s">
        <v>2968</v>
      </c>
      <c r="BC362" s="3276" t="s">
        <v>2968</v>
      </c>
      <c r="BD362" s="3292" t="s">
        <v>2968</v>
      </c>
      <c r="BE362" s="3291" t="s">
        <v>2968</v>
      </c>
      <c r="BF362" s="3281" t="s">
        <v>2968</v>
      </c>
      <c r="BG362" s="3293">
        <v>39015</v>
      </c>
      <c r="BH362" s="3276"/>
      <c r="BI362" s="3314" t="s">
        <v>2979</v>
      </c>
      <c r="BJ362" s="3283">
        <v>39016</v>
      </c>
      <c r="BK362" s="3299" t="s">
        <v>2968</v>
      </c>
      <c r="BL362" s="3267" t="s">
        <v>2998</v>
      </c>
      <c r="BM362" s="3276" t="s">
        <v>2879</v>
      </c>
      <c r="BN362" s="3276" t="s">
        <v>2999</v>
      </c>
      <c r="BO362" s="3276" t="s">
        <v>5724</v>
      </c>
      <c r="BP362" s="3276"/>
      <c r="BQ362" s="3276" t="e">
        <v>#VALUE!</v>
      </c>
      <c r="BR362" s="3276" t="e">
        <v>#VALUE!</v>
      </c>
      <c r="BS362" s="3285"/>
      <c r="BT362" s="3285"/>
      <c r="BU362" s="3285"/>
    </row>
    <row r="363" spans="1:249" hidden="1">
      <c r="A363" s="3267" t="s">
        <v>5725</v>
      </c>
      <c r="B363" s="3267" t="s">
        <v>5726</v>
      </c>
      <c r="C363" s="3269" t="s">
        <v>5727</v>
      </c>
      <c r="D363" s="3269" t="s">
        <v>5728</v>
      </c>
      <c r="E363" s="3268" t="s">
        <v>2985</v>
      </c>
      <c r="F363" s="3268" t="s">
        <v>4826</v>
      </c>
      <c r="G363" s="3267"/>
      <c r="H363" s="3267" t="s">
        <v>3194</v>
      </c>
      <c r="I363" s="3268" t="s">
        <v>3190</v>
      </c>
      <c r="J363" s="3267" t="s">
        <v>5729</v>
      </c>
      <c r="K363" s="3267" t="s">
        <v>5730</v>
      </c>
      <c r="L363" s="3267">
        <v>58.39</v>
      </c>
      <c r="M363" s="3267">
        <v>4</v>
      </c>
      <c r="N363" s="3267" t="s">
        <v>3122</v>
      </c>
      <c r="O363" s="3267"/>
      <c r="P363" s="3267" t="s">
        <v>2963</v>
      </c>
      <c r="Q363" s="3271">
        <v>420000</v>
      </c>
      <c r="R363" s="3267">
        <v>7193</v>
      </c>
      <c r="S363" s="3272">
        <v>36.24</v>
      </c>
      <c r="T363" s="3273">
        <v>362400</v>
      </c>
      <c r="U363" s="3267">
        <v>6208</v>
      </c>
      <c r="V363" s="3289">
        <v>0.2</v>
      </c>
      <c r="W363" s="3272">
        <v>28.99</v>
      </c>
      <c r="X363" s="3275">
        <v>289900</v>
      </c>
      <c r="Y363" s="3276">
        <v>2006</v>
      </c>
      <c r="Z363" s="3276">
        <v>11</v>
      </c>
      <c r="AA363" s="3276">
        <v>24</v>
      </c>
      <c r="AB363" s="3267">
        <v>1085</v>
      </c>
      <c r="AC363" s="3267" t="s">
        <v>2980</v>
      </c>
      <c r="AD363" s="3280" t="s">
        <v>5731</v>
      </c>
      <c r="AE363" s="3279" t="s">
        <v>3344</v>
      </c>
      <c r="AF363" s="3268" t="s">
        <v>2966</v>
      </c>
      <c r="AG363" s="3279" t="s">
        <v>2967</v>
      </c>
      <c r="AH363" s="3267"/>
      <c r="AI363" s="3279" t="s">
        <v>2992</v>
      </c>
      <c r="AJ363" s="3284"/>
      <c r="AK363" s="3278" t="s">
        <v>3137</v>
      </c>
      <c r="AL363" s="3276">
        <v>30</v>
      </c>
      <c r="AM363" s="3267"/>
      <c r="AN363" s="3279" t="s">
        <v>2994</v>
      </c>
      <c r="AO363" s="3267" t="s">
        <v>5732</v>
      </c>
      <c r="AP363" s="3279" t="s">
        <v>3305</v>
      </c>
      <c r="AQ363" s="3267" t="s">
        <v>3228</v>
      </c>
      <c r="AR363" s="3276"/>
      <c r="AS363" s="3276"/>
      <c r="AT363" s="3276"/>
      <c r="AU363" s="3276"/>
      <c r="AV363" s="3276" t="s">
        <v>2968</v>
      </c>
      <c r="AW363" s="3276" t="s">
        <v>3171</v>
      </c>
      <c r="AX363" s="3276"/>
      <c r="AY363" s="3291"/>
      <c r="AZ363" s="3267" t="s">
        <v>5730</v>
      </c>
      <c r="BA363" s="3296"/>
      <c r="BB363" s="3297"/>
      <c r="BC363" s="3296"/>
      <c r="BD363" s="3296"/>
      <c r="BE363" s="3276"/>
      <c r="BF363" s="3281" t="s">
        <v>2968</v>
      </c>
      <c r="BG363" s="3293">
        <v>39015</v>
      </c>
      <c r="BH363" s="3267" t="s">
        <v>2998</v>
      </c>
      <c r="BI363" s="3314" t="s">
        <v>3305</v>
      </c>
      <c r="BJ363" s="3283">
        <v>39029</v>
      </c>
      <c r="BK363" s="3283"/>
      <c r="BL363" s="3267" t="s">
        <v>3249</v>
      </c>
      <c r="BM363" s="3276" t="s">
        <v>2879</v>
      </c>
      <c r="BN363" s="3276" t="s">
        <v>2999</v>
      </c>
      <c r="BO363" s="3276" t="s">
        <v>3146</v>
      </c>
      <c r="BP363" s="3276"/>
      <c r="BQ363" s="3276" t="e">
        <v>#DIV/0!</v>
      </c>
      <c r="BR363" s="3276" t="e">
        <v>#DIV/0!</v>
      </c>
      <c r="BS363" s="3285"/>
      <c r="BT363" s="3285"/>
      <c r="BU363" s="3285"/>
    </row>
    <row r="364" spans="1:249" hidden="1">
      <c r="A364" s="3267" t="s">
        <v>5733</v>
      </c>
      <c r="B364" s="3267" t="s">
        <v>5734</v>
      </c>
      <c r="C364" s="3269" t="s">
        <v>5735</v>
      </c>
      <c r="D364" s="3269" t="s">
        <v>5736</v>
      </c>
      <c r="E364" s="3268" t="s">
        <v>2985</v>
      </c>
      <c r="F364" s="3268" t="s">
        <v>3279</v>
      </c>
      <c r="G364" s="3267"/>
      <c r="H364" s="3267" t="s">
        <v>5737</v>
      </c>
      <c r="I364" s="3268" t="s">
        <v>3318</v>
      </c>
      <c r="J364" s="3267" t="s">
        <v>3380</v>
      </c>
      <c r="K364" s="3267" t="s">
        <v>5738</v>
      </c>
      <c r="L364" s="3267">
        <v>45</v>
      </c>
      <c r="M364" s="3267">
        <v>3</v>
      </c>
      <c r="N364" s="3267" t="s">
        <v>3152</v>
      </c>
      <c r="O364" s="3267"/>
      <c r="P364" s="3267" t="s">
        <v>2963</v>
      </c>
      <c r="Q364" s="3271">
        <v>328000</v>
      </c>
      <c r="R364" s="3267">
        <v>7289</v>
      </c>
      <c r="S364" s="3272">
        <v>31.59</v>
      </c>
      <c r="T364" s="3273">
        <v>315900</v>
      </c>
      <c r="U364" s="3267">
        <v>7020</v>
      </c>
      <c r="V364" s="3289">
        <v>0.2</v>
      </c>
      <c r="W364" s="3272">
        <v>25.27</v>
      </c>
      <c r="X364" s="3275">
        <v>252700</v>
      </c>
      <c r="Y364" s="3276">
        <v>2006</v>
      </c>
      <c r="Z364" s="3276">
        <v>12</v>
      </c>
      <c r="AA364" s="3276">
        <v>19</v>
      </c>
      <c r="AB364" s="3267">
        <v>945</v>
      </c>
      <c r="AC364" s="3267" t="s">
        <v>2980</v>
      </c>
      <c r="AD364" s="3269" t="s">
        <v>5739</v>
      </c>
      <c r="AE364" s="3279" t="s">
        <v>3245</v>
      </c>
      <c r="AF364" s="3268" t="s">
        <v>2966</v>
      </c>
      <c r="AG364" s="3279" t="s">
        <v>2967</v>
      </c>
      <c r="AH364" s="3267" t="s">
        <v>2968</v>
      </c>
      <c r="AI364" s="3279" t="s">
        <v>2992</v>
      </c>
      <c r="AJ364" s="3284"/>
      <c r="AK364" s="3278" t="s">
        <v>3120</v>
      </c>
      <c r="AL364" s="3276">
        <v>39</v>
      </c>
      <c r="AM364" s="3267"/>
      <c r="AN364" s="3279" t="s">
        <v>2994</v>
      </c>
      <c r="AO364" s="3267" t="s">
        <v>5740</v>
      </c>
      <c r="AP364" s="3279" t="s">
        <v>3305</v>
      </c>
      <c r="AQ364" s="3276" t="s">
        <v>2996</v>
      </c>
      <c r="AR364" s="3276"/>
      <c r="AS364" s="3276"/>
      <c r="AT364" s="3276"/>
      <c r="AU364" s="3276"/>
      <c r="AV364" s="3276" t="s">
        <v>2968</v>
      </c>
      <c r="AW364" s="3276" t="s">
        <v>2997</v>
      </c>
      <c r="AX364" s="3291"/>
      <c r="AY364" s="3291"/>
      <c r="AZ364" s="3267" t="s">
        <v>5738</v>
      </c>
      <c r="BA364" s="3296"/>
      <c r="BB364" s="3297"/>
      <c r="BC364" s="3296"/>
      <c r="BD364" s="3296"/>
      <c r="BE364" s="3276"/>
      <c r="BF364" s="3281"/>
      <c r="BG364" s="3293">
        <v>39063</v>
      </c>
      <c r="BH364" s="3267" t="s">
        <v>2998</v>
      </c>
      <c r="BI364" s="3314" t="s">
        <v>3305</v>
      </c>
      <c r="BJ364" s="3283">
        <v>39065</v>
      </c>
      <c r="BK364" s="3283"/>
      <c r="BL364" s="3267" t="s">
        <v>3249</v>
      </c>
      <c r="BM364" s="3276" t="s">
        <v>2879</v>
      </c>
      <c r="BN364" s="3276" t="s">
        <v>2999</v>
      </c>
      <c r="BO364" s="3276" t="s">
        <v>3000</v>
      </c>
      <c r="BP364" s="3276"/>
      <c r="BQ364" s="3276" t="e">
        <v>#DIV/0!</v>
      </c>
      <c r="BR364" s="3276" t="e">
        <v>#DIV/0!</v>
      </c>
      <c r="BS364" s="3285"/>
      <c r="BT364" s="3285"/>
      <c r="BU364" s="3285"/>
    </row>
    <row r="365" spans="1:249" hidden="1">
      <c r="A365" s="3267" t="s">
        <v>5741</v>
      </c>
      <c r="B365" s="3267" t="s">
        <v>5742</v>
      </c>
      <c r="C365" s="3269" t="s">
        <v>5743</v>
      </c>
      <c r="D365" s="3269" t="s">
        <v>5744</v>
      </c>
      <c r="E365" s="3268" t="s">
        <v>2985</v>
      </c>
      <c r="F365" s="3268" t="s">
        <v>4100</v>
      </c>
      <c r="G365" s="3267"/>
      <c r="H365" s="3267" t="s">
        <v>3169</v>
      </c>
      <c r="I365" s="3268"/>
      <c r="J365" s="3267" t="s">
        <v>3413</v>
      </c>
      <c r="K365" s="3267" t="s">
        <v>5745</v>
      </c>
      <c r="L365" s="3267">
        <v>94.06</v>
      </c>
      <c r="M365" s="3267">
        <v>16</v>
      </c>
      <c r="N365" s="3267" t="s">
        <v>3125</v>
      </c>
      <c r="O365" s="3267">
        <v>79.44</v>
      </c>
      <c r="P365" s="3267" t="s">
        <v>2963</v>
      </c>
      <c r="Q365" s="3271">
        <v>510000</v>
      </c>
      <c r="R365" s="3267">
        <v>5422</v>
      </c>
      <c r="S365" s="3272">
        <v>49.51</v>
      </c>
      <c r="T365" s="3273">
        <v>495100</v>
      </c>
      <c r="U365" s="3267">
        <v>5264</v>
      </c>
      <c r="V365" s="3289">
        <v>0.3</v>
      </c>
      <c r="W365" s="3272">
        <v>34.65</v>
      </c>
      <c r="X365" s="3275">
        <v>346500</v>
      </c>
      <c r="Y365" s="3276">
        <v>2006</v>
      </c>
      <c r="Z365" s="3276">
        <v>11</v>
      </c>
      <c r="AA365" s="3276">
        <v>21</v>
      </c>
      <c r="AB365" s="3267">
        <v>1485</v>
      </c>
      <c r="AC365" s="3267" t="s">
        <v>2980</v>
      </c>
      <c r="AD365" s="3280" t="s">
        <v>5746</v>
      </c>
      <c r="AE365" s="3279" t="s">
        <v>3686</v>
      </c>
      <c r="AF365" s="3267" t="s">
        <v>2966</v>
      </c>
      <c r="AG365" s="3279" t="s">
        <v>2967</v>
      </c>
      <c r="AH365" s="3267" t="s">
        <v>5747</v>
      </c>
      <c r="AI365" s="3279" t="s">
        <v>2992</v>
      </c>
      <c r="AJ365" s="3284"/>
      <c r="AK365" s="3278" t="s">
        <v>3137</v>
      </c>
      <c r="AL365" s="3276">
        <v>55</v>
      </c>
      <c r="AM365" s="3276"/>
      <c r="AN365" s="3279" t="s">
        <v>2994</v>
      </c>
      <c r="AO365" s="3267" t="s">
        <v>5748</v>
      </c>
      <c r="AP365" s="3279" t="s">
        <v>3305</v>
      </c>
      <c r="AQ365" s="3276" t="s">
        <v>3113</v>
      </c>
      <c r="AR365" s="3276"/>
      <c r="AS365" s="3276"/>
      <c r="AT365" s="3276"/>
      <c r="AU365" s="3276"/>
      <c r="AV365" s="3276"/>
      <c r="AW365" s="3276" t="s">
        <v>3171</v>
      </c>
      <c r="AX365" s="3276"/>
      <c r="AY365" s="3291"/>
      <c r="AZ365" s="3267" t="s">
        <v>5745</v>
      </c>
      <c r="BA365" s="3296"/>
      <c r="BB365" s="3297"/>
      <c r="BC365" s="3296"/>
      <c r="BD365" s="3298"/>
      <c r="BE365" s="3276"/>
      <c r="BF365" s="3281"/>
      <c r="BG365" s="3293">
        <v>39018</v>
      </c>
      <c r="BH365" s="3354" t="s">
        <v>2998</v>
      </c>
      <c r="BI365" s="3314" t="s">
        <v>3305</v>
      </c>
      <c r="BJ365" s="3283">
        <v>39028</v>
      </c>
      <c r="BK365" s="3283"/>
      <c r="BL365" s="3267" t="s">
        <v>3249</v>
      </c>
      <c r="BM365" s="3276" t="s">
        <v>2879</v>
      </c>
      <c r="BN365" s="3276" t="s">
        <v>2999</v>
      </c>
      <c r="BO365" s="3276" t="s">
        <v>3000</v>
      </c>
      <c r="BP365" s="3276"/>
      <c r="BQ365" s="3276">
        <v>6232</v>
      </c>
      <c r="BR365" s="3276">
        <v>6420</v>
      </c>
      <c r="BS365" s="3285"/>
      <c r="BT365" s="3285"/>
      <c r="BU365" s="3285"/>
    </row>
    <row r="366" spans="1:249" hidden="1">
      <c r="A366" s="3267" t="s">
        <v>5749</v>
      </c>
      <c r="B366" s="3267" t="s">
        <v>5750</v>
      </c>
      <c r="C366" s="3269" t="s">
        <v>5751</v>
      </c>
      <c r="D366" s="3269" t="s">
        <v>5752</v>
      </c>
      <c r="E366" s="3268" t="s">
        <v>2985</v>
      </c>
      <c r="F366" s="3268" t="s">
        <v>4386</v>
      </c>
      <c r="G366" s="3267"/>
      <c r="H366" s="3267" t="s">
        <v>4253</v>
      </c>
      <c r="I366" s="3268"/>
      <c r="J366" s="3268" t="s">
        <v>5753</v>
      </c>
      <c r="K366" s="3267" t="s">
        <v>5754</v>
      </c>
      <c r="L366" s="3267">
        <v>54.69</v>
      </c>
      <c r="M366" s="3267">
        <v>22</v>
      </c>
      <c r="N366" s="3267" t="s">
        <v>3152</v>
      </c>
      <c r="O366" s="3267"/>
      <c r="P366" s="3267" t="s">
        <v>2963</v>
      </c>
      <c r="Q366" s="3271">
        <v>395000</v>
      </c>
      <c r="R366" s="3267">
        <v>7223</v>
      </c>
      <c r="S366" s="3272">
        <v>38.03</v>
      </c>
      <c r="T366" s="3273">
        <v>380300</v>
      </c>
      <c r="U366" s="3267">
        <v>6954</v>
      </c>
      <c r="V366" s="3289">
        <v>0.2</v>
      </c>
      <c r="W366" s="3272">
        <v>30.42</v>
      </c>
      <c r="X366" s="3275">
        <v>304200</v>
      </c>
      <c r="Y366" s="3276">
        <v>2006</v>
      </c>
      <c r="Z366" s="3276">
        <v>11</v>
      </c>
      <c r="AA366" s="3276">
        <v>21</v>
      </c>
      <c r="AB366" s="3267">
        <v>1140</v>
      </c>
      <c r="AC366" s="3267" t="s">
        <v>2980</v>
      </c>
      <c r="AD366" s="3366">
        <v>91302006110150</v>
      </c>
      <c r="AE366" s="3279" t="s">
        <v>2991</v>
      </c>
      <c r="AF366" s="3268"/>
      <c r="AG366" s="3279" t="s">
        <v>2967</v>
      </c>
      <c r="AH366" s="3267"/>
      <c r="AI366" s="3279" t="s">
        <v>2992</v>
      </c>
      <c r="AJ366" s="3284"/>
      <c r="AK366" s="3278" t="s">
        <v>3137</v>
      </c>
      <c r="AL366" s="3276">
        <v>44</v>
      </c>
      <c r="AM366" s="3276"/>
      <c r="AN366" s="3276" t="s">
        <v>2994</v>
      </c>
      <c r="AO366" s="3267" t="s">
        <v>5755</v>
      </c>
      <c r="AP366" s="3279" t="s">
        <v>2991</v>
      </c>
      <c r="AQ366" s="3276" t="s">
        <v>3113</v>
      </c>
      <c r="AR366" s="3269" t="s">
        <v>4007</v>
      </c>
      <c r="AS366" s="3269" t="s">
        <v>5172</v>
      </c>
      <c r="AT366" s="3276">
        <v>21</v>
      </c>
      <c r="AU366" s="3276"/>
      <c r="AV366" s="3276"/>
      <c r="AW366" s="3276" t="s">
        <v>2997</v>
      </c>
      <c r="AX366" s="3276"/>
      <c r="AY366" s="3291"/>
      <c r="AZ366" s="3267" t="s">
        <v>5754</v>
      </c>
      <c r="BA366" s="3296"/>
      <c r="BB366" s="3297"/>
      <c r="BC366" s="3296"/>
      <c r="BD366" s="3298"/>
      <c r="BE366" s="3276"/>
      <c r="BF366" s="3281"/>
      <c r="BG366" s="3293">
        <v>39018</v>
      </c>
      <c r="BH366" s="3267"/>
      <c r="BI366" s="3267" t="s">
        <v>2991</v>
      </c>
      <c r="BJ366" s="3299">
        <v>39024</v>
      </c>
      <c r="BK366" s="3283" t="s">
        <v>2968</v>
      </c>
      <c r="BL366" s="3267" t="s">
        <v>2998</v>
      </c>
      <c r="BM366" s="3276" t="s">
        <v>2879</v>
      </c>
      <c r="BN366" s="3276" t="s">
        <v>2999</v>
      </c>
      <c r="BO366" s="3276" t="s">
        <v>3146</v>
      </c>
      <c r="BP366" s="3276"/>
      <c r="BQ366" s="3276" t="e">
        <v>#DIV/0!</v>
      </c>
      <c r="BR366" s="3276" t="e">
        <v>#DIV/0!</v>
      </c>
      <c r="BS366" s="3285"/>
      <c r="BT366" s="3285"/>
      <c r="BU366" s="3285"/>
      <c r="BY366" s="3262" t="s">
        <v>3262</v>
      </c>
      <c r="BZ366" s="3262" t="s">
        <v>3262</v>
      </c>
      <c r="CA366" s="3262" t="s">
        <v>3262</v>
      </c>
      <c r="CB366" s="3262" t="s">
        <v>3262</v>
      </c>
      <c r="CC366" s="3262" t="s">
        <v>3262</v>
      </c>
      <c r="CD366" s="3262" t="s">
        <v>3262</v>
      </c>
      <c r="CE366" s="3262" t="s">
        <v>3262</v>
      </c>
      <c r="CF366" s="3262" t="s">
        <v>3262</v>
      </c>
      <c r="CG366" s="3262" t="s">
        <v>3262</v>
      </c>
      <c r="CH366" s="3262" t="s">
        <v>3262</v>
      </c>
      <c r="CI366" s="3262" t="s">
        <v>3262</v>
      </c>
      <c r="CJ366" s="3262" t="s">
        <v>3262</v>
      </c>
      <c r="CK366" s="3262" t="s">
        <v>3262</v>
      </c>
      <c r="CL366" s="3262" t="s">
        <v>3262</v>
      </c>
      <c r="CM366" s="3262" t="s">
        <v>3262</v>
      </c>
      <c r="CN366" s="3262" t="s">
        <v>3262</v>
      </c>
      <c r="CO366" s="3262" t="s">
        <v>3262</v>
      </c>
      <c r="CP366" s="3262" t="s">
        <v>3262</v>
      </c>
      <c r="CQ366" s="3262" t="s">
        <v>3262</v>
      </c>
      <c r="CR366" s="3262" t="s">
        <v>3262</v>
      </c>
      <c r="CS366" s="3262" t="s">
        <v>3262</v>
      </c>
      <c r="CT366" s="3262" t="s">
        <v>3262</v>
      </c>
      <c r="CU366" s="3262" t="s">
        <v>3262</v>
      </c>
      <c r="CV366" s="3262" t="s">
        <v>3262</v>
      </c>
      <c r="CW366" s="3262" t="s">
        <v>3262</v>
      </c>
      <c r="CX366" s="3262" t="s">
        <v>3262</v>
      </c>
      <c r="CY366" s="3262" t="s">
        <v>3262</v>
      </c>
      <c r="CZ366" s="3262" t="s">
        <v>3262</v>
      </c>
      <c r="DA366" s="3262" t="s">
        <v>3262</v>
      </c>
      <c r="DB366" s="3262" t="s">
        <v>3262</v>
      </c>
      <c r="DC366" s="3262" t="s">
        <v>3262</v>
      </c>
      <c r="DD366" s="3262" t="s">
        <v>3262</v>
      </c>
      <c r="DE366" s="3262" t="s">
        <v>3262</v>
      </c>
      <c r="DF366" s="3262" t="s">
        <v>3262</v>
      </c>
      <c r="DG366" s="3262" t="s">
        <v>3262</v>
      </c>
      <c r="DH366" s="3262" t="s">
        <v>3262</v>
      </c>
      <c r="DI366" s="3262" t="s">
        <v>3262</v>
      </c>
      <c r="DJ366" s="3262" t="s">
        <v>3262</v>
      </c>
      <c r="DK366" s="3262" t="s">
        <v>3262</v>
      </c>
      <c r="DL366" s="3262" t="s">
        <v>3262</v>
      </c>
      <c r="DM366" s="3262" t="s">
        <v>3262</v>
      </c>
      <c r="DN366" s="3262" t="s">
        <v>3262</v>
      </c>
      <c r="DO366" s="3262" t="s">
        <v>3262</v>
      </c>
      <c r="DP366" s="3262" t="s">
        <v>3262</v>
      </c>
      <c r="DQ366" s="3262" t="s">
        <v>3262</v>
      </c>
      <c r="DR366" s="3262" t="s">
        <v>3262</v>
      </c>
      <c r="DS366" s="3262" t="s">
        <v>3262</v>
      </c>
      <c r="DT366" s="3262" t="s">
        <v>3262</v>
      </c>
      <c r="DU366" s="3262" t="s">
        <v>3262</v>
      </c>
      <c r="DV366" s="3262" t="s">
        <v>3262</v>
      </c>
      <c r="DW366" s="3262" t="s">
        <v>3262</v>
      </c>
      <c r="DX366" s="3262" t="s">
        <v>3262</v>
      </c>
      <c r="DY366" s="3262" t="s">
        <v>3262</v>
      </c>
      <c r="DZ366" s="3262" t="s">
        <v>3262</v>
      </c>
      <c r="EA366" s="3262" t="s">
        <v>3262</v>
      </c>
      <c r="EB366" s="3262" t="s">
        <v>3262</v>
      </c>
      <c r="EC366" s="3262" t="s">
        <v>3262</v>
      </c>
      <c r="ED366" s="3262" t="s">
        <v>3262</v>
      </c>
      <c r="EE366" s="3262" t="s">
        <v>3262</v>
      </c>
      <c r="EF366" s="3262" t="s">
        <v>3262</v>
      </c>
      <c r="EG366" s="3262" t="s">
        <v>3262</v>
      </c>
      <c r="EH366" s="3262" t="s">
        <v>3262</v>
      </c>
      <c r="EI366" s="3262" t="s">
        <v>3262</v>
      </c>
      <c r="EJ366" s="3262" t="s">
        <v>3262</v>
      </c>
      <c r="EK366" s="3262" t="s">
        <v>3262</v>
      </c>
      <c r="EL366" s="3262" t="s">
        <v>3262</v>
      </c>
      <c r="EM366" s="3262" t="s">
        <v>3262</v>
      </c>
      <c r="EN366" s="3262" t="s">
        <v>3262</v>
      </c>
      <c r="EO366" s="3262" t="s">
        <v>3262</v>
      </c>
      <c r="EP366" s="3262" t="s">
        <v>3262</v>
      </c>
      <c r="EQ366" s="3262" t="s">
        <v>3262</v>
      </c>
      <c r="ER366" s="3262" t="s">
        <v>3262</v>
      </c>
      <c r="ES366" s="3262" t="s">
        <v>3262</v>
      </c>
      <c r="ET366" s="3262" t="s">
        <v>3262</v>
      </c>
      <c r="EU366" s="3262" t="s">
        <v>3262</v>
      </c>
      <c r="EV366" s="3262" t="s">
        <v>3262</v>
      </c>
      <c r="EW366" s="3262" t="s">
        <v>3262</v>
      </c>
      <c r="EX366" s="3262" t="s">
        <v>3262</v>
      </c>
      <c r="EY366" s="3262" t="s">
        <v>3262</v>
      </c>
      <c r="EZ366" s="3262" t="s">
        <v>3262</v>
      </c>
      <c r="FA366" s="3262" t="s">
        <v>3262</v>
      </c>
      <c r="FB366" s="3262" t="s">
        <v>3262</v>
      </c>
      <c r="FC366" s="3262" t="s">
        <v>3262</v>
      </c>
      <c r="FD366" s="3262" t="s">
        <v>3262</v>
      </c>
      <c r="FE366" s="3262" t="s">
        <v>3262</v>
      </c>
      <c r="FF366" s="3262" t="s">
        <v>3262</v>
      </c>
      <c r="FG366" s="3262" t="s">
        <v>3262</v>
      </c>
      <c r="FH366" s="3262" t="s">
        <v>3262</v>
      </c>
      <c r="FI366" s="3262" t="s">
        <v>3262</v>
      </c>
      <c r="FJ366" s="3262" t="s">
        <v>3262</v>
      </c>
      <c r="FK366" s="3262" t="s">
        <v>3262</v>
      </c>
      <c r="FL366" s="3262" t="s">
        <v>3262</v>
      </c>
      <c r="FM366" s="3262" t="s">
        <v>3262</v>
      </c>
      <c r="FN366" s="3262" t="s">
        <v>3262</v>
      </c>
      <c r="FO366" s="3262" t="s">
        <v>3262</v>
      </c>
      <c r="FP366" s="3262" t="s">
        <v>3262</v>
      </c>
      <c r="FQ366" s="3262" t="s">
        <v>3262</v>
      </c>
      <c r="FR366" s="3262" t="s">
        <v>3262</v>
      </c>
      <c r="FS366" s="3262" t="s">
        <v>3262</v>
      </c>
      <c r="FT366" s="3262" t="s">
        <v>3262</v>
      </c>
      <c r="FU366" s="3262" t="s">
        <v>3262</v>
      </c>
      <c r="FV366" s="3262" t="s">
        <v>3262</v>
      </c>
      <c r="FW366" s="3262" t="s">
        <v>3262</v>
      </c>
      <c r="FX366" s="3262" t="s">
        <v>3262</v>
      </c>
      <c r="FY366" s="3262" t="s">
        <v>3262</v>
      </c>
      <c r="FZ366" s="3262" t="s">
        <v>3262</v>
      </c>
      <c r="GA366" s="3262" t="s">
        <v>3262</v>
      </c>
      <c r="GB366" s="3262" t="s">
        <v>3262</v>
      </c>
      <c r="GC366" s="3262" t="s">
        <v>3262</v>
      </c>
      <c r="GD366" s="3262" t="s">
        <v>3262</v>
      </c>
      <c r="GE366" s="3262" t="s">
        <v>3262</v>
      </c>
      <c r="GF366" s="3262" t="s">
        <v>3262</v>
      </c>
      <c r="GG366" s="3262" t="s">
        <v>3262</v>
      </c>
      <c r="GH366" s="3262" t="s">
        <v>3262</v>
      </c>
      <c r="GI366" s="3262" t="s">
        <v>3262</v>
      </c>
      <c r="GJ366" s="3262" t="s">
        <v>3262</v>
      </c>
      <c r="GK366" s="3262" t="s">
        <v>3262</v>
      </c>
      <c r="GL366" s="3262" t="s">
        <v>3262</v>
      </c>
      <c r="GM366" s="3262" t="s">
        <v>3262</v>
      </c>
      <c r="GN366" s="3262" t="s">
        <v>3262</v>
      </c>
      <c r="GO366" s="3262" t="s">
        <v>3262</v>
      </c>
      <c r="GP366" s="3262" t="s">
        <v>3262</v>
      </c>
      <c r="GQ366" s="3262" t="s">
        <v>3262</v>
      </c>
      <c r="GR366" s="3262" t="s">
        <v>3262</v>
      </c>
      <c r="GS366" s="3262" t="s">
        <v>3262</v>
      </c>
      <c r="GT366" s="3262" t="s">
        <v>3262</v>
      </c>
      <c r="GU366" s="3262" t="s">
        <v>3262</v>
      </c>
      <c r="GV366" s="3262" t="s">
        <v>3262</v>
      </c>
      <c r="GW366" s="3262" t="s">
        <v>3262</v>
      </c>
      <c r="GX366" s="3262" t="s">
        <v>3262</v>
      </c>
      <c r="GY366" s="3262" t="s">
        <v>3262</v>
      </c>
      <c r="GZ366" s="3262" t="s">
        <v>3262</v>
      </c>
      <c r="HA366" s="3262" t="s">
        <v>3262</v>
      </c>
      <c r="HB366" s="3262" t="s">
        <v>3262</v>
      </c>
      <c r="HC366" s="3262" t="s">
        <v>3262</v>
      </c>
      <c r="HD366" s="3262" t="s">
        <v>3262</v>
      </c>
      <c r="HE366" s="3262" t="s">
        <v>3262</v>
      </c>
      <c r="HF366" s="3262" t="s">
        <v>3262</v>
      </c>
      <c r="HG366" s="3262" t="s">
        <v>3262</v>
      </c>
      <c r="HH366" s="3262" t="s">
        <v>3262</v>
      </c>
      <c r="HI366" s="3262" t="s">
        <v>3262</v>
      </c>
      <c r="HJ366" s="3262" t="s">
        <v>3262</v>
      </c>
      <c r="HK366" s="3262" t="s">
        <v>3262</v>
      </c>
      <c r="HL366" s="3262" t="s">
        <v>3262</v>
      </c>
      <c r="HM366" s="3262" t="s">
        <v>3262</v>
      </c>
      <c r="HN366" s="3262" t="s">
        <v>3262</v>
      </c>
      <c r="HO366" s="3262" t="s">
        <v>3262</v>
      </c>
      <c r="HP366" s="3262" t="s">
        <v>3262</v>
      </c>
      <c r="HQ366" s="3262" t="s">
        <v>3262</v>
      </c>
      <c r="HR366" s="3262" t="s">
        <v>3262</v>
      </c>
      <c r="HS366" s="3262" t="s">
        <v>3262</v>
      </c>
      <c r="HT366" s="3262" t="s">
        <v>3262</v>
      </c>
      <c r="HU366" s="3262" t="s">
        <v>3262</v>
      </c>
      <c r="HV366" s="3262" t="s">
        <v>3262</v>
      </c>
      <c r="HW366" s="3262" t="s">
        <v>3262</v>
      </c>
      <c r="HX366" s="3262" t="s">
        <v>3262</v>
      </c>
      <c r="HY366" s="3262" t="s">
        <v>3262</v>
      </c>
      <c r="HZ366" s="3262" t="s">
        <v>3262</v>
      </c>
      <c r="IA366" s="3262" t="s">
        <v>3262</v>
      </c>
      <c r="IB366" s="3262" t="s">
        <v>3262</v>
      </c>
      <c r="IC366" s="3262" t="s">
        <v>3262</v>
      </c>
      <c r="ID366" s="3262" t="s">
        <v>3262</v>
      </c>
      <c r="IE366" s="3262" t="s">
        <v>3262</v>
      </c>
      <c r="IF366" s="3262" t="s">
        <v>3262</v>
      </c>
      <c r="IG366" s="3262" t="s">
        <v>3262</v>
      </c>
      <c r="IH366" s="3262" t="s">
        <v>3262</v>
      </c>
      <c r="II366" s="3262" t="s">
        <v>3262</v>
      </c>
      <c r="IJ366" s="3262" t="s">
        <v>3262</v>
      </c>
      <c r="IK366" s="3262" t="s">
        <v>3262</v>
      </c>
      <c r="IL366" s="3262" t="s">
        <v>3262</v>
      </c>
      <c r="IM366" s="3262" t="s">
        <v>3262</v>
      </c>
      <c r="IN366" s="3262" t="s">
        <v>3262</v>
      </c>
      <c r="IO366" s="3262" t="s">
        <v>3262</v>
      </c>
    </row>
    <row r="367" spans="1:249" hidden="1">
      <c r="A367" s="3267" t="s">
        <v>5756</v>
      </c>
      <c r="B367" s="3267" t="s">
        <v>5757</v>
      </c>
      <c r="C367" s="3267" t="s">
        <v>5758</v>
      </c>
      <c r="D367" s="3267" t="s">
        <v>5759</v>
      </c>
      <c r="E367" s="3267" t="s">
        <v>2985</v>
      </c>
      <c r="F367" s="3267" t="s">
        <v>5760</v>
      </c>
      <c r="G367" s="3267"/>
      <c r="H367" s="3267" t="s">
        <v>3124</v>
      </c>
      <c r="I367" s="3267"/>
      <c r="J367" s="3267" t="s">
        <v>5761</v>
      </c>
      <c r="K367" s="3267"/>
      <c r="L367" s="3267">
        <v>62.62</v>
      </c>
      <c r="M367" s="3267">
        <v>14</v>
      </c>
      <c r="N367" s="3267" t="s">
        <v>3152</v>
      </c>
      <c r="O367" s="3267"/>
      <c r="P367" s="3267" t="s">
        <v>2963</v>
      </c>
      <c r="Q367" s="3267">
        <v>550000</v>
      </c>
      <c r="R367" s="3267">
        <v>8783</v>
      </c>
      <c r="S367" s="3272">
        <v>50.93</v>
      </c>
      <c r="T367" s="3273">
        <v>509300</v>
      </c>
      <c r="U367" s="3267">
        <v>8134</v>
      </c>
      <c r="V367" s="3289">
        <v>0.2</v>
      </c>
      <c r="W367" s="3272">
        <v>40.74</v>
      </c>
      <c r="X367" s="3275">
        <v>407400</v>
      </c>
      <c r="Y367" s="3267">
        <v>2006</v>
      </c>
      <c r="Z367" s="3267">
        <v>11</v>
      </c>
      <c r="AA367" s="3267">
        <v>21</v>
      </c>
      <c r="AB367" s="3267">
        <v>1500</v>
      </c>
      <c r="AC367" s="3267" t="s">
        <v>2980</v>
      </c>
      <c r="AD367" s="3267">
        <v>91302006110051</v>
      </c>
      <c r="AE367" s="3267" t="s">
        <v>3487</v>
      </c>
      <c r="AF367" s="3267" t="s">
        <v>2966</v>
      </c>
      <c r="AG367" s="3267" t="s">
        <v>2967</v>
      </c>
      <c r="AH367" s="3267" t="s">
        <v>2968</v>
      </c>
      <c r="AI367" s="3267" t="s">
        <v>2992</v>
      </c>
      <c r="AJ367" s="3267"/>
      <c r="AK367" s="3267" t="s">
        <v>3137</v>
      </c>
      <c r="AL367" s="3267">
        <v>39</v>
      </c>
      <c r="AM367" s="3267" t="s">
        <v>5762</v>
      </c>
      <c r="AN367" s="3267" t="s">
        <v>3140</v>
      </c>
      <c r="AO367" s="3267" t="s">
        <v>2968</v>
      </c>
      <c r="AP367" s="3267" t="s">
        <v>3487</v>
      </c>
      <c r="AQ367" s="3267" t="s">
        <v>3113</v>
      </c>
      <c r="AR367" s="3267"/>
      <c r="AS367" s="3267"/>
      <c r="AT367" s="3267"/>
      <c r="AU367" s="3267"/>
      <c r="AV367" s="3267" t="s">
        <v>2968</v>
      </c>
      <c r="AW367" s="3267" t="s">
        <v>3171</v>
      </c>
      <c r="AX367" s="3267"/>
      <c r="AY367" s="3269"/>
      <c r="AZ367" s="3267"/>
      <c r="BA367" s="3267"/>
      <c r="BB367" s="3269"/>
      <c r="BC367" s="3267"/>
      <c r="BD367" s="3304"/>
      <c r="BE367" s="3267"/>
      <c r="BF367" s="3305"/>
      <c r="BG367" s="3284">
        <v>39019</v>
      </c>
      <c r="BH367" s="3267"/>
      <c r="BI367" s="3267" t="s">
        <v>3487</v>
      </c>
      <c r="BJ367" s="3303">
        <v>39022</v>
      </c>
      <c r="BK367" s="3303"/>
      <c r="BL367" s="3267" t="s">
        <v>2998</v>
      </c>
      <c r="BM367" s="3267"/>
      <c r="BN367" s="3267"/>
      <c r="BO367" s="3267"/>
      <c r="BP367" s="3267"/>
      <c r="BQ367" s="3276" t="e">
        <v>#DIV/0!</v>
      </c>
      <c r="BR367" s="3276" t="e">
        <v>#DIV/0!</v>
      </c>
      <c r="BS367" s="3285"/>
      <c r="BT367" s="3285"/>
      <c r="BU367" s="3285"/>
    </row>
    <row r="368" spans="1:249" hidden="1">
      <c r="A368" s="3267" t="s">
        <v>5763</v>
      </c>
      <c r="B368" s="3267" t="s">
        <v>3222</v>
      </c>
      <c r="C368" s="3269" t="s">
        <v>5764</v>
      </c>
      <c r="D368" s="3269" t="s">
        <v>5765</v>
      </c>
      <c r="E368" s="3267" t="s">
        <v>2985</v>
      </c>
      <c r="F368" s="3267" t="s">
        <v>5766</v>
      </c>
      <c r="G368" s="3267"/>
      <c r="H368" s="3267" t="s">
        <v>3182</v>
      </c>
      <c r="I368" s="3268" t="s">
        <v>5767</v>
      </c>
      <c r="J368" s="3268" t="s">
        <v>3512</v>
      </c>
      <c r="K368" s="3267" t="s">
        <v>5768</v>
      </c>
      <c r="L368" s="3267">
        <v>80.3</v>
      </c>
      <c r="M368" s="3267">
        <v>5</v>
      </c>
      <c r="N368" s="3267" t="s">
        <v>3125</v>
      </c>
      <c r="O368" s="3267"/>
      <c r="P368" s="3267" t="s">
        <v>2963</v>
      </c>
      <c r="Q368" s="3271">
        <v>700000</v>
      </c>
      <c r="R368" s="3267">
        <v>8717</v>
      </c>
      <c r="S368" s="3272">
        <v>57.84</v>
      </c>
      <c r="T368" s="3273">
        <v>578400</v>
      </c>
      <c r="U368" s="3267">
        <v>7204</v>
      </c>
      <c r="V368" s="3289">
        <v>0.2</v>
      </c>
      <c r="W368" s="3272">
        <v>46.27</v>
      </c>
      <c r="X368" s="3275">
        <v>462700.00000000006</v>
      </c>
      <c r="Y368" s="3276">
        <v>2006</v>
      </c>
      <c r="Z368" s="3276">
        <v>11</v>
      </c>
      <c r="AA368" s="3276">
        <v>30</v>
      </c>
      <c r="AB368" s="3267">
        <v>1500</v>
      </c>
      <c r="AC368" s="3267" t="s">
        <v>2980</v>
      </c>
      <c r="AD368" s="3366">
        <v>91302006110548</v>
      </c>
      <c r="AE368" s="3279" t="s">
        <v>2991</v>
      </c>
      <c r="AF368" s="3268"/>
      <c r="AG368" s="3279" t="s">
        <v>2967</v>
      </c>
      <c r="AH368" s="3267"/>
      <c r="AI368" s="3279" t="s">
        <v>2992</v>
      </c>
      <c r="AJ368" s="3284"/>
      <c r="AK368" s="3278" t="s">
        <v>3137</v>
      </c>
      <c r="AL368" s="3276">
        <v>27</v>
      </c>
      <c r="AM368" s="3267"/>
      <c r="AN368" s="3279" t="s">
        <v>5769</v>
      </c>
      <c r="AO368" s="3267"/>
      <c r="AP368" s="3279" t="s">
        <v>2991</v>
      </c>
      <c r="AQ368" s="3276" t="s">
        <v>3113</v>
      </c>
      <c r="AR368" s="3276">
        <v>2006</v>
      </c>
      <c r="AS368" s="3276">
        <v>11</v>
      </c>
      <c r="AT368" s="3276">
        <v>30</v>
      </c>
      <c r="AU368" s="3276"/>
      <c r="AV368" s="3276"/>
      <c r="AW368" s="3276" t="s">
        <v>2997</v>
      </c>
      <c r="AX368" s="3276"/>
      <c r="AY368" s="3291"/>
      <c r="AZ368" s="3267" t="s">
        <v>5768</v>
      </c>
      <c r="BA368" s="3296"/>
      <c r="BB368" s="3297"/>
      <c r="BC368" s="3296"/>
      <c r="BD368" s="3298"/>
      <c r="BE368" s="3276"/>
      <c r="BF368" s="3281"/>
      <c r="BG368" s="3293">
        <v>39031</v>
      </c>
      <c r="BH368" s="3267"/>
      <c r="BI368" s="3267" t="s">
        <v>2991</v>
      </c>
      <c r="BJ368" s="3299">
        <v>39031</v>
      </c>
      <c r="BK368" s="3283"/>
      <c r="BL368" s="3267" t="s">
        <v>2998</v>
      </c>
      <c r="BM368" s="3276" t="s">
        <v>2879</v>
      </c>
      <c r="BN368" s="3276" t="s">
        <v>2999</v>
      </c>
      <c r="BO368" s="3276" t="s">
        <v>3146</v>
      </c>
      <c r="BP368" s="3276"/>
      <c r="BQ368" s="3276" t="e">
        <v>#DIV/0!</v>
      </c>
      <c r="BR368" s="3276" t="e">
        <v>#DIV/0!</v>
      </c>
      <c r="BS368" s="3285"/>
      <c r="BT368" s="3285"/>
      <c r="BU368" s="3285"/>
      <c r="BY368" s="3262" t="s">
        <v>3262</v>
      </c>
      <c r="BZ368" s="3262" t="s">
        <v>3262</v>
      </c>
      <c r="CA368" s="3262" t="s">
        <v>3262</v>
      </c>
      <c r="CB368" s="3262" t="s">
        <v>3262</v>
      </c>
      <c r="CC368" s="3262" t="s">
        <v>3262</v>
      </c>
      <c r="CD368" s="3262" t="s">
        <v>3262</v>
      </c>
      <c r="CE368" s="3262" t="s">
        <v>3262</v>
      </c>
      <c r="CF368" s="3262" t="s">
        <v>3262</v>
      </c>
      <c r="CG368" s="3262" t="s">
        <v>3262</v>
      </c>
      <c r="CH368" s="3262" t="s">
        <v>3262</v>
      </c>
      <c r="CI368" s="3262" t="s">
        <v>3262</v>
      </c>
      <c r="CJ368" s="3262" t="s">
        <v>3262</v>
      </c>
      <c r="CK368" s="3262" t="s">
        <v>3262</v>
      </c>
      <c r="CL368" s="3262" t="s">
        <v>3262</v>
      </c>
      <c r="CM368" s="3262" t="s">
        <v>3262</v>
      </c>
      <c r="CN368" s="3262" t="s">
        <v>3262</v>
      </c>
      <c r="CO368" s="3262" t="s">
        <v>3262</v>
      </c>
      <c r="CP368" s="3262" t="s">
        <v>3262</v>
      </c>
      <c r="CQ368" s="3262" t="s">
        <v>3262</v>
      </c>
      <c r="CR368" s="3262" t="s">
        <v>3262</v>
      </c>
      <c r="CS368" s="3262" t="s">
        <v>3262</v>
      </c>
      <c r="CT368" s="3262" t="s">
        <v>3262</v>
      </c>
      <c r="CU368" s="3262" t="s">
        <v>3262</v>
      </c>
      <c r="CV368" s="3262" t="s">
        <v>3262</v>
      </c>
      <c r="CW368" s="3262" t="s">
        <v>3262</v>
      </c>
      <c r="CX368" s="3262" t="s">
        <v>3262</v>
      </c>
      <c r="CY368" s="3262" t="s">
        <v>3262</v>
      </c>
      <c r="CZ368" s="3262" t="s">
        <v>3262</v>
      </c>
      <c r="DA368" s="3262" t="s">
        <v>3262</v>
      </c>
      <c r="DB368" s="3262" t="s">
        <v>3262</v>
      </c>
      <c r="DC368" s="3262" t="s">
        <v>3262</v>
      </c>
      <c r="DD368" s="3262" t="s">
        <v>3262</v>
      </c>
      <c r="DE368" s="3262" t="s">
        <v>3262</v>
      </c>
      <c r="DF368" s="3262" t="s">
        <v>3262</v>
      </c>
      <c r="DG368" s="3262" t="s">
        <v>3262</v>
      </c>
      <c r="DH368" s="3262" t="s">
        <v>3262</v>
      </c>
      <c r="DI368" s="3262" t="s">
        <v>3262</v>
      </c>
      <c r="DJ368" s="3262" t="s">
        <v>3262</v>
      </c>
      <c r="DK368" s="3262" t="s">
        <v>3262</v>
      </c>
      <c r="DL368" s="3262" t="s">
        <v>3262</v>
      </c>
      <c r="DM368" s="3262" t="s">
        <v>3262</v>
      </c>
      <c r="DN368" s="3262" t="s">
        <v>3262</v>
      </c>
      <c r="DO368" s="3262" t="s">
        <v>3262</v>
      </c>
      <c r="DP368" s="3262" t="s">
        <v>3262</v>
      </c>
      <c r="DQ368" s="3262" t="s">
        <v>3262</v>
      </c>
      <c r="DR368" s="3262" t="s">
        <v>3262</v>
      </c>
      <c r="DS368" s="3262" t="s">
        <v>3262</v>
      </c>
      <c r="DT368" s="3262" t="s">
        <v>3262</v>
      </c>
      <c r="DU368" s="3262" t="s">
        <v>3262</v>
      </c>
      <c r="DV368" s="3262" t="s">
        <v>3262</v>
      </c>
      <c r="DW368" s="3262" t="s">
        <v>3262</v>
      </c>
      <c r="DX368" s="3262" t="s">
        <v>3262</v>
      </c>
      <c r="DY368" s="3262" t="s">
        <v>3262</v>
      </c>
      <c r="DZ368" s="3262" t="s">
        <v>3262</v>
      </c>
      <c r="EA368" s="3262" t="s">
        <v>3262</v>
      </c>
      <c r="EB368" s="3262" t="s">
        <v>3262</v>
      </c>
      <c r="EC368" s="3262" t="s">
        <v>3262</v>
      </c>
      <c r="ED368" s="3262" t="s">
        <v>3262</v>
      </c>
      <c r="EE368" s="3262" t="s">
        <v>3262</v>
      </c>
      <c r="EF368" s="3262" t="s">
        <v>3262</v>
      </c>
      <c r="EG368" s="3262" t="s">
        <v>3262</v>
      </c>
      <c r="EH368" s="3262" t="s">
        <v>3262</v>
      </c>
      <c r="EI368" s="3262" t="s">
        <v>3262</v>
      </c>
      <c r="EJ368" s="3262" t="s">
        <v>3262</v>
      </c>
      <c r="EK368" s="3262" t="s">
        <v>3262</v>
      </c>
      <c r="EL368" s="3262" t="s">
        <v>3262</v>
      </c>
      <c r="EM368" s="3262" t="s">
        <v>3262</v>
      </c>
      <c r="EN368" s="3262" t="s">
        <v>3262</v>
      </c>
      <c r="EO368" s="3262" t="s">
        <v>3262</v>
      </c>
      <c r="EP368" s="3262" t="s">
        <v>3262</v>
      </c>
      <c r="EQ368" s="3262" t="s">
        <v>3262</v>
      </c>
      <c r="ER368" s="3262" t="s">
        <v>3262</v>
      </c>
      <c r="ES368" s="3262" t="s">
        <v>3262</v>
      </c>
      <c r="ET368" s="3262" t="s">
        <v>3262</v>
      </c>
      <c r="EU368" s="3262" t="s">
        <v>3262</v>
      </c>
      <c r="EV368" s="3262" t="s">
        <v>3262</v>
      </c>
      <c r="EW368" s="3262" t="s">
        <v>3262</v>
      </c>
      <c r="EX368" s="3262" t="s">
        <v>3262</v>
      </c>
      <c r="EY368" s="3262" t="s">
        <v>3262</v>
      </c>
      <c r="EZ368" s="3262" t="s">
        <v>3262</v>
      </c>
      <c r="FA368" s="3262" t="s">
        <v>3262</v>
      </c>
      <c r="FB368" s="3262" t="s">
        <v>3262</v>
      </c>
      <c r="FC368" s="3262" t="s">
        <v>3262</v>
      </c>
      <c r="FD368" s="3262" t="s">
        <v>3262</v>
      </c>
      <c r="FE368" s="3262" t="s">
        <v>3262</v>
      </c>
      <c r="FF368" s="3262" t="s">
        <v>3262</v>
      </c>
      <c r="FG368" s="3262" t="s">
        <v>3262</v>
      </c>
      <c r="FH368" s="3262" t="s">
        <v>3262</v>
      </c>
      <c r="FI368" s="3262" t="s">
        <v>3262</v>
      </c>
      <c r="FJ368" s="3262" t="s">
        <v>3262</v>
      </c>
      <c r="FK368" s="3262" t="s">
        <v>3262</v>
      </c>
      <c r="FL368" s="3262" t="s">
        <v>3262</v>
      </c>
      <c r="FM368" s="3262" t="s">
        <v>3262</v>
      </c>
      <c r="FN368" s="3262" t="s">
        <v>3262</v>
      </c>
      <c r="FO368" s="3262" t="s">
        <v>3262</v>
      </c>
      <c r="FP368" s="3262" t="s">
        <v>3262</v>
      </c>
      <c r="FQ368" s="3262" t="s">
        <v>3262</v>
      </c>
      <c r="FR368" s="3262" t="s">
        <v>3262</v>
      </c>
      <c r="FS368" s="3262" t="s">
        <v>3262</v>
      </c>
      <c r="FT368" s="3262" t="s">
        <v>3262</v>
      </c>
      <c r="FU368" s="3262" t="s">
        <v>3262</v>
      </c>
      <c r="FV368" s="3262" t="s">
        <v>3262</v>
      </c>
      <c r="FW368" s="3262" t="s">
        <v>3262</v>
      </c>
      <c r="FX368" s="3262" t="s">
        <v>3262</v>
      </c>
      <c r="FY368" s="3262" t="s">
        <v>3262</v>
      </c>
      <c r="FZ368" s="3262" t="s">
        <v>3262</v>
      </c>
      <c r="GA368" s="3262" t="s">
        <v>3262</v>
      </c>
      <c r="GB368" s="3262" t="s">
        <v>3262</v>
      </c>
      <c r="GC368" s="3262" t="s">
        <v>3262</v>
      </c>
      <c r="GD368" s="3262" t="s">
        <v>3262</v>
      </c>
      <c r="GE368" s="3262" t="s">
        <v>3262</v>
      </c>
      <c r="GF368" s="3262" t="s">
        <v>3262</v>
      </c>
      <c r="GG368" s="3262" t="s">
        <v>3262</v>
      </c>
      <c r="GH368" s="3262" t="s">
        <v>3262</v>
      </c>
      <c r="GI368" s="3262" t="s">
        <v>3262</v>
      </c>
      <c r="GJ368" s="3262" t="s">
        <v>3262</v>
      </c>
      <c r="GK368" s="3262" t="s">
        <v>3262</v>
      </c>
      <c r="GL368" s="3262" t="s">
        <v>3262</v>
      </c>
      <c r="GM368" s="3262" t="s">
        <v>3262</v>
      </c>
      <c r="GN368" s="3262" t="s">
        <v>3262</v>
      </c>
      <c r="GO368" s="3262" t="s">
        <v>3262</v>
      </c>
      <c r="GP368" s="3262" t="s">
        <v>3262</v>
      </c>
      <c r="GQ368" s="3262" t="s">
        <v>3262</v>
      </c>
      <c r="GR368" s="3262" t="s">
        <v>3262</v>
      </c>
      <c r="GS368" s="3262" t="s">
        <v>3262</v>
      </c>
      <c r="GT368" s="3262" t="s">
        <v>3262</v>
      </c>
      <c r="GU368" s="3262" t="s">
        <v>3262</v>
      </c>
      <c r="GV368" s="3262" t="s">
        <v>3262</v>
      </c>
      <c r="GW368" s="3262" t="s">
        <v>3262</v>
      </c>
      <c r="GX368" s="3262" t="s">
        <v>3262</v>
      </c>
      <c r="GY368" s="3262" t="s">
        <v>3262</v>
      </c>
      <c r="GZ368" s="3262" t="s">
        <v>3262</v>
      </c>
      <c r="HA368" s="3262" t="s">
        <v>3262</v>
      </c>
      <c r="HB368" s="3262" t="s">
        <v>3262</v>
      </c>
      <c r="HC368" s="3262" t="s">
        <v>3262</v>
      </c>
      <c r="HD368" s="3262" t="s">
        <v>3262</v>
      </c>
      <c r="HE368" s="3262" t="s">
        <v>3262</v>
      </c>
      <c r="HF368" s="3262" t="s">
        <v>3262</v>
      </c>
      <c r="HG368" s="3262" t="s">
        <v>3262</v>
      </c>
      <c r="HH368" s="3262" t="s">
        <v>3262</v>
      </c>
      <c r="HI368" s="3262" t="s">
        <v>3262</v>
      </c>
      <c r="HJ368" s="3262" t="s">
        <v>3262</v>
      </c>
      <c r="HK368" s="3262" t="s">
        <v>3262</v>
      </c>
      <c r="HL368" s="3262" t="s">
        <v>3262</v>
      </c>
      <c r="HM368" s="3262" t="s">
        <v>3262</v>
      </c>
      <c r="HN368" s="3262" t="s">
        <v>3262</v>
      </c>
      <c r="HO368" s="3262" t="s">
        <v>3262</v>
      </c>
      <c r="HP368" s="3262" t="s">
        <v>3262</v>
      </c>
      <c r="HQ368" s="3262" t="s">
        <v>3262</v>
      </c>
      <c r="HR368" s="3262" t="s">
        <v>3262</v>
      </c>
      <c r="HS368" s="3262" t="s">
        <v>3262</v>
      </c>
      <c r="HT368" s="3262" t="s">
        <v>3262</v>
      </c>
      <c r="HU368" s="3262" t="s">
        <v>3262</v>
      </c>
      <c r="HV368" s="3262" t="s">
        <v>3262</v>
      </c>
      <c r="HW368" s="3262" t="s">
        <v>3262</v>
      </c>
      <c r="HX368" s="3262" t="s">
        <v>3262</v>
      </c>
      <c r="HY368" s="3262" t="s">
        <v>3262</v>
      </c>
      <c r="HZ368" s="3262" t="s">
        <v>3262</v>
      </c>
      <c r="IA368" s="3262" t="s">
        <v>3262</v>
      </c>
      <c r="IB368" s="3262" t="s">
        <v>3262</v>
      </c>
      <c r="IC368" s="3262" t="s">
        <v>3262</v>
      </c>
      <c r="ID368" s="3262" t="s">
        <v>3262</v>
      </c>
      <c r="IE368" s="3262" t="s">
        <v>3262</v>
      </c>
      <c r="IF368" s="3262" t="s">
        <v>3262</v>
      </c>
      <c r="IG368" s="3262" t="s">
        <v>3262</v>
      </c>
      <c r="IH368" s="3262" t="s">
        <v>3262</v>
      </c>
      <c r="II368" s="3262" t="s">
        <v>3262</v>
      </c>
      <c r="IJ368" s="3262" t="s">
        <v>3262</v>
      </c>
    </row>
    <row r="369" spans="1:73" hidden="1">
      <c r="A369" s="3267" t="s">
        <v>5770</v>
      </c>
      <c r="B369" s="3267" t="s">
        <v>5771</v>
      </c>
      <c r="C369" s="3269" t="s">
        <v>5772</v>
      </c>
      <c r="D369" s="3269" t="s">
        <v>5773</v>
      </c>
      <c r="E369" s="3268" t="s">
        <v>2985</v>
      </c>
      <c r="F369" s="3268" t="s">
        <v>5774</v>
      </c>
      <c r="G369" s="3267"/>
      <c r="H369" s="3267" t="s">
        <v>3402</v>
      </c>
      <c r="I369" s="3268" t="s">
        <v>3586</v>
      </c>
      <c r="J369" s="3267" t="s">
        <v>3173</v>
      </c>
      <c r="K369" s="3267" t="s">
        <v>5775</v>
      </c>
      <c r="L369" s="3267">
        <v>138.91999999999999</v>
      </c>
      <c r="M369" s="3267">
        <v>2</v>
      </c>
      <c r="N369" s="3267" t="s">
        <v>3129</v>
      </c>
      <c r="O369" s="3267">
        <v>109.36</v>
      </c>
      <c r="P369" s="3267" t="s">
        <v>2963</v>
      </c>
      <c r="Q369" s="3271">
        <v>778400</v>
      </c>
      <c r="R369" s="3267">
        <v>5603</v>
      </c>
      <c r="S369" s="3272">
        <v>102.95</v>
      </c>
      <c r="T369" s="3273">
        <v>1029500</v>
      </c>
      <c r="U369" s="3267">
        <v>7411</v>
      </c>
      <c r="V369" s="3289">
        <v>0.3</v>
      </c>
      <c r="W369" s="3272">
        <v>72.06</v>
      </c>
      <c r="X369" s="3275">
        <v>720600</v>
      </c>
      <c r="Y369" s="3276">
        <v>2006</v>
      </c>
      <c r="Z369" s="3276">
        <v>11</v>
      </c>
      <c r="AA369" s="3276">
        <v>23</v>
      </c>
      <c r="AB369" s="3267">
        <v>1500</v>
      </c>
      <c r="AC369" s="3267" t="s">
        <v>2980</v>
      </c>
      <c r="AD369" s="3280" t="s">
        <v>5776</v>
      </c>
      <c r="AE369" s="3279" t="s">
        <v>3115</v>
      </c>
      <c r="AF369" s="3268" t="s">
        <v>2966</v>
      </c>
      <c r="AG369" s="3279" t="s">
        <v>2967</v>
      </c>
      <c r="AH369" s="3267" t="s">
        <v>5777</v>
      </c>
      <c r="AI369" s="3279" t="s">
        <v>2992</v>
      </c>
      <c r="AJ369" s="3284"/>
      <c r="AK369" s="3278" t="s">
        <v>3137</v>
      </c>
      <c r="AL369" s="3276">
        <v>54</v>
      </c>
      <c r="AM369" s="3267"/>
      <c r="AN369" s="3279" t="s">
        <v>2994</v>
      </c>
      <c r="AO369" s="3267" t="s">
        <v>5778</v>
      </c>
      <c r="AP369" s="3279" t="s">
        <v>3305</v>
      </c>
      <c r="AQ369" s="3276" t="s">
        <v>2996</v>
      </c>
      <c r="AR369" s="3276"/>
      <c r="AS369" s="3276"/>
      <c r="AT369" s="3276"/>
      <c r="AU369" s="3276"/>
      <c r="AV369" s="3276"/>
      <c r="AW369" s="3276" t="s">
        <v>3119</v>
      </c>
      <c r="AX369" s="3276"/>
      <c r="AY369" s="3291"/>
      <c r="AZ369" s="3267" t="s">
        <v>5775</v>
      </c>
      <c r="BA369" s="3296"/>
      <c r="BB369" s="3297"/>
      <c r="BC369" s="3296"/>
      <c r="BD369" s="3298"/>
      <c r="BE369" s="3276">
        <v>13910888706</v>
      </c>
      <c r="BF369" s="3281"/>
      <c r="BG369" s="3293">
        <v>39022</v>
      </c>
      <c r="BH369" s="3267" t="s">
        <v>2998</v>
      </c>
      <c r="BI369" s="3314" t="s">
        <v>3305</v>
      </c>
      <c r="BJ369" s="3293">
        <v>39042</v>
      </c>
      <c r="BK369" s="3283"/>
      <c r="BL369" s="3267" t="s">
        <v>3249</v>
      </c>
      <c r="BM369" s="3276" t="s">
        <v>2879</v>
      </c>
      <c r="BN369" s="3276" t="s">
        <v>3111</v>
      </c>
      <c r="BO369" s="3276" t="s">
        <v>5779</v>
      </c>
      <c r="BP369" s="3276"/>
      <c r="BQ369" s="3276">
        <v>9414</v>
      </c>
      <c r="BR369" s="3276">
        <v>7118</v>
      </c>
      <c r="BS369" s="3285"/>
      <c r="BT369" s="3285"/>
      <c r="BU369" s="3285"/>
    </row>
    <row r="370" spans="1:73" hidden="1">
      <c r="A370" s="3267" t="s">
        <v>5780</v>
      </c>
      <c r="B370" s="3267" t="s">
        <v>5781</v>
      </c>
      <c r="C370" s="3269" t="s">
        <v>5782</v>
      </c>
      <c r="D370" s="3267">
        <v>13910978577</v>
      </c>
      <c r="E370" s="3267" t="s">
        <v>2985</v>
      </c>
      <c r="F370" s="3267" t="s">
        <v>5783</v>
      </c>
      <c r="G370" s="3267"/>
      <c r="H370" s="3267"/>
      <c r="I370" s="3267"/>
      <c r="J370" s="3267" t="s">
        <v>5784</v>
      </c>
      <c r="K370" s="3268" t="s">
        <v>5785</v>
      </c>
      <c r="L370" s="3267">
        <v>52.24</v>
      </c>
      <c r="M370" s="3267">
        <v>12</v>
      </c>
      <c r="N370" s="3267" t="s">
        <v>3152</v>
      </c>
      <c r="O370" s="3267"/>
      <c r="P370" s="3267" t="s">
        <v>2963</v>
      </c>
      <c r="Q370" s="3267">
        <v>380000</v>
      </c>
      <c r="R370" s="3267">
        <v>7274</v>
      </c>
      <c r="S370" s="3272">
        <v>36.56</v>
      </c>
      <c r="T370" s="3273">
        <v>365600</v>
      </c>
      <c r="U370" s="3267">
        <v>7000</v>
      </c>
      <c r="V370" s="3274">
        <v>0.2</v>
      </c>
      <c r="W370" s="3272">
        <v>29.24</v>
      </c>
      <c r="X370" s="3275">
        <v>292400</v>
      </c>
      <c r="Y370" s="3267">
        <v>2006</v>
      </c>
      <c r="Z370" s="3267">
        <v>11</v>
      </c>
      <c r="AA370" s="3276">
        <v>6</v>
      </c>
      <c r="AB370" s="3267">
        <v>1095</v>
      </c>
      <c r="AC370" s="3267" t="s">
        <v>3110</v>
      </c>
      <c r="AD370" s="3269"/>
      <c r="AE370" s="3267" t="s">
        <v>3069</v>
      </c>
      <c r="AF370" s="3267" t="s">
        <v>2966</v>
      </c>
      <c r="AG370" s="3267" t="s">
        <v>2967</v>
      </c>
      <c r="AH370" s="3267"/>
      <c r="AI370" s="3267" t="s">
        <v>2992</v>
      </c>
      <c r="AJ370" s="3284"/>
      <c r="AK370" s="3267" t="s">
        <v>3137</v>
      </c>
      <c r="AL370" s="3267" t="s">
        <v>5786</v>
      </c>
      <c r="AM370" s="3267"/>
      <c r="AN370" s="3267" t="s">
        <v>3140</v>
      </c>
      <c r="AO370" s="3267" t="s">
        <v>5787</v>
      </c>
      <c r="AP370" s="3267" t="s">
        <v>3069</v>
      </c>
      <c r="AQ370" s="3267" t="s">
        <v>3113</v>
      </c>
      <c r="AR370" s="3267"/>
      <c r="AS370" s="3267"/>
      <c r="AT370" s="3267"/>
      <c r="AU370" s="3267"/>
      <c r="AV370" s="3267"/>
      <c r="AW370" s="3267" t="s">
        <v>3112</v>
      </c>
      <c r="AX370" s="3267"/>
      <c r="AY370" s="3269"/>
      <c r="AZ370" s="3268" t="s">
        <v>5785</v>
      </c>
      <c r="BA370" s="3267"/>
      <c r="BB370" s="3267"/>
      <c r="BC370" s="3267"/>
      <c r="BD370" s="3267"/>
      <c r="BE370" s="3267"/>
      <c r="BF370" s="3267"/>
      <c r="BG370" s="3307">
        <v>38965</v>
      </c>
      <c r="BH370" s="3267"/>
      <c r="BI370" s="3267" t="s">
        <v>3069</v>
      </c>
      <c r="BJ370" s="3283"/>
      <c r="BK370" s="3283"/>
      <c r="BL370" s="3267" t="s">
        <v>2998</v>
      </c>
      <c r="BM370" s="3267" t="s">
        <v>2879</v>
      </c>
      <c r="BN370" s="3267" t="s">
        <v>2999</v>
      </c>
      <c r="BO370" s="3267" t="s">
        <v>3000</v>
      </c>
      <c r="BP370" s="3267"/>
      <c r="BQ370" s="3276" t="e">
        <v>#DIV/0!</v>
      </c>
      <c r="BR370" s="3276" t="e">
        <v>#DIV/0!</v>
      </c>
      <c r="BS370" s="3285"/>
      <c r="BT370" s="3285"/>
      <c r="BU370" s="3285"/>
    </row>
    <row r="371" spans="1:73" hidden="1">
      <c r="A371" s="3267" t="s">
        <v>5788</v>
      </c>
      <c r="B371" s="3267" t="s">
        <v>5789</v>
      </c>
      <c r="C371" s="3269" t="s">
        <v>5790</v>
      </c>
      <c r="D371" s="3269" t="s">
        <v>5791</v>
      </c>
      <c r="E371" s="3268" t="s">
        <v>2985</v>
      </c>
      <c r="F371" s="3268" t="s">
        <v>5792</v>
      </c>
      <c r="G371" s="3267"/>
      <c r="H371" s="3267" t="s">
        <v>3130</v>
      </c>
      <c r="I371" s="3268"/>
      <c r="J371" s="3267" t="s">
        <v>5793</v>
      </c>
      <c r="K371" s="3267" t="s">
        <v>5794</v>
      </c>
      <c r="L371" s="3267">
        <v>83.11</v>
      </c>
      <c r="M371" s="3267">
        <v>4</v>
      </c>
      <c r="N371" s="3267" t="s">
        <v>3152</v>
      </c>
      <c r="O371" s="3267">
        <v>66.59</v>
      </c>
      <c r="P371" s="3267" t="s">
        <v>2963</v>
      </c>
      <c r="Q371" s="3271">
        <v>545000</v>
      </c>
      <c r="R371" s="3267">
        <v>6558</v>
      </c>
      <c r="S371" s="3272">
        <v>53.29</v>
      </c>
      <c r="T371" s="3273">
        <v>532900</v>
      </c>
      <c r="U371" s="3267">
        <v>6413</v>
      </c>
      <c r="V371" s="3289">
        <v>0.2</v>
      </c>
      <c r="W371" s="3272">
        <v>42.63</v>
      </c>
      <c r="X371" s="3275">
        <v>426300</v>
      </c>
      <c r="Y371" s="3276">
        <v>2006</v>
      </c>
      <c r="Z371" s="3276">
        <v>11</v>
      </c>
      <c r="AA371" s="3276">
        <v>21</v>
      </c>
      <c r="AB371" s="3267">
        <v>1500</v>
      </c>
      <c r="AC371" s="3267" t="s">
        <v>2980</v>
      </c>
      <c r="AD371" s="3280" t="s">
        <v>5795</v>
      </c>
      <c r="AE371" s="3279" t="s">
        <v>3344</v>
      </c>
      <c r="AF371" s="3267" t="s">
        <v>2966</v>
      </c>
      <c r="AG371" s="3279" t="s">
        <v>2967</v>
      </c>
      <c r="AH371" s="3267"/>
      <c r="AI371" s="3279" t="s">
        <v>2992</v>
      </c>
      <c r="AJ371" s="3284"/>
      <c r="AK371" s="3278" t="s">
        <v>3137</v>
      </c>
      <c r="AL371" s="3276">
        <v>55</v>
      </c>
      <c r="AM371" s="3276"/>
      <c r="AN371" s="3279" t="s">
        <v>2994</v>
      </c>
      <c r="AO371" s="3267" t="s">
        <v>5796</v>
      </c>
      <c r="AP371" s="3279" t="s">
        <v>3305</v>
      </c>
      <c r="AQ371" s="3276" t="s">
        <v>3113</v>
      </c>
      <c r="AR371" s="3276"/>
      <c r="AS371" s="3276"/>
      <c r="AT371" s="3276"/>
      <c r="AU371" s="3276"/>
      <c r="AV371" s="3276" t="s">
        <v>2968</v>
      </c>
      <c r="AW371" s="3276" t="s">
        <v>3171</v>
      </c>
      <c r="AX371" s="3276"/>
      <c r="AY371" s="3291"/>
      <c r="AZ371" s="3267" t="s">
        <v>5794</v>
      </c>
      <c r="BA371" s="3296"/>
      <c r="BB371" s="3297"/>
      <c r="BC371" s="3296"/>
      <c r="BD371" s="3298"/>
      <c r="BE371" s="3276"/>
      <c r="BF371" s="3281" t="s">
        <v>2968</v>
      </c>
      <c r="BG371" s="3293">
        <v>39022</v>
      </c>
      <c r="BH371" s="3354" t="s">
        <v>2998</v>
      </c>
      <c r="BI371" s="3314" t="s">
        <v>3305</v>
      </c>
      <c r="BJ371" s="3283">
        <v>39028</v>
      </c>
      <c r="BK371" s="3283"/>
      <c r="BL371" s="3267" t="s">
        <v>3249</v>
      </c>
      <c r="BM371" s="3276" t="s">
        <v>2879</v>
      </c>
      <c r="BN371" s="3276" t="s">
        <v>2999</v>
      </c>
      <c r="BO371" s="3276" t="s">
        <v>3146</v>
      </c>
      <c r="BP371" s="3276"/>
      <c r="BQ371" s="3276">
        <v>8003</v>
      </c>
      <c r="BR371" s="3276">
        <v>8184</v>
      </c>
      <c r="BS371" s="3285"/>
      <c r="BT371" s="3285"/>
      <c r="BU371" s="3285"/>
    </row>
    <row r="372" spans="1:73" hidden="1">
      <c r="A372" s="3267" t="s">
        <v>5797</v>
      </c>
      <c r="B372" s="3267" t="s">
        <v>5798</v>
      </c>
      <c r="C372" s="3269" t="s">
        <v>5799</v>
      </c>
      <c r="D372" s="3267">
        <v>13601351298</v>
      </c>
      <c r="E372" s="3267" t="s">
        <v>2985</v>
      </c>
      <c r="F372" s="3267" t="s">
        <v>5800</v>
      </c>
      <c r="G372" s="3267"/>
      <c r="H372" s="3267"/>
      <c r="I372" s="3267"/>
      <c r="J372" s="3267" t="s">
        <v>3771</v>
      </c>
      <c r="K372" s="3268" t="s">
        <v>5801</v>
      </c>
      <c r="L372" s="3267">
        <v>86.22</v>
      </c>
      <c r="M372" s="3267">
        <v>1</v>
      </c>
      <c r="N372" s="3267" t="s">
        <v>3122</v>
      </c>
      <c r="O372" s="3267"/>
      <c r="P372" s="3267" t="s">
        <v>2963</v>
      </c>
      <c r="Q372" s="3267">
        <v>646650</v>
      </c>
      <c r="R372" s="3267">
        <v>7500</v>
      </c>
      <c r="S372" s="3272">
        <v>64.489999999999995</v>
      </c>
      <c r="T372" s="3273">
        <v>644900</v>
      </c>
      <c r="U372" s="3267">
        <v>7480</v>
      </c>
      <c r="V372" s="3274">
        <v>0.2</v>
      </c>
      <c r="W372" s="3272">
        <v>51.59</v>
      </c>
      <c r="X372" s="3275">
        <v>515900.00000000006</v>
      </c>
      <c r="Y372" s="3267">
        <v>2006</v>
      </c>
      <c r="Z372" s="3267">
        <v>11</v>
      </c>
      <c r="AA372" s="3276">
        <v>21</v>
      </c>
      <c r="AB372" s="3267">
        <v>1500</v>
      </c>
      <c r="AC372" s="3267" t="s">
        <v>2980</v>
      </c>
      <c r="AD372" s="3269" t="s">
        <v>5802</v>
      </c>
      <c r="AE372" s="3267" t="s">
        <v>3069</v>
      </c>
      <c r="AF372" s="3267" t="s">
        <v>2966</v>
      </c>
      <c r="AG372" s="3267" t="s">
        <v>2967</v>
      </c>
      <c r="AH372" s="3267"/>
      <c r="AI372" s="3267" t="s">
        <v>2992</v>
      </c>
      <c r="AJ372" s="3284"/>
      <c r="AK372" s="3267" t="s">
        <v>3137</v>
      </c>
      <c r="AL372" s="3267" t="s">
        <v>5803</v>
      </c>
      <c r="AM372" s="3267"/>
      <c r="AN372" s="3267" t="s">
        <v>2994</v>
      </c>
      <c r="AO372" s="3267" t="s">
        <v>5804</v>
      </c>
      <c r="AP372" s="3267" t="s">
        <v>3069</v>
      </c>
      <c r="AQ372" s="3276" t="s">
        <v>3113</v>
      </c>
      <c r="AR372" s="3267">
        <v>2006</v>
      </c>
      <c r="AS372" s="3267">
        <v>11</v>
      </c>
      <c r="AT372" s="3267">
        <v>21</v>
      </c>
      <c r="AU372" s="3267"/>
      <c r="AV372" s="3267"/>
      <c r="AW372" s="3267" t="s">
        <v>3112</v>
      </c>
      <c r="AX372" s="3267"/>
      <c r="AY372" s="3269"/>
      <c r="AZ372" s="3268" t="s">
        <v>5801</v>
      </c>
      <c r="BA372" s="3267"/>
      <c r="BB372" s="3267"/>
      <c r="BC372" s="3267"/>
      <c r="BD372" s="3267"/>
      <c r="BE372" s="3267"/>
      <c r="BF372" s="3267"/>
      <c r="BG372" s="3307">
        <v>39025</v>
      </c>
      <c r="BH372" s="3267"/>
      <c r="BI372" s="3267" t="s">
        <v>3069</v>
      </c>
      <c r="BJ372" s="3307">
        <v>39028</v>
      </c>
      <c r="BK372" s="3283"/>
      <c r="BL372" s="3267" t="s">
        <v>2998</v>
      </c>
      <c r="BM372" s="3267" t="s">
        <v>2879</v>
      </c>
      <c r="BN372" s="3267" t="s">
        <v>2999</v>
      </c>
      <c r="BO372" s="3267" t="s">
        <v>3000</v>
      </c>
      <c r="BP372" s="3267"/>
      <c r="BQ372" s="3276" t="e">
        <v>#DIV/0!</v>
      </c>
      <c r="BR372" s="3276" t="e">
        <v>#DIV/0!</v>
      </c>
      <c r="BS372" s="3285"/>
      <c r="BT372" s="3285"/>
      <c r="BU372" s="3285"/>
    </row>
    <row r="373" spans="1:73" hidden="1">
      <c r="A373" s="3267" t="s">
        <v>5805</v>
      </c>
      <c r="B373" s="3267" t="s">
        <v>5806</v>
      </c>
      <c r="C373" s="3269" t="s">
        <v>5807</v>
      </c>
      <c r="D373" s="3269" t="s">
        <v>5808</v>
      </c>
      <c r="E373" s="3268" t="s">
        <v>2985</v>
      </c>
      <c r="F373" s="3268" t="s">
        <v>5809</v>
      </c>
      <c r="G373" s="3267"/>
      <c r="H373" s="3267" t="s">
        <v>5810</v>
      </c>
      <c r="I373" s="3268" t="s">
        <v>3608</v>
      </c>
      <c r="J373" s="3267" t="s">
        <v>5811</v>
      </c>
      <c r="K373" s="3267" t="s">
        <v>5419</v>
      </c>
      <c r="L373" s="3267">
        <v>58.03</v>
      </c>
      <c r="M373" s="3267">
        <v>6</v>
      </c>
      <c r="N373" s="3267" t="s">
        <v>3122</v>
      </c>
      <c r="O373" s="3267"/>
      <c r="P373" s="3267" t="s">
        <v>2963</v>
      </c>
      <c r="Q373" s="3271">
        <v>425000</v>
      </c>
      <c r="R373" s="3267">
        <v>7324</v>
      </c>
      <c r="S373" s="3272">
        <v>36.29</v>
      </c>
      <c r="T373" s="3273">
        <v>362900</v>
      </c>
      <c r="U373" s="3267">
        <v>6254</v>
      </c>
      <c r="V373" s="3289">
        <v>0.2</v>
      </c>
      <c r="W373" s="3272">
        <v>29.03</v>
      </c>
      <c r="X373" s="3275">
        <v>290300</v>
      </c>
      <c r="Y373" s="3276">
        <v>2006</v>
      </c>
      <c r="Z373" s="3276">
        <v>11</v>
      </c>
      <c r="AA373" s="3276">
        <v>21</v>
      </c>
      <c r="AB373" s="3267">
        <v>1085</v>
      </c>
      <c r="AC373" s="3267" t="s">
        <v>2980</v>
      </c>
      <c r="AD373" s="3280" t="s">
        <v>5812</v>
      </c>
      <c r="AE373" s="3279" t="s">
        <v>3344</v>
      </c>
      <c r="AF373" s="3267" t="s">
        <v>2966</v>
      </c>
      <c r="AG373" s="3279" t="s">
        <v>2967</v>
      </c>
      <c r="AH373" s="3267"/>
      <c r="AI373" s="3279" t="s">
        <v>2992</v>
      </c>
      <c r="AJ373" s="3284"/>
      <c r="AK373" s="3278" t="s">
        <v>3137</v>
      </c>
      <c r="AL373" s="3276">
        <v>29</v>
      </c>
      <c r="AM373" s="3276"/>
      <c r="AN373" s="3279" t="s">
        <v>2994</v>
      </c>
      <c r="AO373" s="3267" t="s">
        <v>5813</v>
      </c>
      <c r="AP373" s="3279" t="s">
        <v>3305</v>
      </c>
      <c r="AQ373" s="3276" t="s">
        <v>3113</v>
      </c>
      <c r="AR373" s="3276"/>
      <c r="AS373" s="3276"/>
      <c r="AT373" s="3276"/>
      <c r="AU373" s="3276"/>
      <c r="AV373" s="3276" t="s">
        <v>2968</v>
      </c>
      <c r="AW373" s="3276" t="s">
        <v>3171</v>
      </c>
      <c r="AX373" s="3276"/>
      <c r="AY373" s="3291"/>
      <c r="AZ373" s="3267" t="s">
        <v>5419</v>
      </c>
      <c r="BA373" s="3296"/>
      <c r="BB373" s="3297"/>
      <c r="BC373" s="3296"/>
      <c r="BD373" s="3298"/>
      <c r="BE373" s="3276" t="s">
        <v>5814</v>
      </c>
      <c r="BF373" s="3281" t="s">
        <v>2968</v>
      </c>
      <c r="BG373" s="3293">
        <v>39025</v>
      </c>
      <c r="BH373" s="3354" t="s">
        <v>2998</v>
      </c>
      <c r="BI373" s="3314" t="s">
        <v>3305</v>
      </c>
      <c r="BJ373" s="3283">
        <v>39030</v>
      </c>
      <c r="BK373" s="3283"/>
      <c r="BL373" s="3267" t="s">
        <v>3249</v>
      </c>
      <c r="BM373" s="3276" t="s">
        <v>2879</v>
      </c>
      <c r="BN373" s="3276" t="s">
        <v>2999</v>
      </c>
      <c r="BO373" s="3276" t="s">
        <v>3146</v>
      </c>
      <c r="BP373" s="3276"/>
      <c r="BQ373" s="3276" t="e">
        <v>#DIV/0!</v>
      </c>
      <c r="BR373" s="3276" t="e">
        <v>#DIV/0!</v>
      </c>
      <c r="BS373" s="3285"/>
      <c r="BT373" s="3285"/>
      <c r="BU373" s="3285"/>
    </row>
    <row r="374" spans="1:73" hidden="1">
      <c r="A374" s="3267" t="s">
        <v>5815</v>
      </c>
      <c r="B374" s="3267" t="s">
        <v>5816</v>
      </c>
      <c r="C374" s="3269" t="s">
        <v>5817</v>
      </c>
      <c r="D374" s="3269" t="s">
        <v>5818</v>
      </c>
      <c r="E374" s="3268" t="s">
        <v>2985</v>
      </c>
      <c r="F374" s="3268" t="s">
        <v>5819</v>
      </c>
      <c r="G374" s="3267"/>
      <c r="H374" s="3267" t="s">
        <v>3097</v>
      </c>
      <c r="I374" s="3268"/>
      <c r="J374" s="3267" t="s">
        <v>3787</v>
      </c>
      <c r="K374" s="3267" t="s">
        <v>5820</v>
      </c>
      <c r="L374" s="3267">
        <v>126.32</v>
      </c>
      <c r="M374" s="3267">
        <v>18</v>
      </c>
      <c r="N374" s="3267" t="s">
        <v>3303</v>
      </c>
      <c r="O374" s="3267"/>
      <c r="P374" s="3267" t="s">
        <v>2963</v>
      </c>
      <c r="Q374" s="3271">
        <v>820000</v>
      </c>
      <c r="R374" s="3267">
        <v>6491</v>
      </c>
      <c r="S374" s="3272">
        <v>88.72</v>
      </c>
      <c r="T374" s="3273">
        <v>887200</v>
      </c>
      <c r="U374" s="3267">
        <v>7024</v>
      </c>
      <c r="V374" s="3289">
        <v>0.3</v>
      </c>
      <c r="W374" s="3272">
        <v>62.1</v>
      </c>
      <c r="X374" s="3275">
        <v>621000</v>
      </c>
      <c r="Y374" s="3276">
        <v>2006</v>
      </c>
      <c r="Z374" s="3276">
        <v>11</v>
      </c>
      <c r="AA374" s="3276">
        <v>24</v>
      </c>
      <c r="AB374" s="3267">
        <v>1500</v>
      </c>
      <c r="AC374" s="3267" t="s">
        <v>2980</v>
      </c>
      <c r="AD374" s="3280" t="s">
        <v>5821</v>
      </c>
      <c r="AE374" s="3279" t="s">
        <v>3344</v>
      </c>
      <c r="AF374" s="3268" t="s">
        <v>2966</v>
      </c>
      <c r="AG374" s="3279" t="s">
        <v>2967</v>
      </c>
      <c r="AH374" s="3267"/>
      <c r="AI374" s="3279" t="s">
        <v>2992</v>
      </c>
      <c r="AJ374" s="3284"/>
      <c r="AK374" s="3278" t="s">
        <v>3137</v>
      </c>
      <c r="AL374" s="3276">
        <v>50</v>
      </c>
      <c r="AM374" s="3267"/>
      <c r="AN374" s="3279" t="s">
        <v>2994</v>
      </c>
      <c r="AO374" s="3267" t="s">
        <v>5822</v>
      </c>
      <c r="AP374" s="3279" t="s">
        <v>3305</v>
      </c>
      <c r="AQ374" s="3276" t="s">
        <v>3113</v>
      </c>
      <c r="AR374" s="3276"/>
      <c r="AS374" s="3276"/>
      <c r="AT374" s="3276"/>
      <c r="AU374" s="3276"/>
      <c r="AV374" s="3276" t="s">
        <v>2968</v>
      </c>
      <c r="AW374" s="3276" t="s">
        <v>3171</v>
      </c>
      <c r="AX374" s="3276"/>
      <c r="AY374" s="3291"/>
      <c r="AZ374" s="3267" t="s">
        <v>5820</v>
      </c>
      <c r="BA374" s="3296"/>
      <c r="BB374" s="3297"/>
      <c r="BC374" s="3296"/>
      <c r="BD374" s="3296"/>
      <c r="BE374" s="3276"/>
      <c r="BF374" s="3281" t="s">
        <v>2968</v>
      </c>
      <c r="BG374" s="3293">
        <v>39025</v>
      </c>
      <c r="BH374" s="3267" t="s">
        <v>2998</v>
      </c>
      <c r="BI374" s="3314" t="s">
        <v>3305</v>
      </c>
      <c r="BJ374" s="3283">
        <v>39030</v>
      </c>
      <c r="BK374" s="3283"/>
      <c r="BL374" s="3267" t="s">
        <v>3249</v>
      </c>
      <c r="BM374" s="3276" t="s">
        <v>2879</v>
      </c>
      <c r="BN374" s="3276" t="s">
        <v>2999</v>
      </c>
      <c r="BO374" s="3276" t="s">
        <v>3146</v>
      </c>
      <c r="BP374" s="3276"/>
      <c r="BQ374" s="3276" t="e">
        <v>#DIV/0!</v>
      </c>
      <c r="BR374" s="3276" t="e">
        <v>#DIV/0!</v>
      </c>
      <c r="BS374" s="3285"/>
      <c r="BT374" s="3285"/>
      <c r="BU374" s="3285"/>
    </row>
    <row r="375" spans="1:73" hidden="1">
      <c r="A375" s="3267" t="s">
        <v>5823</v>
      </c>
      <c r="B375" s="3267" t="s">
        <v>5824</v>
      </c>
      <c r="C375" s="3269" t="s">
        <v>5825</v>
      </c>
      <c r="D375" s="3269" t="s">
        <v>5826</v>
      </c>
      <c r="E375" s="3267" t="s">
        <v>2985</v>
      </c>
      <c r="F375" s="3268" t="s">
        <v>5827</v>
      </c>
      <c r="G375" s="3267"/>
      <c r="H375" s="3270" t="s">
        <v>3118</v>
      </c>
      <c r="I375" s="3268" t="s">
        <v>5828</v>
      </c>
      <c r="J375" s="3269" t="s">
        <v>5829</v>
      </c>
      <c r="K375" s="3267"/>
      <c r="L375" s="3267">
        <v>55.08</v>
      </c>
      <c r="M375" s="3267">
        <v>6</v>
      </c>
      <c r="N375" s="3267" t="s">
        <v>3122</v>
      </c>
      <c r="O375" s="3267"/>
      <c r="P375" s="3267" t="s">
        <v>2963</v>
      </c>
      <c r="Q375" s="3271">
        <v>450000</v>
      </c>
      <c r="R375" s="3267">
        <v>8170</v>
      </c>
      <c r="S375" s="3272">
        <v>34.950000000000003</v>
      </c>
      <c r="T375" s="3273">
        <v>349500</v>
      </c>
      <c r="U375" s="3267">
        <v>6347</v>
      </c>
      <c r="V375" s="3289">
        <v>0.2</v>
      </c>
      <c r="W375" s="3272">
        <v>27.96</v>
      </c>
      <c r="X375" s="3275">
        <v>279600</v>
      </c>
      <c r="Y375" s="3267">
        <v>2006</v>
      </c>
      <c r="Z375" s="3276">
        <v>11</v>
      </c>
      <c r="AA375" s="3276">
        <v>23</v>
      </c>
      <c r="AB375" s="3267">
        <v>1045</v>
      </c>
      <c r="AC375" s="3267" t="s">
        <v>2980</v>
      </c>
      <c r="AD375" s="3267">
        <v>91302006110232</v>
      </c>
      <c r="AE375" s="3267" t="s">
        <v>3487</v>
      </c>
      <c r="AF375" s="3267" t="s">
        <v>2966</v>
      </c>
      <c r="AG375" s="3267" t="s">
        <v>2967</v>
      </c>
      <c r="AH375" s="3267" t="s">
        <v>2968</v>
      </c>
      <c r="AI375" s="3279" t="s">
        <v>2992</v>
      </c>
      <c r="AJ375" s="3284"/>
      <c r="AK375" s="3278" t="s">
        <v>3137</v>
      </c>
      <c r="AL375" s="3276">
        <v>39</v>
      </c>
      <c r="AM375" s="3267"/>
      <c r="AN375" s="3276" t="s">
        <v>2994</v>
      </c>
      <c r="AO375" s="3276" t="s">
        <v>2968</v>
      </c>
      <c r="AP375" s="3276" t="s">
        <v>3487</v>
      </c>
      <c r="AQ375" s="3267" t="s">
        <v>3113</v>
      </c>
      <c r="AR375" s="3276">
        <v>2006</v>
      </c>
      <c r="AS375" s="3276">
        <v>11</v>
      </c>
      <c r="AT375" s="3276">
        <v>23</v>
      </c>
      <c r="AU375" s="3276"/>
      <c r="AV375" s="3276" t="s">
        <v>2968</v>
      </c>
      <c r="AW375" s="3276" t="s">
        <v>3171</v>
      </c>
      <c r="AX375" s="3276"/>
      <c r="AY375" s="3291"/>
      <c r="AZ375" s="3267"/>
      <c r="BA375" s="3276"/>
      <c r="BB375" s="3291"/>
      <c r="BC375" s="3276"/>
      <c r="BD375" s="3292"/>
      <c r="BE375" s="3276"/>
      <c r="BF375" s="3281"/>
      <c r="BG375" s="3290">
        <v>39027</v>
      </c>
      <c r="BH375" s="3276"/>
      <c r="BI375" s="3267" t="s">
        <v>3487</v>
      </c>
      <c r="BJ375" s="3290">
        <v>39027</v>
      </c>
      <c r="BK375" s="3283"/>
      <c r="BL375" s="3267" t="s">
        <v>2998</v>
      </c>
      <c r="BM375" s="3276"/>
      <c r="BN375" s="3276"/>
      <c r="BO375" s="3276"/>
      <c r="BP375" s="3276"/>
      <c r="BQ375" s="3276" t="e">
        <v>#DIV/0!</v>
      </c>
      <c r="BR375" s="3276" t="e">
        <v>#DIV/0!</v>
      </c>
      <c r="BS375" s="3285"/>
      <c r="BT375" s="3285"/>
      <c r="BU375" s="3285"/>
    </row>
    <row r="376" spans="1:73" hidden="1">
      <c r="A376" s="3267" t="s">
        <v>5830</v>
      </c>
      <c r="B376" s="3267" t="s">
        <v>5831</v>
      </c>
      <c r="C376" s="3269" t="s">
        <v>5832</v>
      </c>
      <c r="D376" s="3267">
        <v>13611356115</v>
      </c>
      <c r="E376" s="3267" t="s">
        <v>2985</v>
      </c>
      <c r="F376" s="3267" t="s">
        <v>5833</v>
      </c>
      <c r="G376" s="3267"/>
      <c r="H376" s="3267"/>
      <c r="I376" s="3267"/>
      <c r="J376" s="3267" t="s">
        <v>5834</v>
      </c>
      <c r="K376" s="3268" t="s">
        <v>5835</v>
      </c>
      <c r="L376" s="3267">
        <v>62.67</v>
      </c>
      <c r="M376" s="3267">
        <v>3</v>
      </c>
      <c r="N376" s="3267" t="s">
        <v>3122</v>
      </c>
      <c r="O376" s="3267"/>
      <c r="P376" s="3267" t="s">
        <v>2963</v>
      </c>
      <c r="Q376" s="3267">
        <v>470000</v>
      </c>
      <c r="R376" s="3267">
        <v>7500</v>
      </c>
      <c r="S376" s="3272">
        <v>41.28</v>
      </c>
      <c r="T376" s="3273">
        <v>412800</v>
      </c>
      <c r="U376" s="3267">
        <v>6587</v>
      </c>
      <c r="V376" s="3274">
        <v>0.2</v>
      </c>
      <c r="W376" s="3272">
        <v>33.020000000000003</v>
      </c>
      <c r="X376" s="3275">
        <v>330200.00000000006</v>
      </c>
      <c r="Y376" s="3267">
        <v>2006</v>
      </c>
      <c r="Z376" s="3267">
        <v>11</v>
      </c>
      <c r="AA376" s="3276">
        <v>29</v>
      </c>
      <c r="AB376" s="3267">
        <v>1235</v>
      </c>
      <c r="AC376" s="3267" t="s">
        <v>2980</v>
      </c>
      <c r="AD376" s="3269" t="s">
        <v>5836</v>
      </c>
      <c r="AE376" s="3267" t="s">
        <v>3069</v>
      </c>
      <c r="AF376" s="3267" t="s">
        <v>2966</v>
      </c>
      <c r="AG376" s="3267" t="s">
        <v>2967</v>
      </c>
      <c r="AH376" s="3267"/>
      <c r="AI376" s="3267" t="s">
        <v>2992</v>
      </c>
      <c r="AJ376" s="3284"/>
      <c r="AK376" s="3267" t="s">
        <v>3137</v>
      </c>
      <c r="AL376" s="3267" t="s">
        <v>5837</v>
      </c>
      <c r="AM376" s="3267"/>
      <c r="AN376" s="3267" t="s">
        <v>3099</v>
      </c>
      <c r="AO376" s="3267" t="s">
        <v>5838</v>
      </c>
      <c r="AP376" s="3267" t="s">
        <v>3069</v>
      </c>
      <c r="AQ376" s="3276" t="s">
        <v>3113</v>
      </c>
      <c r="AR376" s="3267">
        <v>2006</v>
      </c>
      <c r="AS376" s="3267">
        <v>11</v>
      </c>
      <c r="AT376" s="3267">
        <v>29</v>
      </c>
      <c r="AU376" s="3267"/>
      <c r="AV376" s="3267"/>
      <c r="AW376" s="3267" t="s">
        <v>3112</v>
      </c>
      <c r="AX376" s="3267"/>
      <c r="AY376" s="3269"/>
      <c r="AZ376" s="3268" t="s">
        <v>5835</v>
      </c>
      <c r="BA376" s="3267"/>
      <c r="BB376" s="3267"/>
      <c r="BC376" s="3267"/>
      <c r="BD376" s="3267"/>
      <c r="BE376" s="3267"/>
      <c r="BF376" s="3267"/>
      <c r="BG376" s="3307">
        <v>39036</v>
      </c>
      <c r="BH376" s="3267"/>
      <c r="BI376" s="3267" t="s">
        <v>3069</v>
      </c>
      <c r="BJ376" s="3307">
        <v>39036</v>
      </c>
      <c r="BK376" s="3283"/>
      <c r="BL376" s="3267" t="s">
        <v>2998</v>
      </c>
      <c r="BM376" s="3267" t="s">
        <v>2879</v>
      </c>
      <c r="BN376" s="3267" t="s">
        <v>2999</v>
      </c>
      <c r="BO376" s="3267" t="s">
        <v>3000</v>
      </c>
      <c r="BP376" s="3267"/>
      <c r="BQ376" s="3276" t="e">
        <v>#DIV/0!</v>
      </c>
      <c r="BR376" s="3276" t="e">
        <v>#DIV/0!</v>
      </c>
      <c r="BS376" s="3285"/>
      <c r="BT376" s="3285"/>
      <c r="BU376" s="3285"/>
    </row>
    <row r="377" spans="1:73" hidden="1">
      <c r="A377" s="3267" t="s">
        <v>5839</v>
      </c>
      <c r="B377" s="3267" t="s">
        <v>5840</v>
      </c>
      <c r="C377" s="3269" t="s">
        <v>5841</v>
      </c>
      <c r="D377" s="3269" t="s">
        <v>5842</v>
      </c>
      <c r="E377" s="3268" t="s">
        <v>2985</v>
      </c>
      <c r="F377" s="3268" t="s">
        <v>3719</v>
      </c>
      <c r="G377" s="3267"/>
      <c r="H377" s="3267" t="s">
        <v>5843</v>
      </c>
      <c r="I377" s="3268" t="s">
        <v>3191</v>
      </c>
      <c r="J377" s="3267" t="s">
        <v>3301</v>
      </c>
      <c r="K377" s="3267" t="s">
        <v>5844</v>
      </c>
      <c r="L377" s="3267">
        <v>111.99</v>
      </c>
      <c r="M377" s="3267">
        <v>5</v>
      </c>
      <c r="N377" s="3267" t="s">
        <v>3129</v>
      </c>
      <c r="O377" s="3267"/>
      <c r="P377" s="3267" t="s">
        <v>2963</v>
      </c>
      <c r="Q377" s="3271">
        <v>700000</v>
      </c>
      <c r="R377" s="3267">
        <v>6251</v>
      </c>
      <c r="S377" s="3272">
        <v>69.87</v>
      </c>
      <c r="T377" s="3273">
        <v>698700</v>
      </c>
      <c r="U377" s="3267">
        <v>6239</v>
      </c>
      <c r="V377" s="3289">
        <v>0.3</v>
      </c>
      <c r="W377" s="3272">
        <v>48.9</v>
      </c>
      <c r="X377" s="3275">
        <v>489000</v>
      </c>
      <c r="Y377" s="3276">
        <v>2006</v>
      </c>
      <c r="Z377" s="3276">
        <v>11</v>
      </c>
      <c r="AA377" s="3276">
        <v>29</v>
      </c>
      <c r="AB377" s="3267">
        <v>1500</v>
      </c>
      <c r="AC377" s="3267" t="s">
        <v>2980</v>
      </c>
      <c r="AD377" s="3280" t="s">
        <v>5845</v>
      </c>
      <c r="AE377" s="3279" t="s">
        <v>3344</v>
      </c>
      <c r="AF377" s="3268" t="s">
        <v>2966</v>
      </c>
      <c r="AG377" s="3279" t="s">
        <v>2967</v>
      </c>
      <c r="AH377" s="3267" t="s">
        <v>5846</v>
      </c>
      <c r="AI377" s="3279" t="s">
        <v>2992</v>
      </c>
      <c r="AJ377" s="3284"/>
      <c r="AK377" s="3278" t="s">
        <v>3137</v>
      </c>
      <c r="AL377" s="3276">
        <v>51</v>
      </c>
      <c r="AM377" s="3267"/>
      <c r="AN377" s="3279" t="s">
        <v>3099</v>
      </c>
      <c r="AO377" s="3267" t="s">
        <v>5847</v>
      </c>
      <c r="AP377" s="3279" t="s">
        <v>3305</v>
      </c>
      <c r="AQ377" s="3276" t="s">
        <v>3113</v>
      </c>
      <c r="AR377" s="3276"/>
      <c r="AS377" s="3276"/>
      <c r="AT377" s="3276"/>
      <c r="AU377" s="3276"/>
      <c r="AV377" s="3276" t="s">
        <v>2968</v>
      </c>
      <c r="AW377" s="3276" t="s">
        <v>3171</v>
      </c>
      <c r="AX377" s="3276"/>
      <c r="AY377" s="3291"/>
      <c r="AZ377" s="3267" t="s">
        <v>5844</v>
      </c>
      <c r="BA377" s="3296"/>
      <c r="BB377" s="3297"/>
      <c r="BC377" s="3296"/>
      <c r="BD377" s="3296"/>
      <c r="BE377" s="3276">
        <v>13901153341</v>
      </c>
      <c r="BF377" s="3281" t="s">
        <v>2968</v>
      </c>
      <c r="BG377" s="3293">
        <v>39028</v>
      </c>
      <c r="BH377" s="3267" t="s">
        <v>2998</v>
      </c>
      <c r="BI377" s="3314" t="s">
        <v>3305</v>
      </c>
      <c r="BJ377" s="3283">
        <v>39028</v>
      </c>
      <c r="BK377" s="3283"/>
      <c r="BL377" s="3267" t="s">
        <v>3249</v>
      </c>
      <c r="BM377" s="3276" t="s">
        <v>2879</v>
      </c>
      <c r="BN377" s="3276" t="s">
        <v>2999</v>
      </c>
      <c r="BO377" s="3276" t="s">
        <v>3146</v>
      </c>
      <c r="BP377" s="3276"/>
      <c r="BQ377" s="3276" t="e">
        <v>#DIV/0!</v>
      </c>
      <c r="BR377" s="3276" t="e">
        <v>#DIV/0!</v>
      </c>
      <c r="BS377" s="3285"/>
      <c r="BT377" s="3285"/>
      <c r="BU377" s="3285"/>
    </row>
    <row r="378" spans="1:73" hidden="1">
      <c r="A378" s="3267" t="s">
        <v>5848</v>
      </c>
      <c r="B378" s="3267" t="s">
        <v>5849</v>
      </c>
      <c r="C378" s="3269" t="s">
        <v>5850</v>
      </c>
      <c r="D378" s="3267">
        <v>13810549709</v>
      </c>
      <c r="E378" s="3267" t="s">
        <v>2985</v>
      </c>
      <c r="F378" s="3267" t="s">
        <v>5851</v>
      </c>
      <c r="G378" s="3267"/>
      <c r="H378" s="3267" t="s">
        <v>3402</v>
      </c>
      <c r="I378" s="3267"/>
      <c r="J378" s="3267" t="s">
        <v>5852</v>
      </c>
      <c r="K378" s="3267" t="s">
        <v>5853</v>
      </c>
      <c r="L378" s="3267">
        <v>73.8</v>
      </c>
      <c r="M378" s="3267">
        <v>6</v>
      </c>
      <c r="N378" s="3267" t="s">
        <v>3122</v>
      </c>
      <c r="O378" s="3267"/>
      <c r="P378" s="3267" t="s">
        <v>2963</v>
      </c>
      <c r="Q378" s="3267">
        <v>590000</v>
      </c>
      <c r="R378" s="3288">
        <v>7995</v>
      </c>
      <c r="S378" s="3272">
        <v>49.58</v>
      </c>
      <c r="T378" s="3273">
        <v>495800</v>
      </c>
      <c r="U378" s="3267">
        <v>6719</v>
      </c>
      <c r="V378" s="3289">
        <v>0.2</v>
      </c>
      <c r="W378" s="3272">
        <v>39.659999999999997</v>
      </c>
      <c r="X378" s="3273">
        <v>396599.99999999994</v>
      </c>
      <c r="Y378" s="3267">
        <v>2006</v>
      </c>
      <c r="Z378" s="3276">
        <v>11</v>
      </c>
      <c r="AA378" s="3276">
        <v>21</v>
      </c>
      <c r="AB378" s="3267">
        <v>1485</v>
      </c>
      <c r="AC378" s="3267" t="s">
        <v>3110</v>
      </c>
      <c r="AD378" s="3267"/>
      <c r="AE378" s="3267" t="s">
        <v>3304</v>
      </c>
      <c r="AF378" s="3267" t="s">
        <v>2966</v>
      </c>
      <c r="AG378" s="3267" t="s">
        <v>2967</v>
      </c>
      <c r="AH378" s="3267"/>
      <c r="AI378" s="3267" t="s">
        <v>3295</v>
      </c>
      <c r="AJ378" s="3267"/>
      <c r="AK378" s="3278" t="s">
        <v>3137</v>
      </c>
      <c r="AL378" s="3267">
        <v>40</v>
      </c>
      <c r="AM378" s="3267"/>
      <c r="AN378" s="3279" t="s">
        <v>2994</v>
      </c>
      <c r="AO378" s="3267"/>
      <c r="AP378" s="3279" t="s">
        <v>3537</v>
      </c>
      <c r="AQ378" s="3267" t="s">
        <v>3113</v>
      </c>
      <c r="AR378" s="3267"/>
      <c r="AS378" s="3267"/>
      <c r="AT378" s="3267"/>
      <c r="AU378" s="3267"/>
      <c r="AV378" s="3267"/>
      <c r="AW378" s="3267" t="s">
        <v>2997</v>
      </c>
      <c r="AX378" s="3267"/>
      <c r="AY378" s="3267"/>
      <c r="AZ378" s="3267" t="s">
        <v>5853</v>
      </c>
      <c r="BA378" s="3267"/>
      <c r="BB378" s="3267"/>
      <c r="BC378" s="3267"/>
      <c r="BD378" s="3267"/>
      <c r="BE378" s="3267">
        <v>13911691108</v>
      </c>
      <c r="BF378" s="3267"/>
      <c r="BG378" s="3307">
        <v>39012</v>
      </c>
      <c r="BH378" s="3267"/>
      <c r="BI378" s="3267" t="s">
        <v>3537</v>
      </c>
      <c r="BJ378" s="3299"/>
      <c r="BK378" s="3267"/>
      <c r="BL378" s="3267" t="s">
        <v>2998</v>
      </c>
      <c r="BM378" s="3267" t="s">
        <v>2879</v>
      </c>
      <c r="BN378" s="3267" t="s">
        <v>2999</v>
      </c>
      <c r="BO378" s="3267" t="s">
        <v>3146</v>
      </c>
      <c r="BP378" s="3267"/>
      <c r="BQ378" s="3276"/>
      <c r="BR378" s="3276"/>
      <c r="BS378" s="3285"/>
      <c r="BT378" s="3285"/>
      <c r="BU378" s="3285"/>
    </row>
    <row r="379" spans="1:73" hidden="1">
      <c r="A379" s="3267" t="s">
        <v>5854</v>
      </c>
      <c r="B379" s="3267" t="s">
        <v>5855</v>
      </c>
      <c r="C379" s="3269" t="s">
        <v>5856</v>
      </c>
      <c r="D379" s="3268">
        <v>13811331123</v>
      </c>
      <c r="E379" s="3267" t="s">
        <v>2985</v>
      </c>
      <c r="F379" s="3267" t="s">
        <v>4088</v>
      </c>
      <c r="G379" s="3267"/>
      <c r="H379" s="3270" t="s">
        <v>3182</v>
      </c>
      <c r="I379" s="3268"/>
      <c r="J379" s="3270" t="s">
        <v>5857</v>
      </c>
      <c r="K379" s="3267" t="s">
        <v>5858</v>
      </c>
      <c r="L379" s="3286">
        <v>88.41</v>
      </c>
      <c r="M379" s="3270">
        <v>4</v>
      </c>
      <c r="N379" s="3267" t="s">
        <v>3122</v>
      </c>
      <c r="O379" s="3267"/>
      <c r="P379" s="3267" t="s">
        <v>2963</v>
      </c>
      <c r="Q379" s="3287">
        <v>353640</v>
      </c>
      <c r="R379" s="3271">
        <v>4000</v>
      </c>
      <c r="S379" s="3272">
        <v>35.36</v>
      </c>
      <c r="T379" s="3273">
        <v>353600</v>
      </c>
      <c r="U379" s="3287">
        <v>4000</v>
      </c>
      <c r="V379" s="3289">
        <v>0.2</v>
      </c>
      <c r="W379" s="3272">
        <v>28.28</v>
      </c>
      <c r="X379" s="3273">
        <v>282800</v>
      </c>
      <c r="Y379" s="3276">
        <v>2006</v>
      </c>
      <c r="Z379" s="3276">
        <v>11</v>
      </c>
      <c r="AA379" s="3276">
        <v>8</v>
      </c>
      <c r="AB379" s="3267">
        <v>1060</v>
      </c>
      <c r="AC379" s="3267" t="s">
        <v>3110</v>
      </c>
      <c r="AD379" s="3269"/>
      <c r="AE379" s="3267" t="s">
        <v>3069</v>
      </c>
      <c r="AF379" s="3267" t="s">
        <v>2966</v>
      </c>
      <c r="AG379" s="3267" t="s">
        <v>3473</v>
      </c>
      <c r="AH379" s="3267"/>
      <c r="AI379" s="3276" t="s">
        <v>3295</v>
      </c>
      <c r="AJ379" s="3270"/>
      <c r="AK379" s="3278" t="s">
        <v>3137</v>
      </c>
      <c r="AL379" s="3267">
        <v>57</v>
      </c>
      <c r="AM379" s="3267"/>
      <c r="AN379" s="3267" t="s">
        <v>3140</v>
      </c>
      <c r="AO379" s="3267"/>
      <c r="AP379" s="3279" t="s">
        <v>3537</v>
      </c>
      <c r="AQ379" s="3267" t="s">
        <v>3113</v>
      </c>
      <c r="AR379" s="3267"/>
      <c r="AS379" s="3267"/>
      <c r="AT379" s="3267"/>
      <c r="AU379" s="3267"/>
      <c r="AV379" s="3267"/>
      <c r="AW379" s="3267" t="s">
        <v>2997</v>
      </c>
      <c r="AX379" s="3267"/>
      <c r="AY379" s="3279"/>
      <c r="AZ379" s="3267" t="s">
        <v>5858</v>
      </c>
      <c r="BA379" s="3267"/>
      <c r="BB379" s="3267"/>
      <c r="BC379" s="3267"/>
      <c r="BD379" s="3267"/>
      <c r="BE379" s="3267">
        <v>13701269712</v>
      </c>
      <c r="BF379" s="3267"/>
      <c r="BG379" s="3284">
        <v>38990</v>
      </c>
      <c r="BH379" s="3267"/>
      <c r="BI379" s="3267" t="s">
        <v>3537</v>
      </c>
      <c r="BJ379" s="3284"/>
      <c r="BK379" s="3284"/>
      <c r="BL379" s="3267" t="s">
        <v>2998</v>
      </c>
      <c r="BM379" s="3267" t="s">
        <v>3345</v>
      </c>
      <c r="BN379" s="3267" t="s">
        <v>3111</v>
      </c>
      <c r="BO379" s="3267" t="s">
        <v>3446</v>
      </c>
      <c r="BP379" s="3267"/>
      <c r="BQ379" s="3267"/>
      <c r="BR379" s="3267"/>
      <c r="BS379" s="3285"/>
      <c r="BT379" s="3285"/>
      <c r="BU379" s="3285"/>
    </row>
    <row r="380" spans="1:73" hidden="1">
      <c r="A380" s="3267" t="s">
        <v>5859</v>
      </c>
      <c r="B380" s="3267" t="s">
        <v>5860</v>
      </c>
      <c r="C380" s="3269" t="s">
        <v>5861</v>
      </c>
      <c r="D380" s="3269" t="s">
        <v>5862</v>
      </c>
      <c r="E380" s="3268" t="s">
        <v>2985</v>
      </c>
      <c r="F380" s="3268" t="s">
        <v>5426</v>
      </c>
      <c r="G380" s="3267"/>
      <c r="H380" s="3267" t="s">
        <v>3169</v>
      </c>
      <c r="I380" s="3268" t="s">
        <v>3586</v>
      </c>
      <c r="J380" s="3267" t="s">
        <v>5863</v>
      </c>
      <c r="K380" s="3267" t="s">
        <v>5864</v>
      </c>
      <c r="L380" s="3267">
        <v>59.37</v>
      </c>
      <c r="M380" s="3267">
        <v>3</v>
      </c>
      <c r="N380" s="3267" t="s">
        <v>3122</v>
      </c>
      <c r="O380" s="3267" t="s">
        <v>2968</v>
      </c>
      <c r="P380" s="3267" t="s">
        <v>2963</v>
      </c>
      <c r="Q380" s="3271">
        <v>450000</v>
      </c>
      <c r="R380" s="3288">
        <v>7580</v>
      </c>
      <c r="S380" s="3272">
        <v>36.799999999999997</v>
      </c>
      <c r="T380" s="3273">
        <v>368000</v>
      </c>
      <c r="U380" s="3267">
        <v>6200</v>
      </c>
      <c r="V380" s="3289">
        <v>0.2</v>
      </c>
      <c r="W380" s="3272">
        <v>29.44</v>
      </c>
      <c r="X380" s="3273">
        <v>294400</v>
      </c>
      <c r="Y380" s="3267">
        <v>2006</v>
      </c>
      <c r="Z380" s="3276">
        <v>11</v>
      </c>
      <c r="AA380" s="3276">
        <v>15</v>
      </c>
      <c r="AB380" s="3267">
        <v>1100</v>
      </c>
      <c r="AC380" s="3267" t="s">
        <v>2980</v>
      </c>
      <c r="AD380" s="3269"/>
      <c r="AE380" s="3279" t="s">
        <v>3245</v>
      </c>
      <c r="AF380" s="3268" t="s">
        <v>2966</v>
      </c>
      <c r="AG380" s="3279" t="s">
        <v>2967</v>
      </c>
      <c r="AH380" s="3267"/>
      <c r="AI380" s="3279" t="s">
        <v>2992</v>
      </c>
      <c r="AJ380" s="3284"/>
      <c r="AK380" s="3278" t="s">
        <v>3137</v>
      </c>
      <c r="AL380" s="3276">
        <v>34</v>
      </c>
      <c r="AM380" s="3267"/>
      <c r="AN380" s="3279" t="s">
        <v>3114</v>
      </c>
      <c r="AO380" s="3267" t="s">
        <v>5865</v>
      </c>
      <c r="AP380" s="3279" t="s">
        <v>5706</v>
      </c>
      <c r="AQ380" s="3276" t="s">
        <v>3113</v>
      </c>
      <c r="AR380" s="3276"/>
      <c r="AS380" s="3276"/>
      <c r="AT380" s="3276"/>
      <c r="AU380" s="3276"/>
      <c r="AV380" s="3276"/>
      <c r="AW380" s="3276" t="s">
        <v>3119</v>
      </c>
      <c r="AX380" s="3276"/>
      <c r="AY380" s="3291"/>
      <c r="AZ380" s="3267" t="s">
        <v>5864</v>
      </c>
      <c r="BA380" s="3296"/>
      <c r="BB380" s="3297"/>
      <c r="BC380" s="3296"/>
      <c r="BD380" s="3298"/>
      <c r="BE380" s="3276">
        <v>13621147720</v>
      </c>
      <c r="BF380" s="3281"/>
      <c r="BG380" s="3293">
        <v>39019</v>
      </c>
      <c r="BH380" s="3354"/>
      <c r="BI380" s="3276" t="s">
        <v>5706</v>
      </c>
      <c r="BJ380" s="3283"/>
      <c r="BK380" s="3283"/>
      <c r="BL380" s="3267" t="s">
        <v>2998</v>
      </c>
      <c r="BM380" s="3276" t="s">
        <v>2879</v>
      </c>
      <c r="BN380" s="3276" t="s">
        <v>2999</v>
      </c>
      <c r="BO380" s="3276" t="s">
        <v>3146</v>
      </c>
      <c r="BP380" s="3276"/>
      <c r="BQ380" s="3276" t="e">
        <v>#VALUE!</v>
      </c>
      <c r="BR380" s="3276" t="e">
        <v>#VALUE!</v>
      </c>
      <c r="BS380" s="3285"/>
      <c r="BT380" s="3285"/>
      <c r="BU380" s="3285"/>
    </row>
    <row r="381" spans="1:73" hidden="1">
      <c r="A381" s="3267" t="s">
        <v>5866</v>
      </c>
      <c r="B381" s="3267" t="s">
        <v>5867</v>
      </c>
      <c r="C381" s="3269" t="s">
        <v>5868</v>
      </c>
      <c r="D381" s="3267">
        <v>13911588536</v>
      </c>
      <c r="E381" s="3267" t="s">
        <v>2985</v>
      </c>
      <c r="F381" s="3267" t="s">
        <v>5869</v>
      </c>
      <c r="G381" s="3267"/>
      <c r="H381" s="3267"/>
      <c r="I381" s="3267"/>
      <c r="J381" s="3267" t="s">
        <v>5870</v>
      </c>
      <c r="K381" s="3268" t="s">
        <v>5871</v>
      </c>
      <c r="L381" s="3267">
        <v>60.68</v>
      </c>
      <c r="M381" s="3267">
        <v>3</v>
      </c>
      <c r="N381" s="3267" t="s">
        <v>3122</v>
      </c>
      <c r="O381" s="3267"/>
      <c r="P381" s="3267" t="s">
        <v>2963</v>
      </c>
      <c r="Q381" s="3267">
        <v>565000</v>
      </c>
      <c r="R381" s="3267">
        <v>9311</v>
      </c>
      <c r="S381" s="3272">
        <v>49.68</v>
      </c>
      <c r="T381" s="3273">
        <v>496800</v>
      </c>
      <c r="U381" s="3267">
        <v>8188</v>
      </c>
      <c r="V381" s="3274">
        <v>0.2</v>
      </c>
      <c r="W381" s="3272">
        <v>39.74</v>
      </c>
      <c r="X381" s="3275">
        <v>397400</v>
      </c>
      <c r="Y381" s="3267">
        <v>2006</v>
      </c>
      <c r="Z381" s="3267">
        <v>11</v>
      </c>
      <c r="AA381" s="3276">
        <v>28</v>
      </c>
      <c r="AB381" s="3267">
        <v>1490</v>
      </c>
      <c r="AC381" s="3267" t="s">
        <v>2980</v>
      </c>
      <c r="AD381" s="3269" t="s">
        <v>5872</v>
      </c>
      <c r="AE381" s="3267" t="s">
        <v>3069</v>
      </c>
      <c r="AF381" s="3267" t="s">
        <v>2966</v>
      </c>
      <c r="AG381" s="3267" t="s">
        <v>2967</v>
      </c>
      <c r="AH381" s="3267"/>
      <c r="AI381" s="3267" t="s">
        <v>2992</v>
      </c>
      <c r="AJ381" s="3284"/>
      <c r="AK381" s="3267" t="s">
        <v>3137</v>
      </c>
      <c r="AL381" s="3267" t="s">
        <v>5873</v>
      </c>
      <c r="AM381" s="3267"/>
      <c r="AN381" s="3267" t="s">
        <v>3099</v>
      </c>
      <c r="AO381" s="3267" t="s">
        <v>5874</v>
      </c>
      <c r="AP381" s="3267" t="s">
        <v>3069</v>
      </c>
      <c r="AQ381" s="3276" t="s">
        <v>3113</v>
      </c>
      <c r="AR381" s="3267">
        <v>2006</v>
      </c>
      <c r="AS381" s="3267">
        <v>11</v>
      </c>
      <c r="AT381" s="3267">
        <v>28</v>
      </c>
      <c r="AU381" s="3267"/>
      <c r="AV381" s="3267"/>
      <c r="AW381" s="3267" t="s">
        <v>3112</v>
      </c>
      <c r="AX381" s="3267"/>
      <c r="AY381" s="3269"/>
      <c r="AZ381" s="3268" t="s">
        <v>5871</v>
      </c>
      <c r="BA381" s="3267"/>
      <c r="BB381" s="3267"/>
      <c r="BC381" s="3267"/>
      <c r="BD381" s="3267"/>
      <c r="BE381" s="3267"/>
      <c r="BF381" s="3267"/>
      <c r="BG381" s="3307">
        <v>39029</v>
      </c>
      <c r="BH381" s="3267"/>
      <c r="BI381" s="3267" t="s">
        <v>3069</v>
      </c>
      <c r="BJ381" s="3307">
        <v>39035</v>
      </c>
      <c r="BK381" s="3283"/>
      <c r="BL381" s="3267" t="s">
        <v>2998</v>
      </c>
      <c r="BM381" s="3267" t="s">
        <v>2879</v>
      </c>
      <c r="BN381" s="3267" t="s">
        <v>2999</v>
      </c>
      <c r="BO381" s="3267" t="s">
        <v>3000</v>
      </c>
      <c r="BP381" s="3267"/>
      <c r="BQ381" s="3276" t="e">
        <v>#DIV/0!</v>
      </c>
      <c r="BR381" s="3276" t="e">
        <v>#DIV/0!</v>
      </c>
      <c r="BS381" s="3285"/>
      <c r="BT381" s="3285"/>
      <c r="BU381" s="3285"/>
    </row>
    <row r="382" spans="1:73" hidden="1">
      <c r="A382" s="3267" t="s">
        <v>5875</v>
      </c>
      <c r="B382" s="3267" t="s">
        <v>5876</v>
      </c>
      <c r="C382" s="3269" t="s">
        <v>5877</v>
      </c>
      <c r="D382" s="3269" t="s">
        <v>5878</v>
      </c>
      <c r="E382" s="3267" t="s">
        <v>2985</v>
      </c>
      <c r="F382" s="3244" t="s">
        <v>5879</v>
      </c>
      <c r="G382" s="3267"/>
      <c r="H382" s="3267" t="s">
        <v>3182</v>
      </c>
      <c r="I382" s="3267"/>
      <c r="J382" s="3269" t="s">
        <v>5880</v>
      </c>
      <c r="K382" s="3267" t="s">
        <v>5881</v>
      </c>
      <c r="L382" s="3267">
        <v>64.03</v>
      </c>
      <c r="M382" s="3267">
        <v>22</v>
      </c>
      <c r="N382" s="3267" t="s">
        <v>3152</v>
      </c>
      <c r="O382" s="3267"/>
      <c r="P382" s="3267" t="s">
        <v>2963</v>
      </c>
      <c r="Q382" s="3271">
        <v>440000</v>
      </c>
      <c r="R382" s="3267">
        <v>6872</v>
      </c>
      <c r="S382" s="3272">
        <v>41.88</v>
      </c>
      <c r="T382" s="3273">
        <v>418800</v>
      </c>
      <c r="U382" s="3267">
        <v>6542</v>
      </c>
      <c r="V382" s="3289">
        <v>0.2</v>
      </c>
      <c r="W382" s="3272">
        <v>33.5</v>
      </c>
      <c r="X382" s="3275">
        <v>335000</v>
      </c>
      <c r="Y382" s="3276">
        <v>2006</v>
      </c>
      <c r="Z382" s="3276">
        <v>12</v>
      </c>
      <c r="AA382" s="3276">
        <v>12</v>
      </c>
      <c r="AB382" s="3267">
        <v>1255</v>
      </c>
      <c r="AC382" s="3267" t="s">
        <v>2980</v>
      </c>
      <c r="AD382" s="3269" t="s">
        <v>5882</v>
      </c>
      <c r="AE382" s="3267" t="s">
        <v>2979</v>
      </c>
      <c r="AF382" s="3267" t="s">
        <v>2966</v>
      </c>
      <c r="AG382" s="3279" t="s">
        <v>2967</v>
      </c>
      <c r="AH382" s="3267"/>
      <c r="AI382" s="3267" t="s">
        <v>2992</v>
      </c>
      <c r="AJ382" s="3284"/>
      <c r="AK382" s="3267" t="s">
        <v>3120</v>
      </c>
      <c r="AL382" s="3267">
        <v>55</v>
      </c>
      <c r="AM382" s="3276"/>
      <c r="AN382" s="3267" t="s">
        <v>3140</v>
      </c>
      <c r="AO382" s="3267" t="s">
        <v>5883</v>
      </c>
      <c r="AP382" s="3267" t="s">
        <v>2979</v>
      </c>
      <c r="AQ382" s="3267" t="s">
        <v>3228</v>
      </c>
      <c r="AR382" s="3276">
        <v>2006</v>
      </c>
      <c r="AS382" s="3276">
        <v>12</v>
      </c>
      <c r="AT382" s="3276">
        <v>13</v>
      </c>
      <c r="AU382" s="3276"/>
      <c r="AV382" s="3276"/>
      <c r="AW382" s="3267" t="s">
        <v>3171</v>
      </c>
      <c r="AX382" s="3276"/>
      <c r="AY382" s="3291"/>
      <c r="AZ382" s="3276" t="s">
        <v>5881</v>
      </c>
      <c r="BA382" s="3276"/>
      <c r="BB382" s="3291"/>
      <c r="BC382" s="3276"/>
      <c r="BD382" s="3292"/>
      <c r="BE382" s="3276"/>
      <c r="BF382" s="3281"/>
      <c r="BG382" s="3299">
        <v>39031</v>
      </c>
      <c r="BH382" s="3276"/>
      <c r="BI382" s="3267" t="s">
        <v>2979</v>
      </c>
      <c r="BJ382" s="3283">
        <v>39050</v>
      </c>
      <c r="BK382" s="3283"/>
      <c r="BL382" s="3267" t="s">
        <v>2998</v>
      </c>
      <c r="BM382" s="3276" t="s">
        <v>2879</v>
      </c>
      <c r="BN382" s="3276" t="s">
        <v>3111</v>
      </c>
      <c r="BO382" s="3276" t="s">
        <v>3146</v>
      </c>
      <c r="BP382" s="3276"/>
      <c r="BQ382" s="3276" t="e">
        <v>#DIV/0!</v>
      </c>
      <c r="BR382" s="3276" t="e">
        <v>#DIV/0!</v>
      </c>
      <c r="BS382" s="3285"/>
      <c r="BT382" s="3285"/>
      <c r="BU382" s="3285"/>
    </row>
    <row r="383" spans="1:73" hidden="1">
      <c r="A383" s="3267" t="s">
        <v>5884</v>
      </c>
      <c r="B383" s="3267" t="s">
        <v>5885</v>
      </c>
      <c r="C383" s="3269" t="s">
        <v>5886</v>
      </c>
      <c r="D383" s="3267">
        <v>13911899819</v>
      </c>
      <c r="E383" s="3267" t="s">
        <v>2985</v>
      </c>
      <c r="F383" s="3267" t="s">
        <v>5887</v>
      </c>
      <c r="G383" s="3267"/>
      <c r="H383" s="3267"/>
      <c r="I383" s="3267"/>
      <c r="J383" s="3267"/>
      <c r="K383" s="3268" t="s">
        <v>5888</v>
      </c>
      <c r="L383" s="3267">
        <v>101.41</v>
      </c>
      <c r="M383" s="3267">
        <v>20</v>
      </c>
      <c r="N383" s="3267" t="s">
        <v>3395</v>
      </c>
      <c r="O383" s="3267"/>
      <c r="P383" s="3267" t="s">
        <v>3495</v>
      </c>
      <c r="Q383" s="3267">
        <v>590000</v>
      </c>
      <c r="R383" s="3267">
        <v>5818</v>
      </c>
      <c r="S383" s="3272">
        <v>82.23</v>
      </c>
      <c r="T383" s="3273">
        <v>822300</v>
      </c>
      <c r="U383" s="3267">
        <v>8109</v>
      </c>
      <c r="V383" s="3274">
        <v>0.3</v>
      </c>
      <c r="W383" s="3272">
        <v>57.56</v>
      </c>
      <c r="X383" s="3275">
        <v>575600</v>
      </c>
      <c r="Y383" s="3267">
        <v>2006</v>
      </c>
      <c r="Z383" s="3267">
        <v>12</v>
      </c>
      <c r="AA383" s="3276">
        <v>13</v>
      </c>
      <c r="AB383" s="3267">
        <v>1500</v>
      </c>
      <c r="AC383" s="3267" t="s">
        <v>2980</v>
      </c>
      <c r="AD383" s="3269" t="s">
        <v>5889</v>
      </c>
      <c r="AE383" s="3267" t="s">
        <v>3069</v>
      </c>
      <c r="AF383" s="3267" t="s">
        <v>2966</v>
      </c>
      <c r="AG383" s="3267" t="s">
        <v>2967</v>
      </c>
      <c r="AH383" s="3267"/>
      <c r="AI383" s="3267" t="s">
        <v>2992</v>
      </c>
      <c r="AJ383" s="3284"/>
      <c r="AK383" s="3267" t="s">
        <v>3120</v>
      </c>
      <c r="AL383" s="3267" t="s">
        <v>5890</v>
      </c>
      <c r="AM383" s="3267"/>
      <c r="AN383" s="3267" t="s">
        <v>3114</v>
      </c>
      <c r="AO383" s="3267" t="s">
        <v>5891</v>
      </c>
      <c r="AP383" s="3267" t="s">
        <v>3069</v>
      </c>
      <c r="AQ383" s="3267" t="s">
        <v>3228</v>
      </c>
      <c r="AR383" s="3267">
        <v>2006</v>
      </c>
      <c r="AS383" s="3267">
        <v>12</v>
      </c>
      <c r="AT383" s="3267">
        <v>13</v>
      </c>
      <c r="AU383" s="3267"/>
      <c r="AV383" s="3267"/>
      <c r="AW383" s="3267" t="s">
        <v>3112</v>
      </c>
      <c r="AX383" s="3267"/>
      <c r="AY383" s="3269"/>
      <c r="AZ383" s="3268" t="s">
        <v>5888</v>
      </c>
      <c r="BA383" s="3267"/>
      <c r="BB383" s="3267"/>
      <c r="BC383" s="3267"/>
      <c r="BD383" s="3267"/>
      <c r="BE383" s="3267"/>
      <c r="BF383" s="3267"/>
      <c r="BG383" s="3307">
        <v>39033</v>
      </c>
      <c r="BH383" s="3267"/>
      <c r="BI383" s="3267" t="s">
        <v>3069</v>
      </c>
      <c r="BJ383" s="3307">
        <v>39035</v>
      </c>
      <c r="BK383" s="3283"/>
      <c r="BL383" s="3267" t="s">
        <v>2998</v>
      </c>
      <c r="BM383" s="3267" t="s">
        <v>2879</v>
      </c>
      <c r="BN383" s="3267" t="s">
        <v>2999</v>
      </c>
      <c r="BO383" s="3267" t="s">
        <v>3000</v>
      </c>
      <c r="BP383" s="3267"/>
      <c r="BQ383" s="3276" t="e">
        <v>#DIV/0!</v>
      </c>
      <c r="BR383" s="3276" t="e">
        <v>#DIV/0!</v>
      </c>
      <c r="BS383" s="3285"/>
      <c r="BT383" s="3285"/>
      <c r="BU383" s="3285"/>
    </row>
    <row r="384" spans="1:73" hidden="1">
      <c r="A384" s="3267" t="s">
        <v>5892</v>
      </c>
      <c r="B384" s="3267" t="s">
        <v>5893</v>
      </c>
      <c r="C384" s="3269" t="s">
        <v>5894</v>
      </c>
      <c r="D384" s="3269" t="s">
        <v>5895</v>
      </c>
      <c r="E384" s="3268" t="s">
        <v>2985</v>
      </c>
      <c r="F384" s="3268" t="s">
        <v>5896</v>
      </c>
      <c r="G384" s="3267"/>
      <c r="H384" s="3267" t="s">
        <v>3194</v>
      </c>
      <c r="I384" s="3268"/>
      <c r="J384" s="3267" t="s">
        <v>4655</v>
      </c>
      <c r="K384" s="3267" t="s">
        <v>5893</v>
      </c>
      <c r="L384" s="3267">
        <v>58.11</v>
      </c>
      <c r="M384" s="3267">
        <v>2</v>
      </c>
      <c r="N384" s="3267" t="s">
        <v>3122</v>
      </c>
      <c r="O384" s="3267"/>
      <c r="P384" s="3267" t="s">
        <v>2963</v>
      </c>
      <c r="Q384" s="3271">
        <v>575000</v>
      </c>
      <c r="R384" s="3267">
        <v>9895</v>
      </c>
      <c r="S384" s="3272">
        <v>48.58</v>
      </c>
      <c r="T384" s="3273">
        <v>485800</v>
      </c>
      <c r="U384" s="3267">
        <v>8361</v>
      </c>
      <c r="V384" s="3289">
        <v>0.2</v>
      </c>
      <c r="W384" s="3272">
        <v>38.86</v>
      </c>
      <c r="X384" s="3275">
        <v>388600</v>
      </c>
      <c r="Y384" s="3276">
        <v>2006</v>
      </c>
      <c r="Z384" s="3276">
        <v>12</v>
      </c>
      <c r="AA384" s="3276">
        <v>30</v>
      </c>
      <c r="AB384" s="3267">
        <v>1455</v>
      </c>
      <c r="AC384" s="3267" t="s">
        <v>2980</v>
      </c>
      <c r="AD384" s="3269" t="s">
        <v>5897</v>
      </c>
      <c r="AE384" s="3276" t="s">
        <v>3344</v>
      </c>
      <c r="AF384" s="3267" t="s">
        <v>2966</v>
      </c>
      <c r="AG384" s="3279" t="s">
        <v>2967</v>
      </c>
      <c r="AH384" s="3267"/>
      <c r="AI384" s="3279" t="s">
        <v>2992</v>
      </c>
      <c r="AJ384" s="3284"/>
      <c r="AK384" s="3278" t="s">
        <v>3120</v>
      </c>
      <c r="AL384" s="3276">
        <v>43</v>
      </c>
      <c r="AM384" s="3267" t="s">
        <v>5898</v>
      </c>
      <c r="AN384" s="3279" t="s">
        <v>2994</v>
      </c>
      <c r="AO384" s="3267" t="s">
        <v>5899</v>
      </c>
      <c r="AP384" s="3279" t="s">
        <v>5706</v>
      </c>
      <c r="AQ384" s="3267" t="s">
        <v>3228</v>
      </c>
      <c r="AR384" s="3276"/>
      <c r="AS384" s="3276"/>
      <c r="AT384" s="3276"/>
      <c r="AU384" s="3276"/>
      <c r="AV384" s="3276" t="s">
        <v>2968</v>
      </c>
      <c r="AW384" s="3276" t="s">
        <v>3171</v>
      </c>
      <c r="AX384" s="3276"/>
      <c r="AY384" s="3291"/>
      <c r="AZ384" s="3267" t="s">
        <v>5900</v>
      </c>
      <c r="BA384" s="3296"/>
      <c r="BB384" s="3297"/>
      <c r="BC384" s="3296"/>
      <c r="BD384" s="3298"/>
      <c r="BE384" s="3276" t="s">
        <v>5901</v>
      </c>
      <c r="BF384" s="3281" t="s">
        <v>2968</v>
      </c>
      <c r="BG384" s="3293">
        <v>39034</v>
      </c>
      <c r="BH384" s="3267"/>
      <c r="BI384" s="3276" t="s">
        <v>5706</v>
      </c>
      <c r="BJ384" s="3283">
        <v>39034</v>
      </c>
      <c r="BK384" s="3283"/>
      <c r="BL384" s="3267" t="s">
        <v>2998</v>
      </c>
      <c r="BM384" s="3276" t="s">
        <v>2879</v>
      </c>
      <c r="BN384" s="3276" t="s">
        <v>2999</v>
      </c>
      <c r="BO384" s="3276" t="s">
        <v>3146</v>
      </c>
      <c r="BP384" s="3276"/>
      <c r="BQ384" s="3276" t="e">
        <v>#DIV/0!</v>
      </c>
      <c r="BR384" s="3276" t="e">
        <v>#DIV/0!</v>
      </c>
      <c r="BS384" s="3285"/>
      <c r="BT384" s="3285"/>
      <c r="BU384" s="3285"/>
    </row>
    <row r="385" spans="1:245" hidden="1">
      <c r="A385" s="3267" t="s">
        <v>5902</v>
      </c>
      <c r="B385" s="3267" t="s">
        <v>5903</v>
      </c>
      <c r="C385" s="3269" t="s">
        <v>5904</v>
      </c>
      <c r="D385" s="3267">
        <v>13601259635</v>
      </c>
      <c r="E385" s="3267" t="s">
        <v>2985</v>
      </c>
      <c r="F385" s="3267" t="s">
        <v>5905</v>
      </c>
      <c r="G385" s="3267"/>
      <c r="H385" s="3267"/>
      <c r="I385" s="3267"/>
      <c r="J385" s="3267" t="s">
        <v>3422</v>
      </c>
      <c r="K385" s="3268" t="s">
        <v>5906</v>
      </c>
      <c r="L385" s="3267">
        <v>94.38</v>
      </c>
      <c r="M385" s="3267">
        <v>4</v>
      </c>
      <c r="N385" s="3267" t="s">
        <v>3125</v>
      </c>
      <c r="O385" s="3267"/>
      <c r="P385" s="3267" t="s">
        <v>2963</v>
      </c>
      <c r="Q385" s="3267">
        <v>435000</v>
      </c>
      <c r="R385" s="3267">
        <v>4609</v>
      </c>
      <c r="S385" s="3272">
        <v>44.23</v>
      </c>
      <c r="T385" s="3273">
        <v>442300</v>
      </c>
      <c r="U385" s="3267">
        <v>4687</v>
      </c>
      <c r="V385" s="3274">
        <v>0.3</v>
      </c>
      <c r="W385" s="3272">
        <v>30.96</v>
      </c>
      <c r="X385" s="3275">
        <v>309600</v>
      </c>
      <c r="Y385" s="3267">
        <v>2006</v>
      </c>
      <c r="Z385" s="3267">
        <v>11</v>
      </c>
      <c r="AA385" s="3276">
        <v>21</v>
      </c>
      <c r="AB385" s="3267">
        <v>1325</v>
      </c>
      <c r="AC385" s="3267" t="s">
        <v>2980</v>
      </c>
      <c r="AD385" s="3269" t="s">
        <v>5907</v>
      </c>
      <c r="AE385" s="3267" t="s">
        <v>3069</v>
      </c>
      <c r="AF385" s="3267" t="s">
        <v>2966</v>
      </c>
      <c r="AG385" s="3267" t="s">
        <v>2967</v>
      </c>
      <c r="AH385" s="3267"/>
      <c r="AI385" s="3267" t="s">
        <v>2992</v>
      </c>
      <c r="AJ385" s="3284"/>
      <c r="AK385" s="3267" t="s">
        <v>3137</v>
      </c>
      <c r="AL385" s="3267" t="s">
        <v>5873</v>
      </c>
      <c r="AM385" s="3267"/>
      <c r="AN385" s="3267" t="s">
        <v>2994</v>
      </c>
      <c r="AO385" s="3267" t="s">
        <v>5908</v>
      </c>
      <c r="AP385" s="3267" t="s">
        <v>3069</v>
      </c>
      <c r="AQ385" s="3276" t="s">
        <v>2996</v>
      </c>
      <c r="AR385" s="3267"/>
      <c r="AS385" s="3267"/>
      <c r="AT385" s="3267"/>
      <c r="AU385" s="3267"/>
      <c r="AV385" s="3267"/>
      <c r="AW385" s="3267" t="s">
        <v>3112</v>
      </c>
      <c r="AX385" s="3267"/>
      <c r="AY385" s="3269"/>
      <c r="AZ385" s="3268" t="s">
        <v>5906</v>
      </c>
      <c r="BA385" s="3267"/>
      <c r="BB385" s="3267"/>
      <c r="BC385" s="3267"/>
      <c r="BD385" s="3267"/>
      <c r="BE385" s="3267"/>
      <c r="BF385" s="3267"/>
      <c r="BG385" s="3307">
        <v>39032</v>
      </c>
      <c r="BH385" s="3267"/>
      <c r="BI385" s="3267" t="s">
        <v>3069</v>
      </c>
      <c r="BJ385" s="3307">
        <v>39037</v>
      </c>
      <c r="BK385" s="3283"/>
      <c r="BL385" s="3267" t="s">
        <v>2998</v>
      </c>
      <c r="BM385" s="3267" t="s">
        <v>2879</v>
      </c>
      <c r="BN385" s="3267" t="s">
        <v>2999</v>
      </c>
      <c r="BO385" s="3267" t="s">
        <v>3000</v>
      </c>
      <c r="BP385" s="3267"/>
      <c r="BQ385" s="3276" t="e">
        <v>#DIV/0!</v>
      </c>
      <c r="BR385" s="3276" t="e">
        <v>#DIV/0!</v>
      </c>
      <c r="BS385" s="3285"/>
      <c r="BT385" s="3285"/>
      <c r="BU385" s="3285"/>
    </row>
    <row r="386" spans="1:245" hidden="1">
      <c r="A386" s="3268" t="s">
        <v>5909</v>
      </c>
      <c r="B386" s="3267" t="s">
        <v>5910</v>
      </c>
      <c r="C386" s="3269" t="s">
        <v>5911</v>
      </c>
      <c r="D386" s="3269" t="s">
        <v>5912</v>
      </c>
      <c r="E386" s="3267" t="s">
        <v>2985</v>
      </c>
      <c r="F386" s="3267" t="s">
        <v>5913</v>
      </c>
      <c r="G386" s="3267"/>
      <c r="H386" s="3267" t="s">
        <v>3402</v>
      </c>
      <c r="I386" s="3270"/>
      <c r="J386" s="3269" t="s">
        <v>5914</v>
      </c>
      <c r="K386" s="3267" t="s">
        <v>5915</v>
      </c>
      <c r="L386" s="3267">
        <v>102.48</v>
      </c>
      <c r="M386" s="3267">
        <v>3</v>
      </c>
      <c r="N386" s="3268" t="s">
        <v>5916</v>
      </c>
      <c r="O386" s="3267"/>
      <c r="P386" s="3267" t="s">
        <v>2963</v>
      </c>
      <c r="Q386" s="3271">
        <v>783000</v>
      </c>
      <c r="R386" s="3267">
        <v>7641</v>
      </c>
      <c r="S386" s="3272">
        <v>78.52</v>
      </c>
      <c r="T386" s="3273">
        <v>785200</v>
      </c>
      <c r="U386" s="3267">
        <v>7662</v>
      </c>
      <c r="V386" s="3274">
        <v>0.3</v>
      </c>
      <c r="W386" s="3272">
        <v>54.96</v>
      </c>
      <c r="X386" s="3275">
        <v>549600</v>
      </c>
      <c r="Y386" s="3276">
        <v>2006</v>
      </c>
      <c r="Z386" s="3276">
        <v>11</v>
      </c>
      <c r="AA386" s="3276">
        <v>20</v>
      </c>
      <c r="AB386" s="3267">
        <v>1500</v>
      </c>
      <c r="AC386" s="3267" t="s">
        <v>3110</v>
      </c>
      <c r="AD386" s="3364"/>
      <c r="AE386" s="3276" t="s">
        <v>3304</v>
      </c>
      <c r="AF386" s="3268" t="s">
        <v>2966</v>
      </c>
      <c r="AG386" s="3279" t="s">
        <v>2967</v>
      </c>
      <c r="AH386" s="3267" t="s">
        <v>2968</v>
      </c>
      <c r="AI386" s="3268" t="s">
        <v>3295</v>
      </c>
      <c r="AJ386" s="3284"/>
      <c r="AK386" s="3267" t="s">
        <v>3137</v>
      </c>
      <c r="AL386" s="3276">
        <v>25</v>
      </c>
      <c r="AM386" s="3276"/>
      <c r="AN386" s="3279" t="s">
        <v>2994</v>
      </c>
      <c r="AO386" s="3276"/>
      <c r="AP386" s="3276" t="s">
        <v>3537</v>
      </c>
      <c r="AQ386" s="3267" t="s">
        <v>3113</v>
      </c>
      <c r="AR386" s="3276"/>
      <c r="AS386" s="3276"/>
      <c r="AT386" s="3276"/>
      <c r="AU386" s="3276" t="s">
        <v>2968</v>
      </c>
      <c r="AV386" s="3276"/>
      <c r="AW386" s="3276" t="s">
        <v>2997</v>
      </c>
      <c r="AX386" s="3276"/>
      <c r="AY386" s="3291"/>
      <c r="AZ386" s="3267" t="s">
        <v>5915</v>
      </c>
      <c r="BA386" s="3276"/>
      <c r="BB386" s="3291"/>
      <c r="BC386" s="3276"/>
      <c r="BD386" s="3292"/>
      <c r="BE386" s="3276">
        <v>13801376551</v>
      </c>
      <c r="BF386" s="3281"/>
      <c r="BG386" s="3293">
        <v>39037</v>
      </c>
      <c r="BH386" s="3276" t="s">
        <v>2968</v>
      </c>
      <c r="BI386" s="3276" t="s">
        <v>3537</v>
      </c>
      <c r="BJ386" s="3284"/>
      <c r="BK386" s="3299"/>
      <c r="BL386" s="3267" t="s">
        <v>2998</v>
      </c>
      <c r="BM386" s="3267" t="s">
        <v>3345</v>
      </c>
      <c r="BN386" s="3267" t="s">
        <v>3111</v>
      </c>
      <c r="BO386" s="3267" t="s">
        <v>3146</v>
      </c>
      <c r="BP386" s="3276"/>
      <c r="BQ386" s="3276" t="e">
        <v>#DIV/0!</v>
      </c>
      <c r="BR386" s="3276" t="e">
        <v>#DIV/0!</v>
      </c>
      <c r="BS386" s="3285"/>
      <c r="BT386" s="3285"/>
      <c r="BU386" s="3285"/>
    </row>
    <row r="387" spans="1:245" hidden="1">
      <c r="A387" s="3267" t="s">
        <v>5917</v>
      </c>
      <c r="B387" s="3267" t="s">
        <v>5918</v>
      </c>
      <c r="C387" s="3269" t="s">
        <v>5919</v>
      </c>
      <c r="D387" s="3269" t="s">
        <v>5920</v>
      </c>
      <c r="E387" s="3267" t="s">
        <v>2985</v>
      </c>
      <c r="F387" s="3244" t="s">
        <v>4227</v>
      </c>
      <c r="G387" s="3267"/>
      <c r="H387" s="3267" t="s">
        <v>4804</v>
      </c>
      <c r="I387" s="3267" t="s">
        <v>3458</v>
      </c>
      <c r="J387" s="3269" t="s">
        <v>5921</v>
      </c>
      <c r="K387" s="3267"/>
      <c r="L387" s="3267">
        <v>43.59</v>
      </c>
      <c r="M387" s="3267">
        <v>9</v>
      </c>
      <c r="N387" s="3267" t="s">
        <v>3152</v>
      </c>
      <c r="O387" s="3267"/>
      <c r="P387" s="3267" t="s">
        <v>2963</v>
      </c>
      <c r="Q387" s="3271">
        <v>350000</v>
      </c>
      <c r="R387" s="3288">
        <v>8029</v>
      </c>
      <c r="S387" s="3272">
        <v>32.130000000000003</v>
      </c>
      <c r="T387" s="3273">
        <v>321300</v>
      </c>
      <c r="U387" s="3267">
        <v>7371</v>
      </c>
      <c r="V387" s="3289">
        <v>0.2</v>
      </c>
      <c r="W387" s="3272">
        <v>25.7</v>
      </c>
      <c r="X387" s="3273">
        <v>257000</v>
      </c>
      <c r="Y387" s="3276">
        <v>2006</v>
      </c>
      <c r="Z387" s="3276">
        <v>12</v>
      </c>
      <c r="AA387" s="3276">
        <v>12</v>
      </c>
      <c r="AB387" s="3267">
        <v>960</v>
      </c>
      <c r="AC387" s="3267" t="s">
        <v>2980</v>
      </c>
      <c r="AD387" s="3269" t="s">
        <v>5922</v>
      </c>
      <c r="AE387" s="3267" t="s">
        <v>2979</v>
      </c>
      <c r="AF387" s="3267" t="s">
        <v>2966</v>
      </c>
      <c r="AG387" s="3279" t="s">
        <v>2967</v>
      </c>
      <c r="AH387" s="3267"/>
      <c r="AI387" s="3279" t="s">
        <v>2992</v>
      </c>
      <c r="AJ387" s="3284"/>
      <c r="AK387" s="3267" t="s">
        <v>3120</v>
      </c>
      <c r="AL387" s="3276">
        <v>33</v>
      </c>
      <c r="AM387" s="3276"/>
      <c r="AN387" s="3267" t="s">
        <v>3140</v>
      </c>
      <c r="AO387" s="3267" t="s">
        <v>5923</v>
      </c>
      <c r="AP387" s="3267" t="s">
        <v>2979</v>
      </c>
      <c r="AQ387" s="3267" t="s">
        <v>3228</v>
      </c>
      <c r="AR387" s="3276">
        <v>2006</v>
      </c>
      <c r="AS387" s="3276">
        <v>12</v>
      </c>
      <c r="AT387" s="3276">
        <v>12</v>
      </c>
      <c r="AU387" s="3276"/>
      <c r="AV387" s="3276"/>
      <c r="AW387" s="3267" t="s">
        <v>3171</v>
      </c>
      <c r="AX387" s="3276"/>
      <c r="AY387" s="3291"/>
      <c r="AZ387" s="3276" t="s">
        <v>5924</v>
      </c>
      <c r="BA387" s="3276"/>
      <c r="BB387" s="3291"/>
      <c r="BC387" s="3276"/>
      <c r="BD387" s="3292"/>
      <c r="BE387" s="3276"/>
      <c r="BF387" s="3281"/>
      <c r="BG387" s="3299">
        <v>39032</v>
      </c>
      <c r="BH387" s="3276"/>
      <c r="BI387" s="3267" t="s">
        <v>2979</v>
      </c>
      <c r="BJ387" s="3299">
        <v>39049</v>
      </c>
      <c r="BK387" s="3283"/>
      <c r="BL387" s="3267" t="s">
        <v>2998</v>
      </c>
      <c r="BM387" s="3276" t="s">
        <v>2879</v>
      </c>
      <c r="BN387" s="3276" t="s">
        <v>3111</v>
      </c>
      <c r="BO387" s="3276" t="s">
        <v>3446</v>
      </c>
      <c r="BP387" s="3276"/>
      <c r="BQ387" s="3276" t="e">
        <v>#DIV/0!</v>
      </c>
      <c r="BR387" s="3276" t="e">
        <v>#DIV/0!</v>
      </c>
      <c r="BS387" s="3285"/>
      <c r="BT387" s="3285"/>
      <c r="BU387" s="3285"/>
    </row>
    <row r="388" spans="1:245" hidden="1">
      <c r="A388" s="3267" t="s">
        <v>5925</v>
      </c>
      <c r="B388" s="3267" t="s">
        <v>5926</v>
      </c>
      <c r="C388" s="3269" t="s">
        <v>5927</v>
      </c>
      <c r="D388" s="3267">
        <v>13910380931</v>
      </c>
      <c r="E388" s="3267" t="s">
        <v>2985</v>
      </c>
      <c r="F388" s="3267" t="s">
        <v>5928</v>
      </c>
      <c r="G388" s="3267"/>
      <c r="H388" s="3267"/>
      <c r="I388" s="3267"/>
      <c r="J388" s="3267"/>
      <c r="K388" s="3268" t="s">
        <v>5929</v>
      </c>
      <c r="L388" s="3267">
        <v>80.58</v>
      </c>
      <c r="M388" s="3267">
        <v>6</v>
      </c>
      <c r="N388" s="3267" t="s">
        <v>3122</v>
      </c>
      <c r="O388" s="3267"/>
      <c r="P388" s="3267" t="s">
        <v>2963</v>
      </c>
      <c r="Q388" s="3267">
        <v>500000</v>
      </c>
      <c r="R388" s="3267">
        <v>6205</v>
      </c>
      <c r="S388" s="3272">
        <v>52.6</v>
      </c>
      <c r="T388" s="3273">
        <v>526000</v>
      </c>
      <c r="U388" s="3267">
        <v>6528</v>
      </c>
      <c r="V388" s="3274">
        <v>0.2</v>
      </c>
      <c r="W388" s="3272">
        <v>42.08</v>
      </c>
      <c r="X388" s="3275">
        <v>420800</v>
      </c>
      <c r="Y388" s="3267">
        <v>2006</v>
      </c>
      <c r="Z388" s="3267">
        <v>12</v>
      </c>
      <c r="AA388" s="3276">
        <v>1</v>
      </c>
      <c r="AB388" s="3267">
        <v>1500</v>
      </c>
      <c r="AC388" s="3267" t="s">
        <v>2980</v>
      </c>
      <c r="AD388" s="3269" t="s">
        <v>5930</v>
      </c>
      <c r="AE388" s="3267" t="s">
        <v>3069</v>
      </c>
      <c r="AF388" s="3267" t="s">
        <v>2966</v>
      </c>
      <c r="AG388" s="3267" t="s">
        <v>2967</v>
      </c>
      <c r="AH388" s="3267"/>
      <c r="AI388" s="3267" t="s">
        <v>2992</v>
      </c>
      <c r="AJ388" s="3284"/>
      <c r="AK388" s="3267" t="s">
        <v>3120</v>
      </c>
      <c r="AL388" s="3267" t="s">
        <v>5508</v>
      </c>
      <c r="AM388" s="3267"/>
      <c r="AN388" s="3267" t="s">
        <v>3131</v>
      </c>
      <c r="AO388" s="3267" t="s">
        <v>5931</v>
      </c>
      <c r="AP388" s="3267" t="s">
        <v>3069</v>
      </c>
      <c r="AQ388" s="3276" t="s">
        <v>3113</v>
      </c>
      <c r="AR388" s="3267">
        <v>2006</v>
      </c>
      <c r="AS388" s="3267">
        <v>12</v>
      </c>
      <c r="AT388" s="3267">
        <v>1</v>
      </c>
      <c r="AU388" s="3267"/>
      <c r="AV388" s="3267"/>
      <c r="AW388" s="3267" t="s">
        <v>3112</v>
      </c>
      <c r="AX388" s="3267"/>
      <c r="AY388" s="3269"/>
      <c r="AZ388" s="3268" t="s">
        <v>5929</v>
      </c>
      <c r="BA388" s="3267"/>
      <c r="BB388" s="3267"/>
      <c r="BC388" s="3267"/>
      <c r="BD388" s="3267"/>
      <c r="BE388" s="3267"/>
      <c r="BF388" s="3267"/>
      <c r="BG388" s="3307">
        <v>39032</v>
      </c>
      <c r="BH388" s="3267"/>
      <c r="BI388" s="3267" t="s">
        <v>3069</v>
      </c>
      <c r="BJ388" s="3307">
        <v>39037</v>
      </c>
      <c r="BK388" s="3283"/>
      <c r="BL388" s="3267" t="s">
        <v>2998</v>
      </c>
      <c r="BM388" s="3267" t="s">
        <v>2879</v>
      </c>
      <c r="BN388" s="3267" t="s">
        <v>2999</v>
      </c>
      <c r="BO388" s="3267" t="s">
        <v>3000</v>
      </c>
      <c r="BP388" s="3267"/>
      <c r="BQ388" s="3276" t="e">
        <v>#DIV/0!</v>
      </c>
      <c r="BR388" s="3276" t="e">
        <v>#DIV/0!</v>
      </c>
      <c r="BS388" s="3285"/>
      <c r="BT388" s="3285"/>
      <c r="BU388" s="3285"/>
    </row>
    <row r="389" spans="1:245" hidden="1">
      <c r="A389" s="3267" t="s">
        <v>5932</v>
      </c>
      <c r="B389" s="3267" t="s">
        <v>5933</v>
      </c>
      <c r="C389" s="3269" t="s">
        <v>5934</v>
      </c>
      <c r="D389" s="3267">
        <v>13241397528</v>
      </c>
      <c r="E389" s="3267" t="s">
        <v>2985</v>
      </c>
      <c r="F389" s="3267" t="s">
        <v>5935</v>
      </c>
      <c r="G389" s="3267"/>
      <c r="H389" s="3267"/>
      <c r="I389" s="3267"/>
      <c r="J389" s="3267" t="s">
        <v>3866</v>
      </c>
      <c r="K389" s="3268" t="s">
        <v>5936</v>
      </c>
      <c r="L389" s="3267">
        <v>77.83</v>
      </c>
      <c r="M389" s="3267">
        <v>17</v>
      </c>
      <c r="N389" s="3267" t="s">
        <v>3122</v>
      </c>
      <c r="O389" s="3267"/>
      <c r="P389" s="3267" t="s">
        <v>2963</v>
      </c>
      <c r="Q389" s="3267">
        <v>468000</v>
      </c>
      <c r="R389" s="3267">
        <v>6013</v>
      </c>
      <c r="S389" s="3272">
        <v>51.67</v>
      </c>
      <c r="T389" s="3273">
        <v>516700</v>
      </c>
      <c r="U389" s="3267">
        <v>6640</v>
      </c>
      <c r="V389" s="3274">
        <v>0.2</v>
      </c>
      <c r="W389" s="3272">
        <v>41.33</v>
      </c>
      <c r="X389" s="3275">
        <v>413300</v>
      </c>
      <c r="Y389" s="3267">
        <v>2006</v>
      </c>
      <c r="Z389" s="3267">
        <v>11</v>
      </c>
      <c r="AA389" s="3276">
        <v>29</v>
      </c>
      <c r="AB389" s="3267">
        <v>1500</v>
      </c>
      <c r="AC389" s="3267" t="s">
        <v>2980</v>
      </c>
      <c r="AD389" s="3269" t="s">
        <v>5937</v>
      </c>
      <c r="AE389" s="3267" t="s">
        <v>3069</v>
      </c>
      <c r="AF389" s="3267" t="s">
        <v>2966</v>
      </c>
      <c r="AG389" s="3267" t="s">
        <v>2967</v>
      </c>
      <c r="AH389" s="3267"/>
      <c r="AI389" s="3267" t="s">
        <v>2992</v>
      </c>
      <c r="AJ389" s="3284"/>
      <c r="AK389" s="3267" t="s">
        <v>3137</v>
      </c>
      <c r="AL389" s="3267" t="s">
        <v>5508</v>
      </c>
      <c r="AM389" s="3267"/>
      <c r="AN389" s="3267" t="s">
        <v>3099</v>
      </c>
      <c r="AO389" s="3267" t="s">
        <v>5938</v>
      </c>
      <c r="AP389" s="3267" t="s">
        <v>3069</v>
      </c>
      <c r="AQ389" s="3276" t="s">
        <v>3113</v>
      </c>
      <c r="AR389" s="3267">
        <v>2006</v>
      </c>
      <c r="AS389" s="3267">
        <v>11</v>
      </c>
      <c r="AT389" s="3267">
        <v>29</v>
      </c>
      <c r="AU389" s="3267"/>
      <c r="AV389" s="3267"/>
      <c r="AW389" s="3267" t="s">
        <v>3112</v>
      </c>
      <c r="AX389" s="3267"/>
      <c r="AY389" s="3269"/>
      <c r="AZ389" s="3268" t="s">
        <v>5936</v>
      </c>
      <c r="BA389" s="3267"/>
      <c r="BB389" s="3267"/>
      <c r="BC389" s="3267"/>
      <c r="BD389" s="3267"/>
      <c r="BE389" s="3267"/>
      <c r="BF389" s="3267"/>
      <c r="BG389" s="3307">
        <v>39032</v>
      </c>
      <c r="BH389" s="3267"/>
      <c r="BI389" s="3267" t="s">
        <v>3069</v>
      </c>
      <c r="BJ389" s="3307">
        <v>39038</v>
      </c>
      <c r="BK389" s="3283"/>
      <c r="BL389" s="3267" t="s">
        <v>2998</v>
      </c>
      <c r="BM389" s="3267" t="s">
        <v>2879</v>
      </c>
      <c r="BN389" s="3267" t="s">
        <v>2999</v>
      </c>
      <c r="BO389" s="3267" t="s">
        <v>3000</v>
      </c>
      <c r="BP389" s="3267"/>
      <c r="BQ389" s="3276" t="e">
        <v>#DIV/0!</v>
      </c>
      <c r="BR389" s="3276" t="e">
        <v>#DIV/0!</v>
      </c>
      <c r="BS389" s="3285"/>
      <c r="BT389" s="3285"/>
      <c r="BU389" s="3285"/>
    </row>
    <row r="390" spans="1:245" hidden="1">
      <c r="A390" s="3267" t="s">
        <v>5939</v>
      </c>
      <c r="B390" s="3267" t="s">
        <v>5940</v>
      </c>
      <c r="C390" s="3269" t="s">
        <v>5941</v>
      </c>
      <c r="D390" s="3269" t="s">
        <v>5942</v>
      </c>
      <c r="E390" s="3268" t="s">
        <v>2985</v>
      </c>
      <c r="F390" s="3268" t="s">
        <v>5943</v>
      </c>
      <c r="G390" s="3267"/>
      <c r="H390" s="3267" t="s">
        <v>5944</v>
      </c>
      <c r="I390" s="3268" t="s">
        <v>3412</v>
      </c>
      <c r="J390" s="3267" t="s">
        <v>3669</v>
      </c>
      <c r="K390" s="3267" t="s">
        <v>5945</v>
      </c>
      <c r="L390" s="3267">
        <v>62.2</v>
      </c>
      <c r="M390" s="3267">
        <v>16</v>
      </c>
      <c r="N390" s="3267" t="s">
        <v>3122</v>
      </c>
      <c r="O390" s="3267"/>
      <c r="P390" s="3267" t="s">
        <v>2963</v>
      </c>
      <c r="Q390" s="3271">
        <v>520000</v>
      </c>
      <c r="R390" s="3267">
        <v>8360</v>
      </c>
      <c r="S390" s="3272">
        <v>46.28</v>
      </c>
      <c r="T390" s="3273">
        <v>462800</v>
      </c>
      <c r="U390" s="3267">
        <v>7442</v>
      </c>
      <c r="V390" s="3289">
        <v>0.2</v>
      </c>
      <c r="W390" s="3272">
        <v>37.020000000000003</v>
      </c>
      <c r="X390" s="3275">
        <v>370200.00000000006</v>
      </c>
      <c r="Y390" s="3276">
        <v>2006</v>
      </c>
      <c r="Z390" s="3276">
        <v>12</v>
      </c>
      <c r="AA390" s="3276">
        <v>20</v>
      </c>
      <c r="AB390" s="3267">
        <v>1385</v>
      </c>
      <c r="AC390" s="3267" t="s">
        <v>2980</v>
      </c>
      <c r="AD390" s="3269" t="s">
        <v>5946</v>
      </c>
      <c r="AE390" s="3279" t="s">
        <v>3344</v>
      </c>
      <c r="AF390" s="3267" t="s">
        <v>2966</v>
      </c>
      <c r="AG390" s="3279" t="s">
        <v>2967</v>
      </c>
      <c r="AH390" s="3267"/>
      <c r="AI390" s="3279" t="s">
        <v>2992</v>
      </c>
      <c r="AJ390" s="3284"/>
      <c r="AK390" s="3278" t="s">
        <v>3120</v>
      </c>
      <c r="AL390" s="3276">
        <v>37</v>
      </c>
      <c r="AM390" s="3276"/>
      <c r="AN390" s="3279" t="s">
        <v>2994</v>
      </c>
      <c r="AO390" s="3267" t="s">
        <v>5947</v>
      </c>
      <c r="AP390" s="3279" t="s">
        <v>3305</v>
      </c>
      <c r="AQ390" s="3276" t="s">
        <v>3113</v>
      </c>
      <c r="AR390" s="3276"/>
      <c r="AS390" s="3276"/>
      <c r="AT390" s="3276"/>
      <c r="AU390" s="3276"/>
      <c r="AV390" s="3276" t="s">
        <v>2968</v>
      </c>
      <c r="AW390" s="3276" t="s">
        <v>3171</v>
      </c>
      <c r="AX390" s="3276"/>
      <c r="AY390" s="3291"/>
      <c r="AZ390" s="3267" t="s">
        <v>5945</v>
      </c>
      <c r="BA390" s="3296"/>
      <c r="BB390" s="3297"/>
      <c r="BC390" s="3296"/>
      <c r="BD390" s="3298"/>
      <c r="BE390" s="3276">
        <v>64702040</v>
      </c>
      <c r="BF390" s="3281" t="s">
        <v>2968</v>
      </c>
      <c r="BG390" s="3293">
        <v>39036</v>
      </c>
      <c r="BH390" s="3267" t="s">
        <v>2998</v>
      </c>
      <c r="BI390" s="3314" t="s">
        <v>3305</v>
      </c>
      <c r="BJ390" s="3283">
        <v>39052</v>
      </c>
      <c r="BK390" s="3283"/>
      <c r="BL390" s="3267" t="s">
        <v>3249</v>
      </c>
      <c r="BM390" s="3276" t="s">
        <v>2879</v>
      </c>
      <c r="BN390" s="3276" t="s">
        <v>2999</v>
      </c>
      <c r="BO390" s="3276" t="s">
        <v>3146</v>
      </c>
      <c r="BP390" s="3276"/>
      <c r="BQ390" s="3276" t="e">
        <v>#DIV/0!</v>
      </c>
      <c r="BR390" s="3276" t="e">
        <v>#DIV/0!</v>
      </c>
      <c r="BS390" s="3285"/>
      <c r="BT390" s="3285"/>
      <c r="BU390" s="3285"/>
    </row>
    <row r="391" spans="1:245" hidden="1">
      <c r="A391" s="3267" t="s">
        <v>5948</v>
      </c>
      <c r="B391" s="3267" t="s">
        <v>5949</v>
      </c>
      <c r="C391" s="3269" t="s">
        <v>5950</v>
      </c>
      <c r="D391" s="3267">
        <v>13810288147</v>
      </c>
      <c r="E391" s="3267" t="s">
        <v>2985</v>
      </c>
      <c r="F391" s="3267" t="s">
        <v>5951</v>
      </c>
      <c r="G391" s="3267"/>
      <c r="H391" s="3267"/>
      <c r="I391" s="3267"/>
      <c r="J391" s="3267" t="s">
        <v>3173</v>
      </c>
      <c r="K391" s="3268" t="s">
        <v>5952</v>
      </c>
      <c r="L391" s="3267">
        <v>61.21</v>
      </c>
      <c r="M391" s="3267">
        <v>2</v>
      </c>
      <c r="N391" s="3267" t="s">
        <v>3122</v>
      </c>
      <c r="O391" s="3267"/>
      <c r="P391" s="3267" t="s">
        <v>2963</v>
      </c>
      <c r="Q391" s="3267">
        <v>560000</v>
      </c>
      <c r="R391" s="3267">
        <v>9149</v>
      </c>
      <c r="S391" s="3272">
        <v>48.28</v>
      </c>
      <c r="T391" s="3273">
        <v>482800</v>
      </c>
      <c r="U391" s="3267">
        <v>7888</v>
      </c>
      <c r="V391" s="3274">
        <v>0.2</v>
      </c>
      <c r="W391" s="3272">
        <v>38.619999999999997</v>
      </c>
      <c r="X391" s="3275">
        <v>386200</v>
      </c>
      <c r="Y391" s="3267">
        <v>2006</v>
      </c>
      <c r="Z391" s="3267">
        <v>12</v>
      </c>
      <c r="AA391" s="3276">
        <v>1</v>
      </c>
      <c r="AB391" s="3267">
        <v>1445</v>
      </c>
      <c r="AC391" s="3267" t="s">
        <v>2980</v>
      </c>
      <c r="AD391" s="3269" t="s">
        <v>5953</v>
      </c>
      <c r="AE391" s="3267" t="s">
        <v>3069</v>
      </c>
      <c r="AF391" s="3267" t="s">
        <v>2966</v>
      </c>
      <c r="AG391" s="3267" t="s">
        <v>2967</v>
      </c>
      <c r="AH391" s="3267"/>
      <c r="AI391" s="3267" t="s">
        <v>2992</v>
      </c>
      <c r="AJ391" s="3284"/>
      <c r="AK391" s="3267" t="s">
        <v>3120</v>
      </c>
      <c r="AL391" s="3267" t="s">
        <v>5954</v>
      </c>
      <c r="AM391" s="3267"/>
      <c r="AN391" s="3267" t="s">
        <v>3131</v>
      </c>
      <c r="AO391" s="3267" t="s">
        <v>5955</v>
      </c>
      <c r="AP391" s="3267" t="s">
        <v>3069</v>
      </c>
      <c r="AQ391" s="3276" t="s">
        <v>3113</v>
      </c>
      <c r="AR391" s="3267">
        <v>2006</v>
      </c>
      <c r="AS391" s="3267">
        <v>12</v>
      </c>
      <c r="AT391" s="3267">
        <v>1</v>
      </c>
      <c r="AU391" s="3267"/>
      <c r="AV391" s="3267"/>
      <c r="AW391" s="3267" t="s">
        <v>3112</v>
      </c>
      <c r="AX391" s="3267"/>
      <c r="AY391" s="3269"/>
      <c r="AZ391" s="3268" t="s">
        <v>5952</v>
      </c>
      <c r="BA391" s="3267"/>
      <c r="BB391" s="3267"/>
      <c r="BC391" s="3267"/>
      <c r="BD391" s="3267"/>
      <c r="BE391" s="3267"/>
      <c r="BF391" s="3267"/>
      <c r="BG391" s="3307">
        <v>39036</v>
      </c>
      <c r="BH391" s="3267"/>
      <c r="BI391" s="3267" t="s">
        <v>3069</v>
      </c>
      <c r="BJ391" s="3307">
        <v>39042</v>
      </c>
      <c r="BK391" s="3283"/>
      <c r="BL391" s="3267" t="s">
        <v>2998</v>
      </c>
      <c r="BM391" s="3267" t="s">
        <v>2879</v>
      </c>
      <c r="BN391" s="3267" t="s">
        <v>2999</v>
      </c>
      <c r="BO391" s="3267" t="s">
        <v>3000</v>
      </c>
      <c r="BP391" s="3267"/>
      <c r="BQ391" s="3276" t="e">
        <v>#DIV/0!</v>
      </c>
      <c r="BR391" s="3276" t="e">
        <v>#DIV/0!</v>
      </c>
      <c r="BS391" s="3285"/>
      <c r="BT391" s="3285"/>
      <c r="BU391" s="3285"/>
    </row>
    <row r="392" spans="1:245" hidden="1">
      <c r="A392" s="3267" t="s">
        <v>5956</v>
      </c>
      <c r="B392" s="3267" t="s">
        <v>5957</v>
      </c>
      <c r="C392" s="3269" t="s">
        <v>5958</v>
      </c>
      <c r="D392" s="3269" t="s">
        <v>5959</v>
      </c>
      <c r="E392" s="3268" t="s">
        <v>2985</v>
      </c>
      <c r="F392" s="3268" t="s">
        <v>3563</v>
      </c>
      <c r="G392" s="3267"/>
      <c r="H392" s="3267" t="s">
        <v>5960</v>
      </c>
      <c r="I392" s="3268"/>
      <c r="J392" s="3267" t="s">
        <v>5961</v>
      </c>
      <c r="K392" s="3267" t="s">
        <v>5962</v>
      </c>
      <c r="L392" s="3267">
        <v>83.16</v>
      </c>
      <c r="M392" s="3270">
        <v>4</v>
      </c>
      <c r="N392" s="3267" t="s">
        <v>3152</v>
      </c>
      <c r="O392" s="3267">
        <v>67.22</v>
      </c>
      <c r="P392" s="3267" t="s">
        <v>2963</v>
      </c>
      <c r="Q392" s="3271">
        <v>328482</v>
      </c>
      <c r="R392" s="3267">
        <v>3950</v>
      </c>
      <c r="S392" s="3272">
        <v>32.840000000000003</v>
      </c>
      <c r="T392" s="3273">
        <v>328400.00000000006</v>
      </c>
      <c r="U392" s="3267">
        <v>3950</v>
      </c>
      <c r="V392" s="3289">
        <v>0.2</v>
      </c>
      <c r="W392" s="3272">
        <v>26.27</v>
      </c>
      <c r="X392" s="3275">
        <v>262700</v>
      </c>
      <c r="Y392" s="3276">
        <v>2006</v>
      </c>
      <c r="Z392" s="3276">
        <v>11</v>
      </c>
      <c r="AA392" s="3276">
        <v>22</v>
      </c>
      <c r="AB392" s="3267">
        <v>985</v>
      </c>
      <c r="AC392" s="3267" t="s">
        <v>3110</v>
      </c>
      <c r="AD392" s="3269"/>
      <c r="AE392" s="3279" t="s">
        <v>3344</v>
      </c>
      <c r="AF392" s="3268" t="s">
        <v>2966</v>
      </c>
      <c r="AG392" s="3279" t="s">
        <v>5571</v>
      </c>
      <c r="AH392" s="3267"/>
      <c r="AI392" s="3279" t="s">
        <v>2992</v>
      </c>
      <c r="AJ392" s="3284"/>
      <c r="AK392" s="3278" t="s">
        <v>3137</v>
      </c>
      <c r="AL392" s="3276">
        <v>54</v>
      </c>
      <c r="AM392" s="3267"/>
      <c r="AN392" s="3279" t="s">
        <v>2994</v>
      </c>
      <c r="AO392" s="3267" t="s">
        <v>5963</v>
      </c>
      <c r="AP392" s="3279" t="s">
        <v>3305</v>
      </c>
      <c r="AQ392" s="3267" t="s">
        <v>3113</v>
      </c>
      <c r="AR392" s="3276"/>
      <c r="AS392" s="3276"/>
      <c r="AT392" s="3276"/>
      <c r="AU392" s="3276"/>
      <c r="AV392" s="3276" t="s">
        <v>2968</v>
      </c>
      <c r="AW392" s="3276" t="s">
        <v>3171</v>
      </c>
      <c r="AX392" s="3276"/>
      <c r="AY392" s="3291"/>
      <c r="AZ392" s="3267" t="s">
        <v>5962</v>
      </c>
      <c r="BA392" s="3296"/>
      <c r="BB392" s="3297"/>
      <c r="BC392" s="3296"/>
      <c r="BD392" s="3296"/>
      <c r="BE392" s="3276">
        <v>13701083171</v>
      </c>
      <c r="BF392" s="3281" t="s">
        <v>2968</v>
      </c>
      <c r="BG392" s="3293">
        <v>39027</v>
      </c>
      <c r="BH392" s="3267" t="s">
        <v>2998</v>
      </c>
      <c r="BI392" s="3314" t="s">
        <v>3305</v>
      </c>
      <c r="BJ392" s="3283"/>
      <c r="BK392" s="3283"/>
      <c r="BL392" s="3267" t="s">
        <v>3249</v>
      </c>
      <c r="BM392" s="3276" t="s">
        <v>2879</v>
      </c>
      <c r="BN392" s="3276" t="s">
        <v>2999</v>
      </c>
      <c r="BO392" s="3276" t="s">
        <v>3146</v>
      </c>
      <c r="BP392" s="3276"/>
      <c r="BQ392" s="3276">
        <v>4885</v>
      </c>
      <c r="BR392" s="3276">
        <v>4887</v>
      </c>
      <c r="BS392" s="3285"/>
      <c r="BT392" s="3285"/>
      <c r="BU392" s="3285"/>
    </row>
    <row r="393" spans="1:245" hidden="1">
      <c r="A393" s="3267" t="s">
        <v>5964</v>
      </c>
      <c r="B393" s="3267" t="s">
        <v>5965</v>
      </c>
      <c r="C393" s="3269" t="s">
        <v>5966</v>
      </c>
      <c r="D393" s="3269" t="s">
        <v>5967</v>
      </c>
      <c r="E393" s="3268" t="s">
        <v>2985</v>
      </c>
      <c r="F393" s="3268" t="s">
        <v>3813</v>
      </c>
      <c r="G393" s="3267"/>
      <c r="H393" s="3267" t="s">
        <v>5272</v>
      </c>
      <c r="I393" s="3268"/>
      <c r="J393" s="3267" t="s">
        <v>5968</v>
      </c>
      <c r="K393" s="3267" t="s">
        <v>5969</v>
      </c>
      <c r="L393" s="3267">
        <v>69.33</v>
      </c>
      <c r="M393" s="3267">
        <v>9</v>
      </c>
      <c r="N393" s="3267" t="s">
        <v>3152</v>
      </c>
      <c r="O393" s="3267">
        <v>54.71</v>
      </c>
      <c r="P393" s="3267" t="s">
        <v>2963</v>
      </c>
      <c r="Q393" s="3271">
        <v>530000</v>
      </c>
      <c r="R393" s="3288">
        <v>7645</v>
      </c>
      <c r="S393" s="3272">
        <v>45.06</v>
      </c>
      <c r="T393" s="3273">
        <v>450600</v>
      </c>
      <c r="U393" s="3267">
        <v>6500</v>
      </c>
      <c r="V393" s="3289">
        <v>0.2</v>
      </c>
      <c r="W393" s="3272">
        <v>36.04</v>
      </c>
      <c r="X393" s="3273">
        <v>360400</v>
      </c>
      <c r="Y393" s="3267">
        <v>2006</v>
      </c>
      <c r="Z393" s="3276">
        <v>12</v>
      </c>
      <c r="AA393" s="3276">
        <v>27</v>
      </c>
      <c r="AB393" s="3267">
        <v>1350</v>
      </c>
      <c r="AC393" s="3267" t="s">
        <v>2980</v>
      </c>
      <c r="AD393" s="3280" t="s">
        <v>5970</v>
      </c>
      <c r="AE393" s="3276" t="s">
        <v>3245</v>
      </c>
      <c r="AF393" s="3268" t="s">
        <v>2966</v>
      </c>
      <c r="AG393" s="3279" t="s">
        <v>2967</v>
      </c>
      <c r="AH393" s="3267" t="s">
        <v>2968</v>
      </c>
      <c r="AI393" s="3279" t="s">
        <v>2992</v>
      </c>
      <c r="AJ393" s="3284"/>
      <c r="AK393" s="3278" t="s">
        <v>3120</v>
      </c>
      <c r="AL393" s="3276">
        <v>55</v>
      </c>
      <c r="AM393" s="3267"/>
      <c r="AN393" s="3279" t="s">
        <v>3099</v>
      </c>
      <c r="AO393" s="3267" t="s">
        <v>5971</v>
      </c>
      <c r="AP393" s="3279" t="s">
        <v>3305</v>
      </c>
      <c r="AQ393" s="3276" t="s">
        <v>3113</v>
      </c>
      <c r="AR393" s="3276"/>
      <c r="AS393" s="3276"/>
      <c r="AT393" s="3276"/>
      <c r="AU393" s="3276"/>
      <c r="AV393" s="3276" t="s">
        <v>2968</v>
      </c>
      <c r="AW393" s="3276" t="s">
        <v>3119</v>
      </c>
      <c r="AX393" s="3276"/>
      <c r="AY393" s="3291"/>
      <c r="AZ393" s="3267" t="s">
        <v>5969</v>
      </c>
      <c r="BA393" s="3296"/>
      <c r="BB393" s="3297"/>
      <c r="BC393" s="3296"/>
      <c r="BD393" s="3298"/>
      <c r="BE393" s="3276">
        <v>13811602583</v>
      </c>
      <c r="BF393" s="3281"/>
      <c r="BG393" s="3293">
        <v>39036</v>
      </c>
      <c r="BH393" s="3354" t="s">
        <v>2998</v>
      </c>
      <c r="BI393" s="3314" t="s">
        <v>3305</v>
      </c>
      <c r="BJ393" s="3283">
        <v>39049</v>
      </c>
      <c r="BK393" s="3283"/>
      <c r="BL393" s="3267" t="s">
        <v>3249</v>
      </c>
      <c r="BM393" s="3276" t="s">
        <v>2879</v>
      </c>
      <c r="BN393" s="3276" t="s">
        <v>3111</v>
      </c>
      <c r="BO393" s="3276" t="s">
        <v>3000</v>
      </c>
      <c r="BP393" s="3276"/>
      <c r="BQ393" s="3276">
        <v>8236</v>
      </c>
      <c r="BR393" s="3276">
        <v>9687</v>
      </c>
      <c r="BS393" s="3285"/>
      <c r="BT393" s="3285"/>
      <c r="BU393" s="3285"/>
    </row>
    <row r="394" spans="1:245" hidden="1">
      <c r="A394" s="3267" t="s">
        <v>5972</v>
      </c>
      <c r="B394" s="3267" t="s">
        <v>5973</v>
      </c>
      <c r="C394" s="3269" t="s">
        <v>5974</v>
      </c>
      <c r="D394" s="3269" t="s">
        <v>5975</v>
      </c>
      <c r="E394" s="3268" t="s">
        <v>2985</v>
      </c>
      <c r="F394" s="3268" t="s">
        <v>3813</v>
      </c>
      <c r="G394" s="3267"/>
      <c r="H394" s="3267" t="s">
        <v>5314</v>
      </c>
      <c r="I394" s="3268" t="s">
        <v>5976</v>
      </c>
      <c r="J394" s="3267" t="s">
        <v>3126</v>
      </c>
      <c r="K394" s="3267" t="s">
        <v>5977</v>
      </c>
      <c r="L394" s="3267">
        <v>107.35</v>
      </c>
      <c r="M394" s="3270">
        <v>6</v>
      </c>
      <c r="N394" s="3267" t="s">
        <v>5978</v>
      </c>
      <c r="O394" s="3267">
        <v>94.59</v>
      </c>
      <c r="P394" s="3267" t="s">
        <v>3495</v>
      </c>
      <c r="Q394" s="3271">
        <v>670000</v>
      </c>
      <c r="R394" s="3267">
        <v>6241</v>
      </c>
      <c r="S394" s="3272">
        <v>69.680000000000007</v>
      </c>
      <c r="T394" s="3273">
        <v>696800.00000000012</v>
      </c>
      <c r="U394" s="3267">
        <v>6491</v>
      </c>
      <c r="V394" s="3289">
        <v>0.3</v>
      </c>
      <c r="W394" s="3272">
        <v>48.77</v>
      </c>
      <c r="X394" s="3275">
        <v>487700.00000000006</v>
      </c>
      <c r="Y394" s="3276">
        <v>2006</v>
      </c>
      <c r="Z394" s="3276">
        <v>11</v>
      </c>
      <c r="AA394" s="3276">
        <v>22</v>
      </c>
      <c r="AB394" s="3267">
        <v>1500</v>
      </c>
      <c r="AC394" s="3267" t="s">
        <v>3110</v>
      </c>
      <c r="AD394" s="3269"/>
      <c r="AE394" s="3279" t="s">
        <v>3344</v>
      </c>
      <c r="AF394" s="3268" t="s">
        <v>2966</v>
      </c>
      <c r="AG394" s="3279" t="s">
        <v>2967</v>
      </c>
      <c r="AH394" s="3267" t="s">
        <v>5979</v>
      </c>
      <c r="AI394" s="3279" t="s">
        <v>2992</v>
      </c>
      <c r="AJ394" s="3284"/>
      <c r="AK394" s="3278" t="s">
        <v>3137</v>
      </c>
      <c r="AL394" s="3276">
        <v>42</v>
      </c>
      <c r="AM394" s="3267"/>
      <c r="AN394" s="3279" t="s">
        <v>2994</v>
      </c>
      <c r="AO394" s="3267" t="s">
        <v>5980</v>
      </c>
      <c r="AP394" s="3279" t="s">
        <v>3305</v>
      </c>
      <c r="AQ394" s="3267" t="s">
        <v>3113</v>
      </c>
      <c r="AR394" s="3276"/>
      <c r="AS394" s="3276"/>
      <c r="AT394" s="3276"/>
      <c r="AU394" s="3276"/>
      <c r="AV394" s="3276" t="s">
        <v>2968</v>
      </c>
      <c r="AW394" s="3276" t="s">
        <v>3171</v>
      </c>
      <c r="AX394" s="3276"/>
      <c r="AY394" s="3291"/>
      <c r="AZ394" s="3267" t="s">
        <v>5977</v>
      </c>
      <c r="BA394" s="3296"/>
      <c r="BB394" s="3297"/>
      <c r="BC394" s="3296"/>
      <c r="BD394" s="3296"/>
      <c r="BE394" s="3276" t="s">
        <v>5981</v>
      </c>
      <c r="BF394" s="3281" t="s">
        <v>2968</v>
      </c>
      <c r="BG394" s="3293">
        <v>39026</v>
      </c>
      <c r="BH394" s="3267" t="s">
        <v>2998</v>
      </c>
      <c r="BI394" s="3314" t="s">
        <v>3305</v>
      </c>
      <c r="BJ394" s="3283"/>
      <c r="BK394" s="3283"/>
      <c r="BL394" s="3267" t="s">
        <v>3249</v>
      </c>
      <c r="BM394" s="3276" t="s">
        <v>2879</v>
      </c>
      <c r="BN394" s="3276" t="s">
        <v>2999</v>
      </c>
      <c r="BO394" s="3276" t="s">
        <v>3146</v>
      </c>
      <c r="BP394" s="3276"/>
      <c r="BQ394" s="3276">
        <v>7367</v>
      </c>
      <c r="BR394" s="3276">
        <v>7083</v>
      </c>
      <c r="BS394" s="3285"/>
      <c r="BT394" s="3285"/>
      <c r="BU394" s="3285"/>
    </row>
    <row r="395" spans="1:245" hidden="1">
      <c r="A395" s="3267" t="s">
        <v>5982</v>
      </c>
      <c r="B395" s="3267" t="s">
        <v>5983</v>
      </c>
      <c r="C395" s="3269" t="s">
        <v>5984</v>
      </c>
      <c r="D395" s="3269" t="s">
        <v>5985</v>
      </c>
      <c r="E395" s="3268" t="s">
        <v>2985</v>
      </c>
      <c r="F395" s="3268" t="s">
        <v>5986</v>
      </c>
      <c r="G395" s="3267"/>
      <c r="H395" s="3267" t="s">
        <v>3150</v>
      </c>
      <c r="I395" s="3268" t="s">
        <v>3586</v>
      </c>
      <c r="J395" s="3267" t="s">
        <v>3815</v>
      </c>
      <c r="K395" s="3267" t="s">
        <v>5987</v>
      </c>
      <c r="L395" s="3267">
        <v>70.67</v>
      </c>
      <c r="M395" s="3270">
        <v>3</v>
      </c>
      <c r="N395" s="3267" t="s">
        <v>5249</v>
      </c>
      <c r="O395" s="3267"/>
      <c r="P395" s="3267" t="s">
        <v>2963</v>
      </c>
      <c r="Q395" s="3271">
        <v>660000</v>
      </c>
      <c r="R395" s="3267">
        <v>9339</v>
      </c>
      <c r="S395" s="3272">
        <v>55.58</v>
      </c>
      <c r="T395" s="3273">
        <v>555800</v>
      </c>
      <c r="U395" s="3267">
        <v>7866</v>
      </c>
      <c r="V395" s="3289">
        <v>0.2</v>
      </c>
      <c r="W395" s="3272">
        <v>44.46</v>
      </c>
      <c r="X395" s="3275">
        <v>444600</v>
      </c>
      <c r="Y395" s="3276">
        <v>2006</v>
      </c>
      <c r="Z395" s="3276">
        <v>11</v>
      </c>
      <c r="AA395" s="3276">
        <v>22</v>
      </c>
      <c r="AB395" s="3267">
        <v>1500</v>
      </c>
      <c r="AC395" s="3267" t="s">
        <v>3110</v>
      </c>
      <c r="AD395" s="3269"/>
      <c r="AE395" s="3279" t="s">
        <v>3295</v>
      </c>
      <c r="AF395" s="3268" t="s">
        <v>2966</v>
      </c>
      <c r="AG395" s="3279" t="s">
        <v>2967</v>
      </c>
      <c r="AH395" s="3267"/>
      <c r="AI395" s="3279" t="s">
        <v>2992</v>
      </c>
      <c r="AJ395" s="3284"/>
      <c r="AK395" s="3278" t="s">
        <v>3137</v>
      </c>
      <c r="AL395" s="3276">
        <v>29</v>
      </c>
      <c r="AM395" s="3267" t="s">
        <v>2968</v>
      </c>
      <c r="AN395" s="3279" t="s">
        <v>2994</v>
      </c>
      <c r="AO395" s="3267" t="s">
        <v>5988</v>
      </c>
      <c r="AP395" s="3279" t="s">
        <v>3305</v>
      </c>
      <c r="AQ395" s="3267" t="s">
        <v>3113</v>
      </c>
      <c r="AR395" s="3276"/>
      <c r="AS395" s="3276"/>
      <c r="AT395" s="3276"/>
      <c r="AU395" s="3276"/>
      <c r="AV395" s="3276"/>
      <c r="AW395" s="3276" t="s">
        <v>3112</v>
      </c>
      <c r="AX395" s="3276"/>
      <c r="AY395" s="3291"/>
      <c r="AZ395" s="3267" t="s">
        <v>5987</v>
      </c>
      <c r="BA395" s="3296"/>
      <c r="BB395" s="3297"/>
      <c r="BC395" s="3296"/>
      <c r="BD395" s="3296"/>
      <c r="BE395" s="3276" t="s">
        <v>5989</v>
      </c>
      <c r="BF395" s="3281"/>
      <c r="BG395" s="3293">
        <v>39011</v>
      </c>
      <c r="BH395" s="3267" t="s">
        <v>2998</v>
      </c>
      <c r="BI395" s="3314" t="s">
        <v>3305</v>
      </c>
      <c r="BJ395" s="3283"/>
      <c r="BK395" s="3283"/>
      <c r="BL395" s="3267" t="s">
        <v>3249</v>
      </c>
      <c r="BM395" s="3276" t="s">
        <v>3345</v>
      </c>
      <c r="BN395" s="3276" t="s">
        <v>2999</v>
      </c>
      <c r="BO395" s="3276" t="s">
        <v>3000</v>
      </c>
      <c r="BP395" s="3276"/>
      <c r="BQ395" s="3276" t="e">
        <v>#DIV/0!</v>
      </c>
      <c r="BR395" s="3276" t="e">
        <v>#DIV/0!</v>
      </c>
      <c r="BS395" s="3285"/>
      <c r="BT395" s="3285"/>
      <c r="BU395" s="3285"/>
    </row>
    <row r="396" spans="1:245" hidden="1">
      <c r="A396" s="3267" t="s">
        <v>5990</v>
      </c>
      <c r="B396" s="3267" t="s">
        <v>5991</v>
      </c>
      <c r="C396" s="3269" t="s">
        <v>5992</v>
      </c>
      <c r="D396" s="3267">
        <v>13621252868</v>
      </c>
      <c r="E396" s="3267" t="s">
        <v>2985</v>
      </c>
      <c r="F396" s="3267" t="s">
        <v>5993</v>
      </c>
      <c r="G396" s="3267"/>
      <c r="H396" s="3267"/>
      <c r="I396" s="3267"/>
      <c r="J396" s="3267" t="s">
        <v>5994</v>
      </c>
      <c r="K396" s="3268" t="s">
        <v>5995</v>
      </c>
      <c r="L396" s="3267">
        <v>137.87</v>
      </c>
      <c r="M396" s="3267">
        <v>2</v>
      </c>
      <c r="N396" s="3267" t="s">
        <v>3129</v>
      </c>
      <c r="O396" s="3267"/>
      <c r="P396" s="3267" t="s">
        <v>2963</v>
      </c>
      <c r="Q396" s="3267">
        <v>847000</v>
      </c>
      <c r="R396" s="3267">
        <v>6143</v>
      </c>
      <c r="S396" s="3272">
        <v>69.650000000000006</v>
      </c>
      <c r="T396" s="3273">
        <v>696500</v>
      </c>
      <c r="U396" s="3267">
        <v>5052</v>
      </c>
      <c r="V396" s="3274">
        <v>0.3</v>
      </c>
      <c r="W396" s="3272">
        <v>48.75</v>
      </c>
      <c r="X396" s="3275">
        <v>487500</v>
      </c>
      <c r="Y396" s="3267">
        <v>2006</v>
      </c>
      <c r="Z396" s="3267">
        <v>11</v>
      </c>
      <c r="AA396" s="3276">
        <v>22</v>
      </c>
      <c r="AB396" s="3267">
        <v>1500</v>
      </c>
      <c r="AC396" s="3267" t="s">
        <v>3110</v>
      </c>
      <c r="AD396" s="3269"/>
      <c r="AE396" s="3267" t="s">
        <v>3069</v>
      </c>
      <c r="AF396" s="3267" t="s">
        <v>2966</v>
      </c>
      <c r="AG396" s="3267" t="s">
        <v>2967</v>
      </c>
      <c r="AH396" s="3267"/>
      <c r="AI396" s="3267" t="s">
        <v>2992</v>
      </c>
      <c r="AJ396" s="3284"/>
      <c r="AK396" s="3267" t="s">
        <v>3137</v>
      </c>
      <c r="AL396" s="3267" t="s">
        <v>5996</v>
      </c>
      <c r="AM396" s="3267"/>
      <c r="AN396" s="3267" t="s">
        <v>2994</v>
      </c>
      <c r="AO396" s="3267"/>
      <c r="AP396" s="3267" t="s">
        <v>3069</v>
      </c>
      <c r="AQ396" s="3276" t="s">
        <v>2996</v>
      </c>
      <c r="AR396" s="3267"/>
      <c r="AS396" s="3267"/>
      <c r="AT396" s="3267"/>
      <c r="AU396" s="3267"/>
      <c r="AV396" s="3267"/>
      <c r="AW396" s="3267" t="s">
        <v>3112</v>
      </c>
      <c r="AX396" s="3267"/>
      <c r="AY396" s="3269"/>
      <c r="AZ396" s="3268" t="s">
        <v>5995</v>
      </c>
      <c r="BA396" s="3267"/>
      <c r="BB396" s="3267"/>
      <c r="BC396" s="3267"/>
      <c r="BD396" s="3267"/>
      <c r="BE396" s="3267"/>
      <c r="BF396" s="3267"/>
      <c r="BG396" s="3307">
        <v>39014</v>
      </c>
      <c r="BH396" s="3267"/>
      <c r="BI396" s="3267" t="s">
        <v>3069</v>
      </c>
      <c r="BJ396" s="3307"/>
      <c r="BK396" s="3283"/>
      <c r="BL396" s="3267" t="s">
        <v>2998</v>
      </c>
      <c r="BM396" s="3267" t="s">
        <v>2879</v>
      </c>
      <c r="BN396" s="3267" t="s">
        <v>2999</v>
      </c>
      <c r="BO396" s="3267" t="s">
        <v>3000</v>
      </c>
      <c r="BP396" s="3267"/>
      <c r="BQ396" s="3276" t="e">
        <v>#DIV/0!</v>
      </c>
      <c r="BR396" s="3276" t="e">
        <v>#DIV/0!</v>
      </c>
      <c r="BS396" s="3285"/>
      <c r="BT396" s="3285"/>
      <c r="BU396" s="3285"/>
    </row>
    <row r="397" spans="1:245" hidden="1">
      <c r="A397" s="3267" t="s">
        <v>5997</v>
      </c>
      <c r="B397" s="3267" t="s">
        <v>5998</v>
      </c>
      <c r="C397" s="3269" t="s">
        <v>5999</v>
      </c>
      <c r="D397" s="3269" t="s">
        <v>6000</v>
      </c>
      <c r="E397" s="3267" t="s">
        <v>2985</v>
      </c>
      <c r="F397" s="3244" t="s">
        <v>3533</v>
      </c>
      <c r="G397" s="3267"/>
      <c r="H397" s="3267" t="s">
        <v>3178</v>
      </c>
      <c r="I397" s="3267"/>
      <c r="J397" s="3269" t="s">
        <v>4136</v>
      </c>
      <c r="K397" s="3267" t="s">
        <v>6001</v>
      </c>
      <c r="L397" s="3267">
        <v>99.43</v>
      </c>
      <c r="M397" s="3267">
        <v>10</v>
      </c>
      <c r="N397" s="3267" t="s">
        <v>3122</v>
      </c>
      <c r="O397" s="3267">
        <v>77.41</v>
      </c>
      <c r="P397" s="3267" t="s">
        <v>2963</v>
      </c>
      <c r="Q397" s="3271">
        <v>626409</v>
      </c>
      <c r="R397" s="3288">
        <v>6300</v>
      </c>
      <c r="S397" s="3272">
        <v>85.01</v>
      </c>
      <c r="T397" s="3273">
        <v>850100</v>
      </c>
      <c r="U397" s="3267">
        <v>8550</v>
      </c>
      <c r="V397" s="3289">
        <v>0.3</v>
      </c>
      <c r="W397" s="3272">
        <v>59.5</v>
      </c>
      <c r="X397" s="3273">
        <v>595000</v>
      </c>
      <c r="Y397" s="3276">
        <v>2006</v>
      </c>
      <c r="Z397" s="3276">
        <v>11</v>
      </c>
      <c r="AA397" s="3276">
        <v>28</v>
      </c>
      <c r="AB397" s="3267">
        <v>1500</v>
      </c>
      <c r="AC397" s="3267" t="s">
        <v>2980</v>
      </c>
      <c r="AD397" s="3269" t="s">
        <v>6002</v>
      </c>
      <c r="AE397" s="3276" t="s">
        <v>3180</v>
      </c>
      <c r="AF397" s="3267" t="s">
        <v>2966</v>
      </c>
      <c r="AG397" s="3279" t="s">
        <v>2967</v>
      </c>
      <c r="AH397" s="3267" t="s">
        <v>2968</v>
      </c>
      <c r="AI397" s="3279" t="s">
        <v>2992</v>
      </c>
      <c r="AJ397" s="3284"/>
      <c r="AK397" s="3316" t="s">
        <v>3137</v>
      </c>
      <c r="AL397" s="3276">
        <v>60</v>
      </c>
      <c r="AM397" s="3276"/>
      <c r="AN397" s="3276" t="s">
        <v>2994</v>
      </c>
      <c r="AO397" s="3276" t="s">
        <v>6003</v>
      </c>
      <c r="AP397" s="3276" t="s">
        <v>3180</v>
      </c>
      <c r="AQ397" s="3267" t="s">
        <v>3228</v>
      </c>
      <c r="AR397" s="3276"/>
      <c r="AS397" s="3276"/>
      <c r="AT397" s="3276"/>
      <c r="AU397" s="3276"/>
      <c r="AV397" s="3276" t="s">
        <v>2968</v>
      </c>
      <c r="AW397" s="3276" t="s">
        <v>3112</v>
      </c>
      <c r="AX397" s="3276"/>
      <c r="AY397" s="3291"/>
      <c r="AZ397" s="3276" t="s">
        <v>6001</v>
      </c>
      <c r="BA397" s="3276"/>
      <c r="BB397" s="3291"/>
      <c r="BC397" s="3276"/>
      <c r="BD397" s="3292"/>
      <c r="BE397" s="3276"/>
      <c r="BF397" s="3281"/>
      <c r="BG397" s="3299">
        <v>39007</v>
      </c>
      <c r="BH397" s="3276"/>
      <c r="BI397" s="3276" t="s">
        <v>3180</v>
      </c>
      <c r="BJ397" s="3283">
        <v>39043</v>
      </c>
      <c r="BK397" s="3283"/>
      <c r="BL397" s="3267" t="s">
        <v>2998</v>
      </c>
      <c r="BM397" s="3267" t="s">
        <v>2879</v>
      </c>
      <c r="BN397" s="3276" t="s">
        <v>2999</v>
      </c>
      <c r="BO397" s="3276" t="s">
        <v>3146</v>
      </c>
      <c r="BP397" s="3276"/>
      <c r="BQ397" s="3276">
        <v>10982</v>
      </c>
      <c r="BR397" s="3276">
        <v>8092</v>
      </c>
      <c r="BS397" s="3285"/>
      <c r="BT397" s="3285"/>
      <c r="BU397" s="3285"/>
    </row>
    <row r="398" spans="1:245" hidden="1">
      <c r="A398" s="3267" t="s">
        <v>6004</v>
      </c>
      <c r="B398" s="3267" t="s">
        <v>6005</v>
      </c>
      <c r="C398" s="3269" t="s">
        <v>6006</v>
      </c>
      <c r="D398" s="3267">
        <v>13910208720</v>
      </c>
      <c r="E398" s="3267" t="s">
        <v>2985</v>
      </c>
      <c r="F398" s="3267" t="s">
        <v>6007</v>
      </c>
      <c r="G398" s="3267"/>
      <c r="H398" s="3267"/>
      <c r="I398" s="3267"/>
      <c r="J398" s="3267" t="s">
        <v>6008</v>
      </c>
      <c r="K398" s="3268" t="s">
        <v>6009</v>
      </c>
      <c r="L398" s="3267">
        <v>52.35</v>
      </c>
      <c r="M398" s="3267">
        <v>5</v>
      </c>
      <c r="N398" s="3267" t="s">
        <v>3152</v>
      </c>
      <c r="O398" s="3267"/>
      <c r="P398" s="3267" t="s">
        <v>2963</v>
      </c>
      <c r="Q398" s="3267">
        <v>490000</v>
      </c>
      <c r="R398" s="3267">
        <v>9360</v>
      </c>
      <c r="S398" s="3272">
        <v>40.36</v>
      </c>
      <c r="T398" s="3273">
        <v>403600</v>
      </c>
      <c r="U398" s="3267">
        <v>7711</v>
      </c>
      <c r="V398" s="3274">
        <v>0.2</v>
      </c>
      <c r="W398" s="3272">
        <v>32.28</v>
      </c>
      <c r="X398" s="3275">
        <v>322800</v>
      </c>
      <c r="Y398" s="3267">
        <v>2006</v>
      </c>
      <c r="Z398" s="3267">
        <v>12</v>
      </c>
      <c r="AA398" s="3276">
        <v>18</v>
      </c>
      <c r="AB398" s="3267">
        <v>1210</v>
      </c>
      <c r="AC398" s="3267" t="s">
        <v>2980</v>
      </c>
      <c r="AD398" s="3269" t="s">
        <v>6010</v>
      </c>
      <c r="AE398" s="3267" t="s">
        <v>3069</v>
      </c>
      <c r="AF398" s="3267" t="s">
        <v>2966</v>
      </c>
      <c r="AG398" s="3267" t="s">
        <v>2967</v>
      </c>
      <c r="AH398" s="3267"/>
      <c r="AI398" s="3267" t="s">
        <v>2992</v>
      </c>
      <c r="AJ398" s="3284"/>
      <c r="AK398" s="3267" t="s">
        <v>3120</v>
      </c>
      <c r="AL398" s="3267" t="s">
        <v>6011</v>
      </c>
      <c r="AM398" s="3267"/>
      <c r="AN398" s="3267" t="s">
        <v>2994</v>
      </c>
      <c r="AO398" s="3267"/>
      <c r="AP398" s="3267" t="s">
        <v>3069</v>
      </c>
      <c r="AQ398" s="3276" t="s">
        <v>3113</v>
      </c>
      <c r="AR398" s="3267">
        <v>2006</v>
      </c>
      <c r="AS398" s="3267">
        <v>12</v>
      </c>
      <c r="AT398" s="3267">
        <v>18</v>
      </c>
      <c r="AU398" s="3267"/>
      <c r="AV398" s="3267"/>
      <c r="AW398" s="3267" t="s">
        <v>3112</v>
      </c>
      <c r="AX398" s="3267"/>
      <c r="AY398" s="3269"/>
      <c r="AZ398" s="3268" t="s">
        <v>6009</v>
      </c>
      <c r="BA398" s="3267"/>
      <c r="BB398" s="3267"/>
      <c r="BC398" s="3267"/>
      <c r="BD398" s="3267"/>
      <c r="BE398" s="3267"/>
      <c r="BF398" s="3267"/>
      <c r="BG398" s="3307">
        <v>39043</v>
      </c>
      <c r="BH398" s="3267"/>
      <c r="BI398" s="3279" t="s">
        <v>3069</v>
      </c>
      <c r="BJ398" s="3307">
        <v>39056</v>
      </c>
      <c r="BK398" s="3283"/>
      <c r="BL398" s="3267" t="s">
        <v>2998</v>
      </c>
      <c r="BM398" s="3267" t="s">
        <v>2879</v>
      </c>
      <c r="BN398" s="3267" t="s">
        <v>2999</v>
      </c>
      <c r="BO398" s="3267" t="s">
        <v>3000</v>
      </c>
      <c r="BP398" s="3267"/>
      <c r="BQ398" s="3276" t="e">
        <v>#DIV/0!</v>
      </c>
      <c r="BR398" s="3276" t="e">
        <v>#DIV/0!</v>
      </c>
      <c r="BS398" s="3285"/>
      <c r="BT398" s="3285"/>
      <c r="BU398" s="3285"/>
    </row>
    <row r="399" spans="1:245" hidden="1">
      <c r="A399" s="3267" t="s">
        <v>6012</v>
      </c>
      <c r="B399" s="3267" t="s">
        <v>6013</v>
      </c>
      <c r="C399" s="3269" t="s">
        <v>6014</v>
      </c>
      <c r="D399" s="3267">
        <v>13671228659</v>
      </c>
      <c r="E399" s="3267" t="s">
        <v>2985</v>
      </c>
      <c r="F399" s="3267" t="s">
        <v>6015</v>
      </c>
      <c r="G399" s="3267"/>
      <c r="H399" s="3267"/>
      <c r="I399" s="3267"/>
      <c r="J399" s="3267"/>
      <c r="K399" s="3268" t="s">
        <v>6016</v>
      </c>
      <c r="L399" s="3267">
        <v>66.23</v>
      </c>
      <c r="M399" s="3267">
        <v>5</v>
      </c>
      <c r="N399" s="3267" t="s">
        <v>3122</v>
      </c>
      <c r="O399" s="3267"/>
      <c r="P399" s="3267" t="s">
        <v>2963</v>
      </c>
      <c r="Q399" s="3267">
        <v>430000</v>
      </c>
      <c r="R399" s="3267">
        <v>6493</v>
      </c>
      <c r="S399" s="3272">
        <v>42.77</v>
      </c>
      <c r="T399" s="3273">
        <v>427700.00000000006</v>
      </c>
      <c r="U399" s="3267">
        <v>6459</v>
      </c>
      <c r="V399" s="3274">
        <v>0.2</v>
      </c>
      <c r="W399" s="3272">
        <v>34.21</v>
      </c>
      <c r="X399" s="3275">
        <v>342100</v>
      </c>
      <c r="Y399" s="3267">
        <v>2006</v>
      </c>
      <c r="Z399" s="3267">
        <v>11</v>
      </c>
      <c r="AA399" s="3276">
        <v>24</v>
      </c>
      <c r="AB399" s="3267">
        <v>1280</v>
      </c>
      <c r="AC399" s="3267" t="s">
        <v>3110</v>
      </c>
      <c r="AD399" s="3269"/>
      <c r="AE399" s="3267" t="s">
        <v>3069</v>
      </c>
      <c r="AF399" s="3267" t="s">
        <v>2966</v>
      </c>
      <c r="AG399" s="3267" t="s">
        <v>2967</v>
      </c>
      <c r="AH399" s="3267"/>
      <c r="AI399" s="3267" t="s">
        <v>2992</v>
      </c>
      <c r="AJ399" s="3284"/>
      <c r="AK399" s="3267" t="s">
        <v>3137</v>
      </c>
      <c r="AL399" s="3267" t="s">
        <v>5873</v>
      </c>
      <c r="AM399" s="3267"/>
      <c r="AN399" s="3267" t="s">
        <v>2994</v>
      </c>
      <c r="AO399" s="3267"/>
      <c r="AP399" s="3267" t="s">
        <v>3069</v>
      </c>
      <c r="AQ399" s="3267" t="s">
        <v>3113</v>
      </c>
      <c r="AR399" s="3267"/>
      <c r="AS399" s="3267"/>
      <c r="AT399" s="3267"/>
      <c r="AU399" s="3267"/>
      <c r="AV399" s="3267"/>
      <c r="AW399" s="3267" t="s">
        <v>3112</v>
      </c>
      <c r="AX399" s="3267"/>
      <c r="AY399" s="3269"/>
      <c r="AZ399" s="3268" t="s">
        <v>6016</v>
      </c>
      <c r="BA399" s="3267"/>
      <c r="BB399" s="3267"/>
      <c r="BC399" s="3267"/>
      <c r="BD399" s="3267"/>
      <c r="BE399" s="3267"/>
      <c r="BF399" s="3267"/>
      <c r="BG399" s="3307">
        <v>38981</v>
      </c>
      <c r="BH399" s="3267"/>
      <c r="BI399" s="3267" t="s">
        <v>3069</v>
      </c>
      <c r="BJ399" s="3307"/>
      <c r="BK399" s="3283"/>
      <c r="BL399" s="3267" t="s">
        <v>2998</v>
      </c>
      <c r="BM399" s="3267" t="s">
        <v>2879</v>
      </c>
      <c r="BN399" s="3267" t="s">
        <v>2999</v>
      </c>
      <c r="BO399" s="3267" t="s">
        <v>3000</v>
      </c>
      <c r="BP399" s="3267"/>
      <c r="BQ399" s="3276" t="e">
        <v>#DIV/0!</v>
      </c>
      <c r="BR399" s="3276" t="e">
        <v>#DIV/0!</v>
      </c>
      <c r="BS399" s="3285"/>
      <c r="BT399" s="3285"/>
      <c r="BU399" s="3285"/>
    </row>
    <row r="400" spans="1:245" hidden="1">
      <c r="A400" s="3267" t="s">
        <v>6017</v>
      </c>
      <c r="B400" s="3267" t="s">
        <v>6018</v>
      </c>
      <c r="C400" s="3269" t="s">
        <v>6019</v>
      </c>
      <c r="D400" s="3269" t="s">
        <v>6020</v>
      </c>
      <c r="E400" s="3268" t="s">
        <v>2985</v>
      </c>
      <c r="F400" s="3268" t="s">
        <v>4373</v>
      </c>
      <c r="G400" s="3267"/>
      <c r="H400" s="3267" t="s">
        <v>3263</v>
      </c>
      <c r="I400" s="3268" t="s">
        <v>3254</v>
      </c>
      <c r="J400" s="3268" t="s">
        <v>3437</v>
      </c>
      <c r="K400" s="3267" t="s">
        <v>6021</v>
      </c>
      <c r="L400" s="3267">
        <v>77.239999999999995</v>
      </c>
      <c r="M400" s="3267">
        <v>4</v>
      </c>
      <c r="N400" s="3267" t="s">
        <v>3098</v>
      </c>
      <c r="O400" s="3267"/>
      <c r="P400" s="3267" t="s">
        <v>2963</v>
      </c>
      <c r="Q400" s="3271">
        <v>700000</v>
      </c>
      <c r="R400" s="3267">
        <v>9063</v>
      </c>
      <c r="S400" s="3272">
        <v>58.46</v>
      </c>
      <c r="T400" s="3273">
        <v>584600</v>
      </c>
      <c r="U400" s="3267">
        <v>7569</v>
      </c>
      <c r="V400" s="3289">
        <v>0.2</v>
      </c>
      <c r="W400" s="3272">
        <v>46.76</v>
      </c>
      <c r="X400" s="3275">
        <v>467600</v>
      </c>
      <c r="Y400" s="3276">
        <v>2006</v>
      </c>
      <c r="Z400" s="3276">
        <v>12</v>
      </c>
      <c r="AA400" s="3276">
        <v>1</v>
      </c>
      <c r="AB400" s="3267">
        <v>1500</v>
      </c>
      <c r="AC400" s="3267" t="s">
        <v>2980</v>
      </c>
      <c r="AD400" s="3366">
        <v>91302006111762</v>
      </c>
      <c r="AE400" s="3279" t="s">
        <v>2991</v>
      </c>
      <c r="AF400" s="3268"/>
      <c r="AG400" s="3279" t="s">
        <v>2967</v>
      </c>
      <c r="AH400" s="3267"/>
      <c r="AI400" s="3279" t="s">
        <v>2992</v>
      </c>
      <c r="AJ400" s="3284"/>
      <c r="AK400" s="3278" t="s">
        <v>3120</v>
      </c>
      <c r="AL400" s="3276">
        <v>41</v>
      </c>
      <c r="AM400" s="3276"/>
      <c r="AN400" s="3279" t="s">
        <v>3131</v>
      </c>
      <c r="AO400" s="3267"/>
      <c r="AP400" s="3279" t="s">
        <v>2991</v>
      </c>
      <c r="AQ400" s="3276" t="s">
        <v>2996</v>
      </c>
      <c r="AR400" s="3276"/>
      <c r="AS400" s="3276"/>
      <c r="AT400" s="3276"/>
      <c r="AU400" s="3276"/>
      <c r="AV400" s="3276"/>
      <c r="AW400" s="3276" t="s">
        <v>2997</v>
      </c>
      <c r="AX400" s="3276"/>
      <c r="AY400" s="3291"/>
      <c r="AZ400" s="3267" t="s">
        <v>6021</v>
      </c>
      <c r="BA400" s="3296"/>
      <c r="BB400" s="3297"/>
      <c r="BC400" s="3296"/>
      <c r="BD400" s="3298"/>
      <c r="BE400" s="3276"/>
      <c r="BF400" s="3281"/>
      <c r="BG400" s="3293">
        <v>39047</v>
      </c>
      <c r="BH400" s="3267"/>
      <c r="BI400" s="3279" t="s">
        <v>2991</v>
      </c>
      <c r="BJ400" s="3299">
        <v>39050</v>
      </c>
      <c r="BK400" s="3283" t="s">
        <v>2968</v>
      </c>
      <c r="BL400" s="3267" t="s">
        <v>2998</v>
      </c>
      <c r="BM400" s="3276" t="s">
        <v>2879</v>
      </c>
      <c r="BN400" s="3276" t="s">
        <v>2999</v>
      </c>
      <c r="BO400" s="3276" t="s">
        <v>3146</v>
      </c>
      <c r="BP400" s="3276"/>
      <c r="BQ400" s="3276" t="e">
        <v>#DIV/0!</v>
      </c>
      <c r="BR400" s="3276" t="e">
        <v>#DIV/0!</v>
      </c>
      <c r="BS400" s="3285"/>
      <c r="BT400" s="3285"/>
      <c r="BU400" s="3285"/>
      <c r="BW400" s="3262" t="s">
        <v>3262</v>
      </c>
      <c r="BX400" s="3262" t="s">
        <v>3262</v>
      </c>
      <c r="BY400" s="3262" t="s">
        <v>3262</v>
      </c>
      <c r="BZ400" s="3262" t="s">
        <v>3262</v>
      </c>
      <c r="CA400" s="3262" t="s">
        <v>3262</v>
      </c>
      <c r="CB400" s="3262" t="s">
        <v>3262</v>
      </c>
      <c r="CC400" s="3262" t="s">
        <v>3262</v>
      </c>
      <c r="CD400" s="3262" t="s">
        <v>3262</v>
      </c>
      <c r="CE400" s="3262" t="s">
        <v>3262</v>
      </c>
      <c r="CF400" s="3262" t="s">
        <v>3262</v>
      </c>
      <c r="CG400" s="3262" t="s">
        <v>3262</v>
      </c>
      <c r="CH400" s="3262" t="s">
        <v>3262</v>
      </c>
      <c r="CI400" s="3262" t="s">
        <v>3262</v>
      </c>
      <c r="CJ400" s="3262" t="s">
        <v>3262</v>
      </c>
      <c r="CK400" s="3262" t="s">
        <v>3262</v>
      </c>
      <c r="CL400" s="3262" t="s">
        <v>3262</v>
      </c>
      <c r="CM400" s="3262" t="s">
        <v>3262</v>
      </c>
      <c r="CN400" s="3262" t="s">
        <v>3262</v>
      </c>
      <c r="CO400" s="3262" t="s">
        <v>3262</v>
      </c>
      <c r="CP400" s="3262" t="s">
        <v>3262</v>
      </c>
      <c r="CQ400" s="3262" t="s">
        <v>3262</v>
      </c>
      <c r="CR400" s="3262" t="s">
        <v>3262</v>
      </c>
      <c r="CS400" s="3262" t="s">
        <v>3262</v>
      </c>
      <c r="CT400" s="3262" t="s">
        <v>3262</v>
      </c>
      <c r="CU400" s="3262" t="s">
        <v>3262</v>
      </c>
      <c r="CV400" s="3262" t="s">
        <v>3262</v>
      </c>
      <c r="CW400" s="3262" t="s">
        <v>3262</v>
      </c>
      <c r="CX400" s="3262" t="s">
        <v>3262</v>
      </c>
      <c r="CY400" s="3262" t="s">
        <v>3262</v>
      </c>
      <c r="CZ400" s="3262" t="s">
        <v>3262</v>
      </c>
      <c r="DA400" s="3262" t="s">
        <v>3262</v>
      </c>
      <c r="DB400" s="3262" t="s">
        <v>3262</v>
      </c>
      <c r="DC400" s="3262" t="s">
        <v>3262</v>
      </c>
      <c r="DD400" s="3262" t="s">
        <v>3262</v>
      </c>
      <c r="DE400" s="3262" t="s">
        <v>3262</v>
      </c>
      <c r="DF400" s="3262" t="s">
        <v>3262</v>
      </c>
      <c r="DG400" s="3262" t="s">
        <v>3262</v>
      </c>
      <c r="DH400" s="3262" t="s">
        <v>3262</v>
      </c>
      <c r="DI400" s="3262" t="s">
        <v>3262</v>
      </c>
      <c r="DJ400" s="3262" t="s">
        <v>3262</v>
      </c>
      <c r="DK400" s="3262" t="s">
        <v>3262</v>
      </c>
      <c r="DL400" s="3262" t="s">
        <v>3262</v>
      </c>
      <c r="DM400" s="3262" t="s">
        <v>3262</v>
      </c>
      <c r="DN400" s="3262" t="s">
        <v>3262</v>
      </c>
      <c r="DO400" s="3262" t="s">
        <v>3262</v>
      </c>
      <c r="DP400" s="3262" t="s">
        <v>3262</v>
      </c>
      <c r="DQ400" s="3262" t="s">
        <v>3262</v>
      </c>
      <c r="DR400" s="3262" t="s">
        <v>3262</v>
      </c>
      <c r="DS400" s="3262" t="s">
        <v>3262</v>
      </c>
      <c r="DT400" s="3262" t="s">
        <v>3262</v>
      </c>
      <c r="DU400" s="3262" t="s">
        <v>3262</v>
      </c>
      <c r="DV400" s="3262" t="s">
        <v>3262</v>
      </c>
      <c r="DW400" s="3262" t="s">
        <v>3262</v>
      </c>
      <c r="DX400" s="3262" t="s">
        <v>3262</v>
      </c>
      <c r="DY400" s="3262" t="s">
        <v>3262</v>
      </c>
      <c r="DZ400" s="3262" t="s">
        <v>3262</v>
      </c>
      <c r="EA400" s="3262" t="s">
        <v>3262</v>
      </c>
      <c r="EB400" s="3262" t="s">
        <v>3262</v>
      </c>
      <c r="EC400" s="3262" t="s">
        <v>3262</v>
      </c>
      <c r="ED400" s="3262" t="s">
        <v>3262</v>
      </c>
      <c r="EE400" s="3262" t="s">
        <v>3262</v>
      </c>
      <c r="EF400" s="3262" t="s">
        <v>3262</v>
      </c>
      <c r="EG400" s="3262" t="s">
        <v>3262</v>
      </c>
      <c r="EH400" s="3262" t="s">
        <v>3262</v>
      </c>
      <c r="EI400" s="3262" t="s">
        <v>3262</v>
      </c>
      <c r="EJ400" s="3262" t="s">
        <v>3262</v>
      </c>
      <c r="EK400" s="3262" t="s">
        <v>3262</v>
      </c>
      <c r="EL400" s="3262" t="s">
        <v>3262</v>
      </c>
      <c r="EM400" s="3262" t="s">
        <v>3262</v>
      </c>
      <c r="EN400" s="3262" t="s">
        <v>3262</v>
      </c>
      <c r="EO400" s="3262" t="s">
        <v>3262</v>
      </c>
      <c r="EP400" s="3262" t="s">
        <v>3262</v>
      </c>
      <c r="EQ400" s="3262" t="s">
        <v>3262</v>
      </c>
      <c r="ER400" s="3262" t="s">
        <v>3262</v>
      </c>
      <c r="ES400" s="3262" t="s">
        <v>3262</v>
      </c>
      <c r="ET400" s="3262" t="s">
        <v>3262</v>
      </c>
      <c r="EU400" s="3262" t="s">
        <v>3262</v>
      </c>
      <c r="EV400" s="3262" t="s">
        <v>3262</v>
      </c>
      <c r="EW400" s="3262" t="s">
        <v>3262</v>
      </c>
      <c r="EX400" s="3262" t="s">
        <v>3262</v>
      </c>
      <c r="EY400" s="3262" t="s">
        <v>3262</v>
      </c>
      <c r="EZ400" s="3262" t="s">
        <v>3262</v>
      </c>
      <c r="FA400" s="3262" t="s">
        <v>3262</v>
      </c>
      <c r="FB400" s="3262" t="s">
        <v>3262</v>
      </c>
      <c r="FC400" s="3262" t="s">
        <v>3262</v>
      </c>
      <c r="FD400" s="3262" t="s">
        <v>3262</v>
      </c>
      <c r="FE400" s="3262" t="s">
        <v>3262</v>
      </c>
      <c r="FF400" s="3262" t="s">
        <v>3262</v>
      </c>
      <c r="FG400" s="3262" t="s">
        <v>3262</v>
      </c>
      <c r="FH400" s="3262" t="s">
        <v>3262</v>
      </c>
      <c r="FI400" s="3262" t="s">
        <v>3262</v>
      </c>
      <c r="FJ400" s="3262" t="s">
        <v>3262</v>
      </c>
      <c r="FK400" s="3262" t="s">
        <v>3262</v>
      </c>
      <c r="FL400" s="3262" t="s">
        <v>3262</v>
      </c>
      <c r="FM400" s="3262" t="s">
        <v>3262</v>
      </c>
      <c r="FN400" s="3262" t="s">
        <v>3262</v>
      </c>
      <c r="FO400" s="3262" t="s">
        <v>3262</v>
      </c>
      <c r="FP400" s="3262" t="s">
        <v>3262</v>
      </c>
      <c r="FQ400" s="3262" t="s">
        <v>3262</v>
      </c>
      <c r="FR400" s="3262" t="s">
        <v>3262</v>
      </c>
      <c r="FS400" s="3262" t="s">
        <v>3262</v>
      </c>
      <c r="FT400" s="3262" t="s">
        <v>3262</v>
      </c>
      <c r="FU400" s="3262" t="s">
        <v>3262</v>
      </c>
      <c r="FV400" s="3262" t="s">
        <v>3262</v>
      </c>
      <c r="FW400" s="3262" t="s">
        <v>3262</v>
      </c>
      <c r="FX400" s="3262" t="s">
        <v>3262</v>
      </c>
      <c r="FY400" s="3262" t="s">
        <v>3262</v>
      </c>
      <c r="FZ400" s="3262" t="s">
        <v>3262</v>
      </c>
      <c r="GA400" s="3262" t="s">
        <v>3262</v>
      </c>
      <c r="GB400" s="3262" t="s">
        <v>3262</v>
      </c>
      <c r="GC400" s="3262" t="s">
        <v>3262</v>
      </c>
      <c r="GD400" s="3262" t="s">
        <v>3262</v>
      </c>
      <c r="GE400" s="3262" t="s">
        <v>3262</v>
      </c>
      <c r="GF400" s="3262" t="s">
        <v>3262</v>
      </c>
      <c r="GG400" s="3262" t="s">
        <v>3262</v>
      </c>
      <c r="GH400" s="3262" t="s">
        <v>3262</v>
      </c>
      <c r="GI400" s="3262" t="s">
        <v>3262</v>
      </c>
      <c r="GJ400" s="3262" t="s">
        <v>3262</v>
      </c>
      <c r="GK400" s="3262" t="s">
        <v>3262</v>
      </c>
      <c r="GL400" s="3262" t="s">
        <v>3262</v>
      </c>
      <c r="GM400" s="3262" t="s">
        <v>3262</v>
      </c>
      <c r="GN400" s="3262" t="s">
        <v>3262</v>
      </c>
      <c r="GO400" s="3262" t="s">
        <v>3262</v>
      </c>
      <c r="GP400" s="3262" t="s">
        <v>3262</v>
      </c>
      <c r="GQ400" s="3262" t="s">
        <v>3262</v>
      </c>
      <c r="GR400" s="3262" t="s">
        <v>3262</v>
      </c>
      <c r="GS400" s="3262" t="s">
        <v>3262</v>
      </c>
      <c r="GT400" s="3262" t="s">
        <v>3262</v>
      </c>
      <c r="GU400" s="3262" t="s">
        <v>3262</v>
      </c>
      <c r="GV400" s="3262" t="s">
        <v>3262</v>
      </c>
      <c r="GW400" s="3262" t="s">
        <v>3262</v>
      </c>
      <c r="GX400" s="3262" t="s">
        <v>3262</v>
      </c>
      <c r="GY400" s="3262" t="s">
        <v>3262</v>
      </c>
      <c r="GZ400" s="3262" t="s">
        <v>3262</v>
      </c>
      <c r="HA400" s="3262" t="s">
        <v>3262</v>
      </c>
      <c r="HB400" s="3262" t="s">
        <v>3262</v>
      </c>
      <c r="HC400" s="3262" t="s">
        <v>3262</v>
      </c>
      <c r="HD400" s="3262" t="s">
        <v>3262</v>
      </c>
      <c r="HE400" s="3262" t="s">
        <v>3262</v>
      </c>
      <c r="HF400" s="3262" t="s">
        <v>3262</v>
      </c>
      <c r="HG400" s="3262" t="s">
        <v>3262</v>
      </c>
      <c r="HH400" s="3262" t="s">
        <v>3262</v>
      </c>
      <c r="HI400" s="3262" t="s">
        <v>3262</v>
      </c>
      <c r="HJ400" s="3262" t="s">
        <v>3262</v>
      </c>
      <c r="HK400" s="3262" t="s">
        <v>3262</v>
      </c>
      <c r="HL400" s="3262" t="s">
        <v>3262</v>
      </c>
      <c r="HM400" s="3262" t="s">
        <v>3262</v>
      </c>
      <c r="HN400" s="3262" t="s">
        <v>3262</v>
      </c>
      <c r="HO400" s="3262" t="s">
        <v>3262</v>
      </c>
      <c r="HP400" s="3262" t="s">
        <v>3262</v>
      </c>
      <c r="HQ400" s="3262" t="s">
        <v>3262</v>
      </c>
      <c r="HR400" s="3262" t="s">
        <v>3262</v>
      </c>
      <c r="HS400" s="3262" t="s">
        <v>3262</v>
      </c>
      <c r="HT400" s="3262" t="s">
        <v>3262</v>
      </c>
      <c r="HU400" s="3262" t="s">
        <v>3262</v>
      </c>
      <c r="HV400" s="3262" t="s">
        <v>3262</v>
      </c>
      <c r="HW400" s="3262" t="s">
        <v>3262</v>
      </c>
      <c r="HX400" s="3262" t="s">
        <v>3262</v>
      </c>
      <c r="HY400" s="3262" t="s">
        <v>3262</v>
      </c>
      <c r="HZ400" s="3262" t="s">
        <v>3262</v>
      </c>
      <c r="IA400" s="3262" t="s">
        <v>3262</v>
      </c>
      <c r="IB400" s="3262" t="s">
        <v>3262</v>
      </c>
      <c r="IC400" s="3262" t="s">
        <v>3262</v>
      </c>
      <c r="ID400" s="3262" t="s">
        <v>3262</v>
      </c>
      <c r="IE400" s="3262" t="s">
        <v>3262</v>
      </c>
      <c r="IF400" s="3262" t="s">
        <v>3262</v>
      </c>
      <c r="IG400" s="3262" t="s">
        <v>3262</v>
      </c>
      <c r="IH400" s="3262" t="s">
        <v>3262</v>
      </c>
      <c r="II400" s="3262" t="s">
        <v>3262</v>
      </c>
      <c r="IJ400" s="3262" t="s">
        <v>3262</v>
      </c>
      <c r="IK400" s="3262" t="s">
        <v>3262</v>
      </c>
    </row>
    <row r="401" spans="1:245" hidden="1">
      <c r="A401" s="3267" t="s">
        <v>6022</v>
      </c>
      <c r="B401" s="3267" t="s">
        <v>6023</v>
      </c>
      <c r="C401" s="3269" t="s">
        <v>6024</v>
      </c>
      <c r="D401" s="3269" t="s">
        <v>6025</v>
      </c>
      <c r="E401" s="3268" t="s">
        <v>2985</v>
      </c>
      <c r="F401" s="3268" t="s">
        <v>3733</v>
      </c>
      <c r="G401" s="3267"/>
      <c r="H401" s="3268" t="s">
        <v>3169</v>
      </c>
      <c r="I401" s="3268"/>
      <c r="J401" s="3267" t="s">
        <v>6026</v>
      </c>
      <c r="K401" s="3267" t="s">
        <v>6027</v>
      </c>
      <c r="L401" s="3267">
        <v>55.81</v>
      </c>
      <c r="M401" s="3267">
        <v>5</v>
      </c>
      <c r="N401" s="3267" t="s">
        <v>3122</v>
      </c>
      <c r="O401" s="3267"/>
      <c r="P401" s="3267" t="s">
        <v>2963</v>
      </c>
      <c r="Q401" s="3271">
        <v>440000</v>
      </c>
      <c r="R401" s="3267">
        <v>7884</v>
      </c>
      <c r="S401" s="3272">
        <v>36.08</v>
      </c>
      <c r="T401" s="3273">
        <v>360800</v>
      </c>
      <c r="U401" s="3267">
        <v>6466</v>
      </c>
      <c r="V401" s="3289">
        <v>0.2</v>
      </c>
      <c r="W401" s="3272">
        <v>28.86</v>
      </c>
      <c r="X401" s="3275">
        <v>288600</v>
      </c>
      <c r="Y401" s="3276">
        <v>2006</v>
      </c>
      <c r="Z401" s="3276">
        <v>12</v>
      </c>
      <c r="AA401" s="3276">
        <v>8</v>
      </c>
      <c r="AB401" s="3267">
        <v>1080</v>
      </c>
      <c r="AC401" s="3267" t="s">
        <v>2980</v>
      </c>
      <c r="AD401" s="3269" t="s">
        <v>6028</v>
      </c>
      <c r="AE401" s="3279" t="s">
        <v>3344</v>
      </c>
      <c r="AF401" s="3268" t="s">
        <v>2966</v>
      </c>
      <c r="AG401" s="3279" t="s">
        <v>2967</v>
      </c>
      <c r="AH401" s="3267"/>
      <c r="AI401" s="3279" t="s">
        <v>2992</v>
      </c>
      <c r="AJ401" s="3284"/>
      <c r="AK401" s="3278" t="s">
        <v>3120</v>
      </c>
      <c r="AL401" s="3276">
        <v>37</v>
      </c>
      <c r="AM401" s="3276"/>
      <c r="AN401" s="3279" t="s">
        <v>3140</v>
      </c>
      <c r="AO401" s="3267" t="s">
        <v>6029</v>
      </c>
      <c r="AP401" s="3279" t="s">
        <v>3305</v>
      </c>
      <c r="AQ401" s="3267" t="s">
        <v>3228</v>
      </c>
      <c r="AR401" s="3276"/>
      <c r="AS401" s="3276"/>
      <c r="AT401" s="3276"/>
      <c r="AU401" s="3276"/>
      <c r="AV401" s="3276" t="s">
        <v>2968</v>
      </c>
      <c r="AW401" s="3267" t="s">
        <v>3171</v>
      </c>
      <c r="AX401" s="3276"/>
      <c r="AY401" s="3291"/>
      <c r="AZ401" s="3267" t="s">
        <v>6027</v>
      </c>
      <c r="BA401" s="3296"/>
      <c r="BB401" s="3297"/>
      <c r="BC401" s="3296"/>
      <c r="BD401" s="3298"/>
      <c r="BE401" s="3276"/>
      <c r="BF401" s="3281" t="s">
        <v>2968</v>
      </c>
      <c r="BG401" s="3293">
        <v>39047</v>
      </c>
      <c r="BH401" s="3267" t="s">
        <v>2998</v>
      </c>
      <c r="BI401" s="3279" t="s">
        <v>3305</v>
      </c>
      <c r="BJ401" s="3293">
        <v>39050</v>
      </c>
      <c r="BK401" s="3283"/>
      <c r="BL401" s="3267" t="s">
        <v>3249</v>
      </c>
      <c r="BM401" s="3276" t="s">
        <v>2879</v>
      </c>
      <c r="BN401" s="3276" t="s">
        <v>2999</v>
      </c>
      <c r="BO401" s="3276" t="s">
        <v>3146</v>
      </c>
      <c r="BP401" s="3276"/>
      <c r="BQ401" s="3276" t="e">
        <v>#DIV/0!</v>
      </c>
      <c r="BR401" s="3276" t="e">
        <v>#DIV/0!</v>
      </c>
      <c r="BS401" s="3285"/>
      <c r="BT401" s="3285"/>
      <c r="BU401" s="3285"/>
    </row>
    <row r="402" spans="1:245" hidden="1">
      <c r="A402" s="3267" t="s">
        <v>6030</v>
      </c>
      <c r="B402" s="3267" t="s">
        <v>6031</v>
      </c>
      <c r="C402" s="3269" t="s">
        <v>6032</v>
      </c>
      <c r="D402" s="3269" t="s">
        <v>6033</v>
      </c>
      <c r="E402" s="3268" t="s">
        <v>2985</v>
      </c>
      <c r="F402" s="3268" t="s">
        <v>4675</v>
      </c>
      <c r="G402" s="3267"/>
      <c r="H402" s="3267" t="s">
        <v>6034</v>
      </c>
      <c r="I402" s="3268" t="s">
        <v>4038</v>
      </c>
      <c r="J402" s="3267" t="s">
        <v>6035</v>
      </c>
      <c r="K402" s="3267" t="s">
        <v>6036</v>
      </c>
      <c r="L402" s="3267">
        <v>64.150000000000006</v>
      </c>
      <c r="M402" s="3267">
        <v>2</v>
      </c>
      <c r="N402" s="3267" t="s">
        <v>3122</v>
      </c>
      <c r="O402" s="3267"/>
      <c r="P402" s="3267" t="s">
        <v>2963</v>
      </c>
      <c r="Q402" s="3271">
        <v>510000</v>
      </c>
      <c r="R402" s="3267">
        <v>7950</v>
      </c>
      <c r="S402" s="3272">
        <v>36.5</v>
      </c>
      <c r="T402" s="3273">
        <v>365000</v>
      </c>
      <c r="U402" s="3267">
        <v>5690</v>
      </c>
      <c r="V402" s="3289">
        <v>0.2</v>
      </c>
      <c r="W402" s="3272">
        <v>29.2</v>
      </c>
      <c r="X402" s="3275">
        <v>292000</v>
      </c>
      <c r="Y402" s="3276">
        <v>2006</v>
      </c>
      <c r="Z402" s="3276">
        <v>12</v>
      </c>
      <c r="AA402" s="3276">
        <v>27</v>
      </c>
      <c r="AB402" s="3267">
        <v>1095</v>
      </c>
      <c r="AC402" s="3267" t="s">
        <v>2980</v>
      </c>
      <c r="AD402" s="3269" t="s">
        <v>6037</v>
      </c>
      <c r="AE402" s="3276" t="s">
        <v>3180</v>
      </c>
      <c r="AF402" s="3267" t="s">
        <v>2966</v>
      </c>
      <c r="AG402" s="3279" t="s">
        <v>2967</v>
      </c>
      <c r="AH402" s="3267"/>
      <c r="AI402" s="3279" t="s">
        <v>2992</v>
      </c>
      <c r="AJ402" s="3284"/>
      <c r="AK402" s="3278" t="s">
        <v>3120</v>
      </c>
      <c r="AL402" s="3276">
        <v>38</v>
      </c>
      <c r="AM402" s="3276"/>
      <c r="AN402" s="3279" t="s">
        <v>3099</v>
      </c>
      <c r="AO402" s="3267" t="s">
        <v>6038</v>
      </c>
      <c r="AP402" s="3279" t="s">
        <v>3305</v>
      </c>
      <c r="AQ402" s="3276" t="s">
        <v>3113</v>
      </c>
      <c r="AR402" s="3276"/>
      <c r="AS402" s="3276"/>
      <c r="AT402" s="3276"/>
      <c r="AU402" s="3276"/>
      <c r="AV402" s="3276" t="s">
        <v>2968</v>
      </c>
      <c r="AW402" s="3276" t="s">
        <v>3171</v>
      </c>
      <c r="AX402" s="3276"/>
      <c r="AY402" s="3291"/>
      <c r="AZ402" s="3267" t="s">
        <v>6036</v>
      </c>
      <c r="BA402" s="3296"/>
      <c r="BB402" s="3297"/>
      <c r="BC402" s="3296"/>
      <c r="BD402" s="3298"/>
      <c r="BE402" s="3276"/>
      <c r="BF402" s="3281"/>
      <c r="BG402" s="3293">
        <v>39047</v>
      </c>
      <c r="BH402" s="3267" t="s">
        <v>2998</v>
      </c>
      <c r="BI402" s="3314" t="s">
        <v>3305</v>
      </c>
      <c r="BJ402" s="3283">
        <v>39051</v>
      </c>
      <c r="BK402" s="3283"/>
      <c r="BL402" s="3267" t="s">
        <v>3249</v>
      </c>
      <c r="BM402" s="3276" t="s">
        <v>2879</v>
      </c>
      <c r="BN402" s="3276" t="s">
        <v>2999</v>
      </c>
      <c r="BO402" s="3276" t="s">
        <v>3146</v>
      </c>
      <c r="BP402" s="3276"/>
      <c r="BQ402" s="3276" t="e">
        <v>#DIV/0!</v>
      </c>
      <c r="BR402" s="3276" t="e">
        <v>#DIV/0!</v>
      </c>
      <c r="BS402" s="3285"/>
      <c r="BT402" s="3285"/>
      <c r="BU402" s="3285"/>
    </row>
    <row r="403" spans="1:245" hidden="1">
      <c r="A403" s="3267" t="s">
        <v>6039</v>
      </c>
      <c r="B403" s="3267" t="s">
        <v>6040</v>
      </c>
      <c r="C403" s="3269" t="s">
        <v>6041</v>
      </c>
      <c r="D403" s="3269" t="s">
        <v>6042</v>
      </c>
      <c r="E403" s="3268" t="s">
        <v>2985</v>
      </c>
      <c r="F403" s="3268" t="s">
        <v>3764</v>
      </c>
      <c r="G403" s="3267"/>
      <c r="H403" s="3268" t="s">
        <v>3130</v>
      </c>
      <c r="I403" s="3268" t="s">
        <v>3608</v>
      </c>
      <c r="J403" s="3267" t="s">
        <v>3123</v>
      </c>
      <c r="K403" s="3267" t="s">
        <v>6043</v>
      </c>
      <c r="L403" s="3267">
        <v>53.84</v>
      </c>
      <c r="M403" s="3267">
        <v>4</v>
      </c>
      <c r="N403" s="3267" t="s">
        <v>3122</v>
      </c>
      <c r="O403" s="3267"/>
      <c r="P403" s="3267" t="s">
        <v>2963</v>
      </c>
      <c r="Q403" s="3271">
        <v>420000</v>
      </c>
      <c r="R403" s="3267">
        <v>7801</v>
      </c>
      <c r="S403" s="3272">
        <v>35.299999999999997</v>
      </c>
      <c r="T403" s="3273">
        <v>353000</v>
      </c>
      <c r="U403" s="3267">
        <v>6558</v>
      </c>
      <c r="V403" s="3289">
        <v>0.2</v>
      </c>
      <c r="W403" s="3272">
        <v>28.24</v>
      </c>
      <c r="X403" s="3275">
        <v>282400</v>
      </c>
      <c r="Y403" s="3276">
        <v>2006</v>
      </c>
      <c r="Z403" s="3276">
        <v>12</v>
      </c>
      <c r="AA403" s="3276">
        <v>18</v>
      </c>
      <c r="AB403" s="3267">
        <v>1055</v>
      </c>
      <c r="AC403" s="3267" t="s">
        <v>2980</v>
      </c>
      <c r="AD403" s="3269" t="s">
        <v>6044</v>
      </c>
      <c r="AE403" s="3279" t="s">
        <v>3344</v>
      </c>
      <c r="AF403" s="3268" t="s">
        <v>2966</v>
      </c>
      <c r="AG403" s="3279" t="s">
        <v>2967</v>
      </c>
      <c r="AH403" s="3267"/>
      <c r="AI403" s="3279" t="s">
        <v>2992</v>
      </c>
      <c r="AJ403" s="3284"/>
      <c r="AK403" s="3278" t="s">
        <v>3120</v>
      </c>
      <c r="AL403" s="3276">
        <v>29</v>
      </c>
      <c r="AM403" s="3276"/>
      <c r="AN403" s="3279" t="s">
        <v>2994</v>
      </c>
      <c r="AO403" s="3267" t="s">
        <v>6045</v>
      </c>
      <c r="AP403" s="3279" t="s">
        <v>3305</v>
      </c>
      <c r="AQ403" s="3276" t="s">
        <v>3113</v>
      </c>
      <c r="AR403" s="3276"/>
      <c r="AS403" s="3276"/>
      <c r="AT403" s="3276"/>
      <c r="AU403" s="3276"/>
      <c r="AV403" s="3276" t="s">
        <v>2968</v>
      </c>
      <c r="AW403" s="3267" t="s">
        <v>3171</v>
      </c>
      <c r="AX403" s="3276"/>
      <c r="AY403" s="3291"/>
      <c r="AZ403" s="3267" t="s">
        <v>6043</v>
      </c>
      <c r="BA403" s="3296"/>
      <c r="BB403" s="3297"/>
      <c r="BC403" s="3296"/>
      <c r="BD403" s="3298"/>
      <c r="BE403" s="3276"/>
      <c r="BF403" s="3281" t="s">
        <v>2968</v>
      </c>
      <c r="BG403" s="3293">
        <v>39047</v>
      </c>
      <c r="BH403" s="3267" t="s">
        <v>2998</v>
      </c>
      <c r="BI403" s="3279" t="s">
        <v>3305</v>
      </c>
      <c r="BJ403" s="3293">
        <v>39056</v>
      </c>
      <c r="BK403" s="3283"/>
      <c r="BL403" s="3267" t="s">
        <v>3249</v>
      </c>
      <c r="BM403" s="3276" t="s">
        <v>2879</v>
      </c>
      <c r="BN403" s="3276" t="s">
        <v>2999</v>
      </c>
      <c r="BO403" s="3276" t="s">
        <v>3146</v>
      </c>
      <c r="BP403" s="3276"/>
      <c r="BQ403" s="3276" t="e">
        <v>#DIV/0!</v>
      </c>
      <c r="BR403" s="3276" t="e">
        <v>#DIV/0!</v>
      </c>
      <c r="BS403" s="3285"/>
      <c r="BT403" s="3285"/>
      <c r="BU403" s="3285"/>
    </row>
    <row r="404" spans="1:245" hidden="1">
      <c r="A404" s="3267" t="s">
        <v>6046</v>
      </c>
      <c r="B404" s="3267" t="s">
        <v>5592</v>
      </c>
      <c r="C404" s="3269" t="s">
        <v>6047</v>
      </c>
      <c r="D404" s="3269" t="s">
        <v>6048</v>
      </c>
      <c r="E404" s="3268" t="s">
        <v>2985</v>
      </c>
      <c r="F404" s="3268" t="s">
        <v>6049</v>
      </c>
      <c r="G404" s="3267"/>
      <c r="H404" s="3267" t="s">
        <v>6050</v>
      </c>
      <c r="I404" s="3268" t="s">
        <v>3188</v>
      </c>
      <c r="J404" s="3267" t="s">
        <v>3135</v>
      </c>
      <c r="K404" s="3267" t="s">
        <v>6051</v>
      </c>
      <c r="L404" s="3267">
        <v>89.12</v>
      </c>
      <c r="M404" s="3269">
        <v>3</v>
      </c>
      <c r="N404" s="3267" t="s">
        <v>3098</v>
      </c>
      <c r="O404" s="3267"/>
      <c r="P404" s="3267" t="s">
        <v>2963</v>
      </c>
      <c r="Q404" s="3271">
        <v>800000</v>
      </c>
      <c r="R404" s="3267">
        <v>8977</v>
      </c>
      <c r="S404" s="3272">
        <v>62.86</v>
      </c>
      <c r="T404" s="3273">
        <v>628600</v>
      </c>
      <c r="U404" s="3267">
        <v>7054</v>
      </c>
      <c r="V404" s="3289">
        <v>0.2</v>
      </c>
      <c r="W404" s="3272">
        <v>50.28</v>
      </c>
      <c r="X404" s="3275">
        <v>502800</v>
      </c>
      <c r="Y404" s="3276">
        <v>2006</v>
      </c>
      <c r="Z404" s="3276">
        <v>11</v>
      </c>
      <c r="AA404" s="3276">
        <v>29</v>
      </c>
      <c r="AB404" s="3267">
        <v>1500</v>
      </c>
      <c r="AC404" s="3267" t="s">
        <v>3110</v>
      </c>
      <c r="AD404" s="3269"/>
      <c r="AE404" s="3279" t="s">
        <v>3344</v>
      </c>
      <c r="AF404" s="3268" t="s">
        <v>2966</v>
      </c>
      <c r="AG404" s="3279" t="s">
        <v>2967</v>
      </c>
      <c r="AH404" s="3267"/>
      <c r="AI404" s="3279" t="s">
        <v>2992</v>
      </c>
      <c r="AJ404" s="3284"/>
      <c r="AK404" s="3278" t="s">
        <v>3137</v>
      </c>
      <c r="AL404" s="3276" t="s">
        <v>2968</v>
      </c>
      <c r="AM404" s="3267"/>
      <c r="AN404" s="3279" t="s">
        <v>3099</v>
      </c>
      <c r="AO404" s="3267" t="s">
        <v>6052</v>
      </c>
      <c r="AP404" s="3279" t="s">
        <v>3305</v>
      </c>
      <c r="AQ404" s="3276" t="s">
        <v>2996</v>
      </c>
      <c r="AR404" s="3276"/>
      <c r="AS404" s="3276"/>
      <c r="AT404" s="3276"/>
      <c r="AU404" s="3276"/>
      <c r="AV404" s="3276" t="s">
        <v>2968</v>
      </c>
      <c r="AW404" s="3276" t="s">
        <v>3171</v>
      </c>
      <c r="AX404" s="3276"/>
      <c r="AY404" s="3291"/>
      <c r="AZ404" s="3267" t="s">
        <v>6051</v>
      </c>
      <c r="BA404" s="3296"/>
      <c r="BB404" s="3297"/>
      <c r="BC404" s="3296"/>
      <c r="BD404" s="3296"/>
      <c r="BE404" s="3276">
        <v>64228100</v>
      </c>
      <c r="BF404" s="3281" t="s">
        <v>2968</v>
      </c>
      <c r="BG404" s="3293">
        <v>38972</v>
      </c>
      <c r="BH404" s="3267" t="s">
        <v>2998</v>
      </c>
      <c r="BI404" s="3314" t="s">
        <v>3305</v>
      </c>
      <c r="BJ404" s="3283"/>
      <c r="BK404" s="3283"/>
      <c r="BL404" s="3267" t="s">
        <v>3249</v>
      </c>
      <c r="BM404" s="3276" t="s">
        <v>2879</v>
      </c>
      <c r="BN404" s="3276" t="s">
        <v>2999</v>
      </c>
      <c r="BO404" s="3276" t="s">
        <v>3146</v>
      </c>
      <c r="BP404" s="3276"/>
      <c r="BQ404" s="3276" t="e">
        <v>#DIV/0!</v>
      </c>
      <c r="BR404" s="3276" t="e">
        <v>#DIV/0!</v>
      </c>
      <c r="BS404" s="3285"/>
      <c r="BT404" s="3285"/>
      <c r="BU404" s="3285"/>
    </row>
    <row r="405" spans="1:245" hidden="1">
      <c r="A405" s="3267" t="s">
        <v>6053</v>
      </c>
      <c r="B405" s="3267" t="s">
        <v>6054</v>
      </c>
      <c r="C405" s="3269" t="s">
        <v>6055</v>
      </c>
      <c r="D405" s="3267">
        <v>13911883118</v>
      </c>
      <c r="E405" s="3267" t="s">
        <v>2985</v>
      </c>
      <c r="F405" s="3267" t="s">
        <v>4367</v>
      </c>
      <c r="G405" s="3267"/>
      <c r="H405" s="3267" t="s">
        <v>3182</v>
      </c>
      <c r="I405" s="3267"/>
      <c r="J405" s="3267" t="s">
        <v>6056</v>
      </c>
      <c r="K405" s="3267" t="s">
        <v>6057</v>
      </c>
      <c r="L405" s="3267">
        <v>63.1</v>
      </c>
      <c r="M405" s="3267">
        <v>10</v>
      </c>
      <c r="N405" s="3267" t="s">
        <v>3122</v>
      </c>
      <c r="O405" s="3267"/>
      <c r="P405" s="3267" t="s">
        <v>2963</v>
      </c>
      <c r="Q405" s="3267">
        <v>596500</v>
      </c>
      <c r="R405" s="3288">
        <v>9453</v>
      </c>
      <c r="S405" s="3272">
        <v>47.44</v>
      </c>
      <c r="T405" s="3273">
        <v>474400</v>
      </c>
      <c r="U405" s="3267">
        <v>7519</v>
      </c>
      <c r="V405" s="3274">
        <v>0.2</v>
      </c>
      <c r="W405" s="3272">
        <v>37.950000000000003</v>
      </c>
      <c r="X405" s="3273">
        <v>379500</v>
      </c>
      <c r="Y405" s="3267">
        <v>2006</v>
      </c>
      <c r="Z405" s="3276">
        <v>11</v>
      </c>
      <c r="AA405" s="3276">
        <v>29</v>
      </c>
      <c r="AB405" s="3267">
        <v>1420</v>
      </c>
      <c r="AC405" s="3267" t="s">
        <v>3444</v>
      </c>
      <c r="AD405" s="3269" t="s">
        <v>6058</v>
      </c>
      <c r="AE405" s="3267" t="s">
        <v>3238</v>
      </c>
      <c r="AF405" s="3267" t="s">
        <v>2966</v>
      </c>
      <c r="AG405" s="3267" t="s">
        <v>2967</v>
      </c>
      <c r="AH405" s="3267"/>
      <c r="AI405" s="3267" t="s">
        <v>3295</v>
      </c>
      <c r="AJ405" s="3267"/>
      <c r="AK405" s="3316" t="s">
        <v>3137</v>
      </c>
      <c r="AL405" s="3267">
        <v>47</v>
      </c>
      <c r="AM405" s="3267"/>
      <c r="AN405" s="3279" t="s">
        <v>3099</v>
      </c>
      <c r="AO405" s="3267"/>
      <c r="AP405" s="3267" t="s">
        <v>3537</v>
      </c>
      <c r="AQ405" s="3276" t="s">
        <v>2996</v>
      </c>
      <c r="AR405" s="3267"/>
      <c r="AS405" s="3267"/>
      <c r="AT405" s="3267"/>
      <c r="AU405" s="3267"/>
      <c r="AV405" s="3267"/>
      <c r="AW405" s="3267" t="s">
        <v>3119</v>
      </c>
      <c r="AX405" s="3267"/>
      <c r="AY405" s="3267"/>
      <c r="AZ405" s="3267" t="s">
        <v>6057</v>
      </c>
      <c r="BA405" s="3267"/>
      <c r="BB405" s="3267"/>
      <c r="BC405" s="3267"/>
      <c r="BD405" s="3267"/>
      <c r="BE405" s="3267"/>
      <c r="BF405" s="3267"/>
      <c r="BG405" s="3284">
        <v>39036</v>
      </c>
      <c r="BH405" s="3267"/>
      <c r="BI405" s="3267" t="s">
        <v>3537</v>
      </c>
      <c r="BJ405" s="3283">
        <v>39050</v>
      </c>
      <c r="BK405" s="3267"/>
      <c r="BL405" s="3267" t="s">
        <v>2998</v>
      </c>
      <c r="BM405" s="3267" t="s">
        <v>2879</v>
      </c>
      <c r="BN405" s="3267" t="s">
        <v>2999</v>
      </c>
      <c r="BO405" s="3267" t="s">
        <v>3446</v>
      </c>
      <c r="BP405" s="3267"/>
      <c r="BQ405" s="3276" t="e">
        <v>#DIV/0!</v>
      </c>
      <c r="BR405" s="3276" t="e">
        <v>#DIV/0!</v>
      </c>
      <c r="BS405" s="3285"/>
      <c r="BT405" s="3285"/>
      <c r="BU405" s="3285"/>
    </row>
    <row r="406" spans="1:245" hidden="1">
      <c r="A406" s="3267" t="s">
        <v>6059</v>
      </c>
      <c r="B406" s="3267" t="s">
        <v>6060</v>
      </c>
      <c r="C406" s="3269" t="s">
        <v>6061</v>
      </c>
      <c r="D406" s="3269" t="s">
        <v>6062</v>
      </c>
      <c r="E406" s="3268" t="s">
        <v>2985</v>
      </c>
      <c r="F406" s="3268" t="s">
        <v>6063</v>
      </c>
      <c r="G406" s="3267"/>
      <c r="H406" s="3267" t="s">
        <v>3402</v>
      </c>
      <c r="I406" s="3268"/>
      <c r="J406" s="3268" t="s">
        <v>6064</v>
      </c>
      <c r="K406" s="3267" t="s">
        <v>6065</v>
      </c>
      <c r="L406" s="3267">
        <v>59.9</v>
      </c>
      <c r="M406" s="3267">
        <v>19</v>
      </c>
      <c r="N406" s="3267" t="s">
        <v>3122</v>
      </c>
      <c r="O406" s="3267"/>
      <c r="P406" s="3267" t="s">
        <v>2963</v>
      </c>
      <c r="Q406" s="3271">
        <v>500000</v>
      </c>
      <c r="R406" s="3267">
        <v>8347</v>
      </c>
      <c r="S406" s="3272">
        <v>46.38</v>
      </c>
      <c r="T406" s="3273">
        <v>463800</v>
      </c>
      <c r="U406" s="3267">
        <v>7743</v>
      </c>
      <c r="V406" s="3289">
        <v>0.2</v>
      </c>
      <c r="W406" s="3272">
        <v>37.1</v>
      </c>
      <c r="X406" s="3275">
        <v>371000</v>
      </c>
      <c r="Y406" s="3276">
        <v>2006</v>
      </c>
      <c r="Z406" s="3276">
        <v>12</v>
      </c>
      <c r="AA406" s="3276">
        <v>21</v>
      </c>
      <c r="AB406" s="3267">
        <v>1390</v>
      </c>
      <c r="AC406" s="3267" t="s">
        <v>2980</v>
      </c>
      <c r="AD406" s="3366">
        <v>91302006120633</v>
      </c>
      <c r="AE406" s="3279" t="s">
        <v>2991</v>
      </c>
      <c r="AF406" s="3268"/>
      <c r="AG406" s="3279" t="s">
        <v>2967</v>
      </c>
      <c r="AH406" s="3267"/>
      <c r="AI406" s="3279" t="s">
        <v>2992</v>
      </c>
      <c r="AJ406" s="3284"/>
      <c r="AK406" s="3278" t="s">
        <v>3120</v>
      </c>
      <c r="AL406" s="3276">
        <v>43</v>
      </c>
      <c r="AM406" s="3276"/>
      <c r="AN406" s="3279" t="s">
        <v>2994</v>
      </c>
      <c r="AO406" s="3267" t="s">
        <v>6066</v>
      </c>
      <c r="AP406" s="3279" t="s">
        <v>2991</v>
      </c>
      <c r="AQ406" s="3276" t="s">
        <v>3113</v>
      </c>
      <c r="AR406" s="3276">
        <v>2006</v>
      </c>
      <c r="AS406" s="3276">
        <v>12</v>
      </c>
      <c r="AT406" s="3276">
        <v>21</v>
      </c>
      <c r="AU406" s="3276"/>
      <c r="AV406" s="3276"/>
      <c r="AW406" s="3276" t="s">
        <v>2997</v>
      </c>
      <c r="AX406" s="3276"/>
      <c r="AY406" s="3291"/>
      <c r="AZ406" s="3267" t="s">
        <v>6065</v>
      </c>
      <c r="BA406" s="3296"/>
      <c r="BB406" s="3297"/>
      <c r="BC406" s="3296"/>
      <c r="BD406" s="3298"/>
      <c r="BE406" s="3276"/>
      <c r="BF406" s="3281"/>
      <c r="BG406" s="3293">
        <v>39052</v>
      </c>
      <c r="BH406" s="3267"/>
      <c r="BI406" s="3279" t="s">
        <v>2991</v>
      </c>
      <c r="BJ406" s="3299">
        <v>39064</v>
      </c>
      <c r="BK406" s="3283" t="s">
        <v>2968</v>
      </c>
      <c r="BL406" s="3267" t="s">
        <v>2998</v>
      </c>
      <c r="BM406" s="3276" t="s">
        <v>2879</v>
      </c>
      <c r="BN406" s="3276" t="s">
        <v>2999</v>
      </c>
      <c r="BO406" s="3276" t="s">
        <v>3146</v>
      </c>
      <c r="BP406" s="3276"/>
      <c r="BQ406" s="3276" t="e">
        <v>#DIV/0!</v>
      </c>
      <c r="BR406" s="3276" t="e">
        <v>#DIV/0!</v>
      </c>
      <c r="BS406" s="3285"/>
      <c r="BT406" s="3285"/>
      <c r="BU406" s="3285"/>
      <c r="BW406" s="3262" t="s">
        <v>3262</v>
      </c>
      <c r="BX406" s="3262" t="s">
        <v>3262</v>
      </c>
      <c r="BY406" s="3262" t="s">
        <v>3262</v>
      </c>
      <c r="BZ406" s="3262" t="s">
        <v>3262</v>
      </c>
      <c r="CA406" s="3262" t="s">
        <v>3262</v>
      </c>
      <c r="CB406" s="3262" t="s">
        <v>3262</v>
      </c>
      <c r="CC406" s="3262" t="s">
        <v>3262</v>
      </c>
      <c r="CD406" s="3262" t="s">
        <v>3262</v>
      </c>
      <c r="CE406" s="3262" t="s">
        <v>3262</v>
      </c>
      <c r="CF406" s="3262" t="s">
        <v>3262</v>
      </c>
      <c r="CG406" s="3262" t="s">
        <v>3262</v>
      </c>
      <c r="CH406" s="3262" t="s">
        <v>3262</v>
      </c>
      <c r="CI406" s="3262" t="s">
        <v>3262</v>
      </c>
      <c r="CJ406" s="3262" t="s">
        <v>3262</v>
      </c>
      <c r="CK406" s="3262" t="s">
        <v>3262</v>
      </c>
      <c r="CL406" s="3262" t="s">
        <v>3262</v>
      </c>
      <c r="CM406" s="3262" t="s">
        <v>3262</v>
      </c>
      <c r="CN406" s="3262" t="s">
        <v>3262</v>
      </c>
      <c r="CO406" s="3262" t="s">
        <v>3262</v>
      </c>
      <c r="CP406" s="3262" t="s">
        <v>3262</v>
      </c>
      <c r="CQ406" s="3262" t="s">
        <v>3262</v>
      </c>
      <c r="CR406" s="3262" t="s">
        <v>3262</v>
      </c>
      <c r="CS406" s="3262" t="s">
        <v>3262</v>
      </c>
      <c r="CT406" s="3262" t="s">
        <v>3262</v>
      </c>
      <c r="CU406" s="3262" t="s">
        <v>3262</v>
      </c>
      <c r="CV406" s="3262" t="s">
        <v>3262</v>
      </c>
      <c r="CW406" s="3262" t="s">
        <v>3262</v>
      </c>
      <c r="CX406" s="3262" t="s">
        <v>3262</v>
      </c>
      <c r="CY406" s="3262" t="s">
        <v>3262</v>
      </c>
      <c r="CZ406" s="3262" t="s">
        <v>3262</v>
      </c>
      <c r="DA406" s="3262" t="s">
        <v>3262</v>
      </c>
      <c r="DB406" s="3262" t="s">
        <v>3262</v>
      </c>
      <c r="DC406" s="3262" t="s">
        <v>3262</v>
      </c>
      <c r="DD406" s="3262" t="s">
        <v>3262</v>
      </c>
      <c r="DE406" s="3262" t="s">
        <v>3262</v>
      </c>
      <c r="DF406" s="3262" t="s">
        <v>3262</v>
      </c>
      <c r="DG406" s="3262" t="s">
        <v>3262</v>
      </c>
      <c r="DH406" s="3262" t="s">
        <v>3262</v>
      </c>
      <c r="DI406" s="3262" t="s">
        <v>3262</v>
      </c>
      <c r="DJ406" s="3262" t="s">
        <v>3262</v>
      </c>
      <c r="DK406" s="3262" t="s">
        <v>3262</v>
      </c>
      <c r="DL406" s="3262" t="s">
        <v>3262</v>
      </c>
      <c r="DM406" s="3262" t="s">
        <v>3262</v>
      </c>
      <c r="DN406" s="3262" t="s">
        <v>3262</v>
      </c>
      <c r="DO406" s="3262" t="s">
        <v>3262</v>
      </c>
      <c r="DP406" s="3262" t="s">
        <v>3262</v>
      </c>
      <c r="DQ406" s="3262" t="s">
        <v>3262</v>
      </c>
      <c r="DR406" s="3262" t="s">
        <v>3262</v>
      </c>
      <c r="DS406" s="3262" t="s">
        <v>3262</v>
      </c>
      <c r="DT406" s="3262" t="s">
        <v>3262</v>
      </c>
      <c r="DU406" s="3262" t="s">
        <v>3262</v>
      </c>
      <c r="DV406" s="3262" t="s">
        <v>3262</v>
      </c>
      <c r="DW406" s="3262" t="s">
        <v>3262</v>
      </c>
      <c r="DX406" s="3262" t="s">
        <v>3262</v>
      </c>
      <c r="DY406" s="3262" t="s">
        <v>3262</v>
      </c>
      <c r="DZ406" s="3262" t="s">
        <v>3262</v>
      </c>
      <c r="EA406" s="3262" t="s">
        <v>3262</v>
      </c>
      <c r="EB406" s="3262" t="s">
        <v>3262</v>
      </c>
      <c r="EC406" s="3262" t="s">
        <v>3262</v>
      </c>
      <c r="ED406" s="3262" t="s">
        <v>3262</v>
      </c>
      <c r="EE406" s="3262" t="s">
        <v>3262</v>
      </c>
      <c r="EF406" s="3262" t="s">
        <v>3262</v>
      </c>
      <c r="EG406" s="3262" t="s">
        <v>3262</v>
      </c>
      <c r="EH406" s="3262" t="s">
        <v>3262</v>
      </c>
      <c r="EI406" s="3262" t="s">
        <v>3262</v>
      </c>
      <c r="EJ406" s="3262" t="s">
        <v>3262</v>
      </c>
      <c r="EK406" s="3262" t="s">
        <v>3262</v>
      </c>
      <c r="EL406" s="3262" t="s">
        <v>3262</v>
      </c>
      <c r="EM406" s="3262" t="s">
        <v>3262</v>
      </c>
      <c r="EN406" s="3262" t="s">
        <v>3262</v>
      </c>
      <c r="EO406" s="3262" t="s">
        <v>3262</v>
      </c>
      <c r="EP406" s="3262" t="s">
        <v>3262</v>
      </c>
      <c r="EQ406" s="3262" t="s">
        <v>3262</v>
      </c>
      <c r="ER406" s="3262" t="s">
        <v>3262</v>
      </c>
      <c r="ES406" s="3262" t="s">
        <v>3262</v>
      </c>
      <c r="ET406" s="3262" t="s">
        <v>3262</v>
      </c>
      <c r="EU406" s="3262" t="s">
        <v>3262</v>
      </c>
      <c r="EV406" s="3262" t="s">
        <v>3262</v>
      </c>
      <c r="EW406" s="3262" t="s">
        <v>3262</v>
      </c>
      <c r="EX406" s="3262" t="s">
        <v>3262</v>
      </c>
      <c r="EY406" s="3262" t="s">
        <v>3262</v>
      </c>
      <c r="EZ406" s="3262" t="s">
        <v>3262</v>
      </c>
      <c r="FA406" s="3262" t="s">
        <v>3262</v>
      </c>
      <c r="FB406" s="3262" t="s">
        <v>3262</v>
      </c>
      <c r="FC406" s="3262" t="s">
        <v>3262</v>
      </c>
      <c r="FD406" s="3262" t="s">
        <v>3262</v>
      </c>
      <c r="FE406" s="3262" t="s">
        <v>3262</v>
      </c>
      <c r="FF406" s="3262" t="s">
        <v>3262</v>
      </c>
      <c r="FG406" s="3262" t="s">
        <v>3262</v>
      </c>
      <c r="FH406" s="3262" t="s">
        <v>3262</v>
      </c>
      <c r="FI406" s="3262" t="s">
        <v>3262</v>
      </c>
      <c r="FJ406" s="3262" t="s">
        <v>3262</v>
      </c>
      <c r="FK406" s="3262" t="s">
        <v>3262</v>
      </c>
      <c r="FL406" s="3262" t="s">
        <v>3262</v>
      </c>
      <c r="FM406" s="3262" t="s">
        <v>3262</v>
      </c>
      <c r="FN406" s="3262" t="s">
        <v>3262</v>
      </c>
      <c r="FO406" s="3262" t="s">
        <v>3262</v>
      </c>
      <c r="FP406" s="3262" t="s">
        <v>3262</v>
      </c>
      <c r="FQ406" s="3262" t="s">
        <v>3262</v>
      </c>
      <c r="FR406" s="3262" t="s">
        <v>3262</v>
      </c>
      <c r="FS406" s="3262" t="s">
        <v>3262</v>
      </c>
      <c r="FT406" s="3262" t="s">
        <v>3262</v>
      </c>
      <c r="FU406" s="3262" t="s">
        <v>3262</v>
      </c>
      <c r="FV406" s="3262" t="s">
        <v>3262</v>
      </c>
      <c r="FW406" s="3262" t="s">
        <v>3262</v>
      </c>
      <c r="FX406" s="3262" t="s">
        <v>3262</v>
      </c>
      <c r="FY406" s="3262" t="s">
        <v>3262</v>
      </c>
      <c r="FZ406" s="3262" t="s">
        <v>3262</v>
      </c>
      <c r="GA406" s="3262" t="s">
        <v>3262</v>
      </c>
      <c r="GB406" s="3262" t="s">
        <v>3262</v>
      </c>
      <c r="GC406" s="3262" t="s">
        <v>3262</v>
      </c>
      <c r="GD406" s="3262" t="s">
        <v>3262</v>
      </c>
      <c r="GE406" s="3262" t="s">
        <v>3262</v>
      </c>
      <c r="GF406" s="3262" t="s">
        <v>3262</v>
      </c>
      <c r="GG406" s="3262" t="s">
        <v>3262</v>
      </c>
      <c r="GH406" s="3262" t="s">
        <v>3262</v>
      </c>
      <c r="GI406" s="3262" t="s">
        <v>3262</v>
      </c>
      <c r="GJ406" s="3262" t="s">
        <v>3262</v>
      </c>
      <c r="GK406" s="3262" t="s">
        <v>3262</v>
      </c>
      <c r="GL406" s="3262" t="s">
        <v>3262</v>
      </c>
      <c r="GM406" s="3262" t="s">
        <v>3262</v>
      </c>
      <c r="GN406" s="3262" t="s">
        <v>3262</v>
      </c>
      <c r="GO406" s="3262" t="s">
        <v>3262</v>
      </c>
      <c r="GP406" s="3262" t="s">
        <v>3262</v>
      </c>
      <c r="GQ406" s="3262" t="s">
        <v>3262</v>
      </c>
      <c r="GR406" s="3262" t="s">
        <v>3262</v>
      </c>
      <c r="GS406" s="3262" t="s">
        <v>3262</v>
      </c>
      <c r="GT406" s="3262" t="s">
        <v>3262</v>
      </c>
      <c r="GU406" s="3262" t="s">
        <v>3262</v>
      </c>
      <c r="GV406" s="3262" t="s">
        <v>3262</v>
      </c>
      <c r="GW406" s="3262" t="s">
        <v>3262</v>
      </c>
      <c r="GX406" s="3262" t="s">
        <v>3262</v>
      </c>
      <c r="GY406" s="3262" t="s">
        <v>3262</v>
      </c>
      <c r="GZ406" s="3262" t="s">
        <v>3262</v>
      </c>
      <c r="HA406" s="3262" t="s">
        <v>3262</v>
      </c>
      <c r="HB406" s="3262" t="s">
        <v>3262</v>
      </c>
      <c r="HC406" s="3262" t="s">
        <v>3262</v>
      </c>
      <c r="HD406" s="3262" t="s">
        <v>3262</v>
      </c>
      <c r="HE406" s="3262" t="s">
        <v>3262</v>
      </c>
      <c r="HF406" s="3262" t="s">
        <v>3262</v>
      </c>
      <c r="HG406" s="3262" t="s">
        <v>3262</v>
      </c>
      <c r="HH406" s="3262" t="s">
        <v>3262</v>
      </c>
      <c r="HI406" s="3262" t="s">
        <v>3262</v>
      </c>
      <c r="HJ406" s="3262" t="s">
        <v>3262</v>
      </c>
      <c r="HK406" s="3262" t="s">
        <v>3262</v>
      </c>
      <c r="HL406" s="3262" t="s">
        <v>3262</v>
      </c>
      <c r="HM406" s="3262" t="s">
        <v>3262</v>
      </c>
      <c r="HN406" s="3262" t="s">
        <v>3262</v>
      </c>
      <c r="HO406" s="3262" t="s">
        <v>3262</v>
      </c>
      <c r="HP406" s="3262" t="s">
        <v>3262</v>
      </c>
      <c r="HQ406" s="3262" t="s">
        <v>3262</v>
      </c>
      <c r="HR406" s="3262" t="s">
        <v>3262</v>
      </c>
      <c r="HS406" s="3262" t="s">
        <v>3262</v>
      </c>
      <c r="HT406" s="3262" t="s">
        <v>3262</v>
      </c>
      <c r="HU406" s="3262" t="s">
        <v>3262</v>
      </c>
      <c r="HV406" s="3262" t="s">
        <v>3262</v>
      </c>
      <c r="HW406" s="3262" t="s">
        <v>3262</v>
      </c>
      <c r="HX406" s="3262" t="s">
        <v>3262</v>
      </c>
      <c r="HY406" s="3262" t="s">
        <v>3262</v>
      </c>
      <c r="HZ406" s="3262" t="s">
        <v>3262</v>
      </c>
      <c r="IA406" s="3262" t="s">
        <v>3262</v>
      </c>
      <c r="IB406" s="3262" t="s">
        <v>3262</v>
      </c>
      <c r="IC406" s="3262" t="s">
        <v>3262</v>
      </c>
      <c r="ID406" s="3262" t="s">
        <v>3262</v>
      </c>
      <c r="IE406" s="3262" t="s">
        <v>3262</v>
      </c>
      <c r="IF406" s="3262" t="s">
        <v>3262</v>
      </c>
      <c r="IG406" s="3262" t="s">
        <v>3262</v>
      </c>
      <c r="IH406" s="3262" t="s">
        <v>3262</v>
      </c>
      <c r="II406" s="3262" t="s">
        <v>3262</v>
      </c>
      <c r="IJ406" s="3262" t="s">
        <v>3262</v>
      </c>
      <c r="IK406" s="3262" t="s">
        <v>3262</v>
      </c>
    </row>
    <row r="407" spans="1:245" hidden="1">
      <c r="A407" s="3267" t="s">
        <v>6067</v>
      </c>
      <c r="B407" s="3267" t="s">
        <v>6068</v>
      </c>
      <c r="C407" s="3269" t="s">
        <v>6069</v>
      </c>
      <c r="D407" s="3269" t="s">
        <v>6070</v>
      </c>
      <c r="E407" s="3268" t="s">
        <v>2985</v>
      </c>
      <c r="F407" s="3268" t="s">
        <v>4654</v>
      </c>
      <c r="G407" s="3267" t="s">
        <v>3262</v>
      </c>
      <c r="H407" s="3268" t="s">
        <v>6071</v>
      </c>
      <c r="I407" s="3268" t="s">
        <v>5032</v>
      </c>
      <c r="J407" s="3267" t="s">
        <v>2987</v>
      </c>
      <c r="K407" s="3267" t="s">
        <v>6072</v>
      </c>
      <c r="L407" s="3267" t="s">
        <v>6073</v>
      </c>
      <c r="M407" s="3267" t="s">
        <v>3155</v>
      </c>
      <c r="N407" s="3267" t="s">
        <v>3125</v>
      </c>
      <c r="O407" s="3267" t="s">
        <v>3262</v>
      </c>
      <c r="P407" s="3267" t="s">
        <v>2963</v>
      </c>
      <c r="Q407" s="3271" t="s">
        <v>6074</v>
      </c>
      <c r="R407" s="3267" t="s">
        <v>6075</v>
      </c>
      <c r="S407" s="3272" t="s">
        <v>6076</v>
      </c>
      <c r="T407" s="3273" t="s">
        <v>6077</v>
      </c>
      <c r="U407" s="3267" t="s">
        <v>6078</v>
      </c>
      <c r="V407" s="3289" t="s">
        <v>6079</v>
      </c>
      <c r="W407" s="3272" t="s">
        <v>6080</v>
      </c>
      <c r="X407" s="3275" t="s">
        <v>6081</v>
      </c>
      <c r="Y407" s="3276" t="s">
        <v>4007</v>
      </c>
      <c r="Z407" s="3276" t="s">
        <v>4029</v>
      </c>
      <c r="AA407" s="3276" t="s">
        <v>6082</v>
      </c>
      <c r="AB407" s="3267" t="s">
        <v>6083</v>
      </c>
      <c r="AC407" s="3267" t="s">
        <v>2980</v>
      </c>
      <c r="AD407" s="3280" t="s">
        <v>6084</v>
      </c>
      <c r="AE407" s="3268" t="s">
        <v>3295</v>
      </c>
      <c r="AF407" s="3268" t="s">
        <v>2966</v>
      </c>
      <c r="AG407" s="3279" t="s">
        <v>2967</v>
      </c>
      <c r="AH407" s="3267" t="s">
        <v>3262</v>
      </c>
      <c r="AI407" s="3267" t="s">
        <v>2992</v>
      </c>
      <c r="AJ407" s="3284" t="s">
        <v>3262</v>
      </c>
      <c r="AK407" s="3278" t="s">
        <v>3120</v>
      </c>
      <c r="AL407" s="3276" t="s">
        <v>6085</v>
      </c>
      <c r="AM407" s="3276" t="s">
        <v>3262</v>
      </c>
      <c r="AN407" s="3267" t="s">
        <v>3114</v>
      </c>
      <c r="AO407" s="3267" t="s">
        <v>6086</v>
      </c>
      <c r="AP407" s="3279" t="s">
        <v>3305</v>
      </c>
      <c r="AQ407" s="3276" t="s">
        <v>3113</v>
      </c>
      <c r="AR407" s="3276" t="s">
        <v>4007</v>
      </c>
      <c r="AS407" s="3276" t="s">
        <v>4029</v>
      </c>
      <c r="AT407" s="3276" t="s">
        <v>6082</v>
      </c>
      <c r="AU407" s="3276" t="s">
        <v>3262</v>
      </c>
      <c r="AV407" s="3276" t="s">
        <v>3262</v>
      </c>
      <c r="AW407" s="3276" t="s">
        <v>3112</v>
      </c>
      <c r="AX407" s="3276" t="s">
        <v>3262</v>
      </c>
      <c r="AY407" s="3291" t="s">
        <v>3262</v>
      </c>
      <c r="AZ407" s="3267" t="s">
        <v>6072</v>
      </c>
      <c r="BA407" s="3296" t="s">
        <v>3262</v>
      </c>
      <c r="BB407" s="3297" t="s">
        <v>3262</v>
      </c>
      <c r="BC407" s="3296" t="s">
        <v>3262</v>
      </c>
      <c r="BD407" s="3298" t="s">
        <v>3262</v>
      </c>
      <c r="BE407" s="3276" t="s">
        <v>3262</v>
      </c>
      <c r="BF407" s="3281" t="s">
        <v>3262</v>
      </c>
      <c r="BG407" s="3293" t="s">
        <v>6087</v>
      </c>
      <c r="BH407" s="3267" t="s">
        <v>2998</v>
      </c>
      <c r="BI407" s="3314" t="s">
        <v>3305</v>
      </c>
      <c r="BJ407" s="3283" t="s">
        <v>6088</v>
      </c>
      <c r="BK407" s="3283" t="s">
        <v>3262</v>
      </c>
      <c r="BL407" s="3267" t="s">
        <v>3249</v>
      </c>
      <c r="BM407" s="3276" t="s">
        <v>2879</v>
      </c>
      <c r="BN407" s="3276" t="s">
        <v>2999</v>
      </c>
      <c r="BO407" s="3276" t="s">
        <v>3000</v>
      </c>
      <c r="BP407" s="3276" t="s">
        <v>3262</v>
      </c>
      <c r="BQ407" s="3276" t="s">
        <v>4010</v>
      </c>
      <c r="BR407" s="3276" t="s">
        <v>4010</v>
      </c>
      <c r="BS407" s="3285"/>
      <c r="BT407" s="3285"/>
      <c r="BU407" s="3285"/>
    </row>
    <row r="408" spans="1:245" hidden="1">
      <c r="A408" s="3267" t="s">
        <v>6089</v>
      </c>
      <c r="B408" s="3267" t="s">
        <v>6090</v>
      </c>
      <c r="C408" s="3269" t="s">
        <v>6091</v>
      </c>
      <c r="D408" s="3267">
        <v>13911082758</v>
      </c>
      <c r="E408" s="3267" t="s">
        <v>2985</v>
      </c>
      <c r="F408" s="3267" t="s">
        <v>6092</v>
      </c>
      <c r="G408" s="3267"/>
      <c r="H408" s="3267" t="s">
        <v>4015</v>
      </c>
      <c r="I408" s="3267" t="s">
        <v>6093</v>
      </c>
      <c r="J408" s="3267" t="s">
        <v>6094</v>
      </c>
      <c r="K408" s="3268" t="s">
        <v>6095</v>
      </c>
      <c r="L408" s="3267">
        <v>79.77</v>
      </c>
      <c r="M408" s="3267">
        <v>7</v>
      </c>
      <c r="N408" s="3267" t="s">
        <v>3122</v>
      </c>
      <c r="O408" s="3267"/>
      <c r="P408" s="3267" t="s">
        <v>2963</v>
      </c>
      <c r="Q408" s="3267">
        <v>475000</v>
      </c>
      <c r="R408" s="3267">
        <v>5955</v>
      </c>
      <c r="S408" s="3272">
        <v>53.35</v>
      </c>
      <c r="T408" s="3273">
        <v>533500</v>
      </c>
      <c r="U408" s="3267">
        <v>6689</v>
      </c>
      <c r="V408" s="3274">
        <v>0.2</v>
      </c>
      <c r="W408" s="3272">
        <v>42.68</v>
      </c>
      <c r="X408" s="3275">
        <v>426800</v>
      </c>
      <c r="Y408" s="3267">
        <v>2006</v>
      </c>
      <c r="Z408" s="3267">
        <v>12</v>
      </c>
      <c r="AA408" s="3276">
        <v>14</v>
      </c>
      <c r="AB408" s="3267">
        <v>1500</v>
      </c>
      <c r="AC408" s="3267" t="s">
        <v>2980</v>
      </c>
      <c r="AD408" s="3269" t="s">
        <v>6096</v>
      </c>
      <c r="AE408" s="3267" t="s">
        <v>3069</v>
      </c>
      <c r="AF408" s="3267" t="s">
        <v>2966</v>
      </c>
      <c r="AG408" s="3267" t="s">
        <v>2967</v>
      </c>
      <c r="AH408" s="3267"/>
      <c r="AI408" s="3267" t="s">
        <v>2992</v>
      </c>
      <c r="AJ408" s="3284"/>
      <c r="AK408" s="3267" t="s">
        <v>3120</v>
      </c>
      <c r="AL408" s="3267" t="s">
        <v>6097</v>
      </c>
      <c r="AM408" s="3267"/>
      <c r="AN408" s="3267" t="s">
        <v>3114</v>
      </c>
      <c r="AO408" s="3267" t="s">
        <v>6098</v>
      </c>
      <c r="AP408" s="3267" t="s">
        <v>3069</v>
      </c>
      <c r="AQ408" s="3276" t="s">
        <v>2996</v>
      </c>
      <c r="AR408" s="3267"/>
      <c r="AS408" s="3267"/>
      <c r="AT408" s="3267"/>
      <c r="AU408" s="3267"/>
      <c r="AV408" s="3267"/>
      <c r="AW408" s="3267" t="s">
        <v>3112</v>
      </c>
      <c r="AX408" s="3267"/>
      <c r="AY408" s="3269"/>
      <c r="AZ408" s="3268" t="s">
        <v>6095</v>
      </c>
      <c r="BA408" s="3267"/>
      <c r="BB408" s="3267"/>
      <c r="BC408" s="3267"/>
      <c r="BD408" s="3267"/>
      <c r="BE408" s="3267"/>
      <c r="BF408" s="3267"/>
      <c r="BG408" s="3307">
        <v>39057</v>
      </c>
      <c r="BH408" s="3267"/>
      <c r="BI408" s="3279" t="s">
        <v>3069</v>
      </c>
      <c r="BJ408" s="3307">
        <v>39063</v>
      </c>
      <c r="BK408" s="3283"/>
      <c r="BL408" s="3267" t="s">
        <v>2998</v>
      </c>
      <c r="BM408" s="3267" t="s">
        <v>2879</v>
      </c>
      <c r="BN408" s="3267" t="s">
        <v>2999</v>
      </c>
      <c r="BO408" s="3267" t="s">
        <v>3000</v>
      </c>
      <c r="BP408" s="3267"/>
      <c r="BQ408" s="3276" t="e">
        <v>#DIV/0!</v>
      </c>
      <c r="BR408" s="3276" t="e">
        <v>#DIV/0!</v>
      </c>
      <c r="BS408" s="3285"/>
      <c r="BT408" s="3285"/>
      <c r="BU408" s="3285"/>
    </row>
    <row r="409" spans="1:245" hidden="1">
      <c r="A409" s="3267" t="s">
        <v>6099</v>
      </c>
      <c r="B409" s="3267" t="s">
        <v>6100</v>
      </c>
      <c r="C409" s="3269" t="s">
        <v>6101</v>
      </c>
      <c r="D409" s="3269" t="s">
        <v>6102</v>
      </c>
      <c r="E409" s="3268" t="s">
        <v>2985</v>
      </c>
      <c r="F409" s="3268" t="s">
        <v>3309</v>
      </c>
      <c r="G409" s="3267" t="s">
        <v>3262</v>
      </c>
      <c r="H409" s="3268" t="s">
        <v>5615</v>
      </c>
      <c r="I409" s="3268" t="s">
        <v>3262</v>
      </c>
      <c r="J409" s="3267" t="s">
        <v>6103</v>
      </c>
      <c r="K409" s="3267" t="s">
        <v>6104</v>
      </c>
      <c r="L409" s="3267" t="s">
        <v>6105</v>
      </c>
      <c r="M409" s="3267" t="s">
        <v>6106</v>
      </c>
      <c r="N409" s="3267" t="s">
        <v>3122</v>
      </c>
      <c r="O409" s="3267" t="s">
        <v>3262</v>
      </c>
      <c r="P409" s="3267" t="s">
        <v>2963</v>
      </c>
      <c r="Q409" s="3271" t="s">
        <v>6107</v>
      </c>
      <c r="R409" s="3267" t="s">
        <v>6108</v>
      </c>
      <c r="S409" s="3272" t="s">
        <v>6109</v>
      </c>
      <c r="T409" s="3273" t="s">
        <v>6110</v>
      </c>
      <c r="U409" s="3267" t="s">
        <v>6111</v>
      </c>
      <c r="V409" s="3289" t="s">
        <v>6079</v>
      </c>
      <c r="W409" s="3272" t="s">
        <v>6112</v>
      </c>
      <c r="X409" s="3275" t="s">
        <v>6113</v>
      </c>
      <c r="Y409" s="3276" t="s">
        <v>4007</v>
      </c>
      <c r="Z409" s="3276" t="s">
        <v>4029</v>
      </c>
      <c r="AA409" s="3276" t="s">
        <v>6082</v>
      </c>
      <c r="AB409" s="3267" t="s">
        <v>6083</v>
      </c>
      <c r="AC409" s="3267" t="s">
        <v>2980</v>
      </c>
      <c r="AD409" s="3280" t="s">
        <v>6114</v>
      </c>
      <c r="AE409" s="3268" t="s">
        <v>3344</v>
      </c>
      <c r="AF409" s="3268" t="s">
        <v>2966</v>
      </c>
      <c r="AG409" s="3279" t="s">
        <v>2967</v>
      </c>
      <c r="AH409" s="3267" t="s">
        <v>3262</v>
      </c>
      <c r="AI409" s="3267" t="s">
        <v>2992</v>
      </c>
      <c r="AJ409" s="3284" t="s">
        <v>3262</v>
      </c>
      <c r="AK409" s="3278" t="s">
        <v>3120</v>
      </c>
      <c r="AL409" s="3276" t="s">
        <v>6115</v>
      </c>
      <c r="AM409" s="3276" t="s">
        <v>3262</v>
      </c>
      <c r="AN409" s="3267" t="s">
        <v>3114</v>
      </c>
      <c r="AO409" s="3267" t="s">
        <v>6116</v>
      </c>
      <c r="AP409" s="3279" t="s">
        <v>3305</v>
      </c>
      <c r="AQ409" s="3276" t="s">
        <v>3113</v>
      </c>
      <c r="AR409" s="3276" t="s">
        <v>4007</v>
      </c>
      <c r="AS409" s="3276" t="s">
        <v>4029</v>
      </c>
      <c r="AT409" s="3276" t="s">
        <v>6082</v>
      </c>
      <c r="AU409" s="3276" t="s">
        <v>3262</v>
      </c>
      <c r="AV409" s="3276" t="s">
        <v>2968</v>
      </c>
      <c r="AW409" s="3276" t="s">
        <v>3171</v>
      </c>
      <c r="AX409" s="3276" t="s">
        <v>3262</v>
      </c>
      <c r="AY409" s="3291" t="s">
        <v>3262</v>
      </c>
      <c r="AZ409" s="3267" t="s">
        <v>6104</v>
      </c>
      <c r="BA409" s="3296" t="s">
        <v>3262</v>
      </c>
      <c r="BB409" s="3297" t="s">
        <v>3262</v>
      </c>
      <c r="BC409" s="3296" t="s">
        <v>3262</v>
      </c>
      <c r="BD409" s="3298" t="s">
        <v>3262</v>
      </c>
      <c r="BE409" s="3276" t="s">
        <v>6117</v>
      </c>
      <c r="BF409" s="3281" t="s">
        <v>2968</v>
      </c>
      <c r="BG409" s="3293" t="s">
        <v>6118</v>
      </c>
      <c r="BH409" s="3267" t="s">
        <v>2998</v>
      </c>
      <c r="BI409" s="3314" t="s">
        <v>3305</v>
      </c>
      <c r="BJ409" s="3283" t="s">
        <v>6119</v>
      </c>
      <c r="BK409" s="3283" t="s">
        <v>3262</v>
      </c>
      <c r="BL409" s="3267" t="s">
        <v>3249</v>
      </c>
      <c r="BM409" s="3276" t="s">
        <v>2879</v>
      </c>
      <c r="BN409" s="3276" t="s">
        <v>2999</v>
      </c>
      <c r="BO409" s="3276" t="s">
        <v>3146</v>
      </c>
      <c r="BP409" s="3276" t="s">
        <v>3262</v>
      </c>
      <c r="BQ409" s="3276" t="s">
        <v>4010</v>
      </c>
      <c r="BR409" s="3276" t="s">
        <v>4010</v>
      </c>
      <c r="BS409" s="3285"/>
      <c r="BT409" s="3285"/>
      <c r="BU409" s="3285"/>
    </row>
    <row r="410" spans="1:245" hidden="1">
      <c r="A410" s="3267" t="s">
        <v>6120</v>
      </c>
      <c r="B410" s="3267" t="s">
        <v>6121</v>
      </c>
      <c r="C410" s="3269" t="s">
        <v>6122</v>
      </c>
      <c r="D410" s="3269" t="s">
        <v>6123</v>
      </c>
      <c r="E410" s="3268" t="s">
        <v>2985</v>
      </c>
      <c r="F410" s="3268" t="s">
        <v>6124</v>
      </c>
      <c r="G410" s="3267"/>
      <c r="H410" s="3267" t="s">
        <v>3263</v>
      </c>
      <c r="I410" s="3268" t="s">
        <v>3642</v>
      </c>
      <c r="J410" s="3267" t="s">
        <v>6125</v>
      </c>
      <c r="K410" s="3267" t="s">
        <v>6126</v>
      </c>
      <c r="L410" s="3267">
        <v>145.28</v>
      </c>
      <c r="M410" s="3267">
        <v>11</v>
      </c>
      <c r="N410" s="3267" t="s">
        <v>3303</v>
      </c>
      <c r="O410" s="3267">
        <v>116.99</v>
      </c>
      <c r="P410" s="3267" t="s">
        <v>2963</v>
      </c>
      <c r="Q410" s="3271">
        <v>1351104</v>
      </c>
      <c r="R410" s="3267">
        <v>9300</v>
      </c>
      <c r="S410" s="3272">
        <v>112.37</v>
      </c>
      <c r="T410" s="3273">
        <v>1123700</v>
      </c>
      <c r="U410" s="3267">
        <v>7735</v>
      </c>
      <c r="V410" s="3289">
        <v>0.3</v>
      </c>
      <c r="W410" s="3272">
        <v>78.650000000000006</v>
      </c>
      <c r="X410" s="3275">
        <v>786500</v>
      </c>
      <c r="Y410" s="3276">
        <v>2006</v>
      </c>
      <c r="Z410" s="3276">
        <v>12</v>
      </c>
      <c r="AA410" s="3276">
        <v>12</v>
      </c>
      <c r="AB410" s="3267">
        <v>1500</v>
      </c>
      <c r="AC410" s="3267" t="s">
        <v>3110</v>
      </c>
      <c r="AD410" s="3280"/>
      <c r="AE410" s="3279" t="s">
        <v>3344</v>
      </c>
      <c r="AF410" s="3267" t="s">
        <v>2966</v>
      </c>
      <c r="AG410" s="3279" t="s">
        <v>2967</v>
      </c>
      <c r="AH410" s="3267"/>
      <c r="AI410" s="3279" t="s">
        <v>2992</v>
      </c>
      <c r="AJ410" s="3284"/>
      <c r="AK410" s="3278" t="s">
        <v>3120</v>
      </c>
      <c r="AL410" s="3276" t="s">
        <v>2968</v>
      </c>
      <c r="AM410" s="3276"/>
      <c r="AN410" s="3279" t="s">
        <v>3114</v>
      </c>
      <c r="AO410" s="3267"/>
      <c r="AP410" s="3279" t="s">
        <v>3305</v>
      </c>
      <c r="AQ410" s="3276" t="s">
        <v>3113</v>
      </c>
      <c r="AR410" s="3276"/>
      <c r="AS410" s="3276"/>
      <c r="AT410" s="3276"/>
      <c r="AU410" s="3276"/>
      <c r="AV410" s="3276" t="s">
        <v>2968</v>
      </c>
      <c r="AW410" s="3276" t="s">
        <v>3171</v>
      </c>
      <c r="AX410" s="3276"/>
      <c r="AY410" s="3291"/>
      <c r="AZ410" s="3267" t="s">
        <v>6127</v>
      </c>
      <c r="BA410" s="3296"/>
      <c r="BB410" s="3297"/>
      <c r="BC410" s="3296"/>
      <c r="BD410" s="3298"/>
      <c r="BE410" s="3276">
        <v>13051277002</v>
      </c>
      <c r="BF410" s="3281" t="s">
        <v>2968</v>
      </c>
      <c r="BG410" s="3293">
        <v>39035</v>
      </c>
      <c r="BH410" s="3267" t="s">
        <v>2998</v>
      </c>
      <c r="BI410" s="3314" t="s">
        <v>3305</v>
      </c>
      <c r="BJ410" s="3283"/>
      <c r="BK410" s="3283"/>
      <c r="BL410" s="3267" t="s">
        <v>3249</v>
      </c>
      <c r="BM410" s="3276" t="s">
        <v>2879</v>
      </c>
      <c r="BN410" s="3276" t="s">
        <v>2999</v>
      </c>
      <c r="BO410" s="3276" t="s">
        <v>3146</v>
      </c>
      <c r="BP410" s="3276"/>
      <c r="BQ410" s="3276">
        <v>9605</v>
      </c>
      <c r="BR410" s="3276">
        <v>11549</v>
      </c>
      <c r="BS410" s="3285"/>
      <c r="BT410" s="3285"/>
      <c r="BU410" s="3285"/>
    </row>
    <row r="411" spans="1:245" hidden="1">
      <c r="A411" s="3267" t="s">
        <v>6128</v>
      </c>
      <c r="B411" s="3267" t="s">
        <v>6129</v>
      </c>
      <c r="C411" s="3269" t="s">
        <v>6130</v>
      </c>
      <c r="D411" s="3269" t="s">
        <v>6131</v>
      </c>
      <c r="E411" s="3268" t="s">
        <v>2985</v>
      </c>
      <c r="F411" s="3268" t="s">
        <v>3872</v>
      </c>
      <c r="G411" s="3267" t="s">
        <v>3262</v>
      </c>
      <c r="H411" s="3268" t="s">
        <v>3402</v>
      </c>
      <c r="I411" s="3268" t="s">
        <v>2968</v>
      </c>
      <c r="J411" s="3267" t="s">
        <v>6132</v>
      </c>
      <c r="K411" s="3267" t="s">
        <v>6133</v>
      </c>
      <c r="L411" s="3267" t="s">
        <v>6134</v>
      </c>
      <c r="M411" s="3267" t="s">
        <v>6135</v>
      </c>
      <c r="N411" s="3267" t="s">
        <v>3125</v>
      </c>
      <c r="O411" s="3267" t="s">
        <v>3262</v>
      </c>
      <c r="P411" s="3267" t="s">
        <v>2963</v>
      </c>
      <c r="Q411" s="3267">
        <v>750000</v>
      </c>
      <c r="R411" s="3288">
        <v>8572</v>
      </c>
      <c r="S411" s="3272">
        <v>67.209999999999994</v>
      </c>
      <c r="T411" s="3273">
        <v>672099.99999999988</v>
      </c>
      <c r="U411" s="3267">
        <v>7683</v>
      </c>
      <c r="V411" s="3289">
        <v>0.2</v>
      </c>
      <c r="W411" s="3272">
        <v>53.76</v>
      </c>
      <c r="X411" s="3273">
        <v>537600</v>
      </c>
      <c r="Y411" s="3267">
        <v>2006</v>
      </c>
      <c r="Z411" s="3267">
        <v>12</v>
      </c>
      <c r="AA411" s="3267">
        <v>26</v>
      </c>
      <c r="AB411" s="3267">
        <v>1500</v>
      </c>
      <c r="AC411" s="3267" t="s">
        <v>2980</v>
      </c>
      <c r="AD411" s="3280" t="s">
        <v>6136</v>
      </c>
      <c r="AE411" s="3268" t="s">
        <v>2979</v>
      </c>
      <c r="AF411" s="3268" t="s">
        <v>2966</v>
      </c>
      <c r="AG411" s="3279" t="s">
        <v>2967</v>
      </c>
      <c r="AH411" s="3267" t="s">
        <v>3262</v>
      </c>
      <c r="AI411" s="3267" t="s">
        <v>2992</v>
      </c>
      <c r="AJ411" s="3284" t="s">
        <v>3262</v>
      </c>
      <c r="AK411" s="3278" t="s">
        <v>3120</v>
      </c>
      <c r="AL411" s="3276" t="s">
        <v>6137</v>
      </c>
      <c r="AM411" s="3276" t="s">
        <v>3262</v>
      </c>
      <c r="AN411" s="3279" t="s">
        <v>2994</v>
      </c>
      <c r="AO411" s="3267" t="s">
        <v>6138</v>
      </c>
      <c r="AP411" s="3279" t="s">
        <v>2979</v>
      </c>
      <c r="AQ411" s="3276" t="s">
        <v>3113</v>
      </c>
      <c r="AR411" s="3276">
        <v>2006</v>
      </c>
      <c r="AS411" s="3276">
        <v>12</v>
      </c>
      <c r="AT411" s="3276">
        <v>26</v>
      </c>
      <c r="AU411" s="3276" t="s">
        <v>3262</v>
      </c>
      <c r="AV411" s="3276" t="s">
        <v>3262</v>
      </c>
      <c r="AW411" s="3276" t="s">
        <v>3119</v>
      </c>
      <c r="AX411" s="3276" t="s">
        <v>3262</v>
      </c>
      <c r="AY411" s="3291" t="s">
        <v>3262</v>
      </c>
      <c r="AZ411" s="3267" t="s">
        <v>6133</v>
      </c>
      <c r="BA411" s="3296" t="s">
        <v>3262</v>
      </c>
      <c r="BB411" s="3297" t="s">
        <v>3262</v>
      </c>
      <c r="BC411" s="3296" t="s">
        <v>3262</v>
      </c>
      <c r="BD411" s="3298" t="s">
        <v>3262</v>
      </c>
      <c r="BE411" s="3276" t="s">
        <v>2968</v>
      </c>
      <c r="BF411" s="3281" t="s">
        <v>3262</v>
      </c>
      <c r="BG411" s="3284">
        <v>39060</v>
      </c>
      <c r="BH411" s="3267" t="s">
        <v>3262</v>
      </c>
      <c r="BI411" s="3314" t="s">
        <v>2979</v>
      </c>
      <c r="BJ411" s="3284">
        <v>39065</v>
      </c>
      <c r="BK411" s="3283" t="s">
        <v>3262</v>
      </c>
      <c r="BL411" s="3267" t="s">
        <v>2998</v>
      </c>
      <c r="BM411" s="3276" t="s">
        <v>2879</v>
      </c>
      <c r="BN411" s="3276" t="s">
        <v>3111</v>
      </c>
      <c r="BO411" s="3276" t="s">
        <v>3146</v>
      </c>
      <c r="BP411" s="3276" t="s">
        <v>3262</v>
      </c>
      <c r="BQ411" s="3276" t="s">
        <v>3262</v>
      </c>
      <c r="BR411" s="3276" t="s">
        <v>3262</v>
      </c>
      <c r="BS411" s="3285"/>
      <c r="BT411" s="3285"/>
      <c r="BU411" s="3285"/>
    </row>
    <row r="412" spans="1:245" hidden="1">
      <c r="A412" s="3267" t="s">
        <v>6139</v>
      </c>
      <c r="B412" s="3267" t="s">
        <v>6140</v>
      </c>
      <c r="C412" s="3269" t="s">
        <v>6141</v>
      </c>
      <c r="D412" s="3267">
        <v>13366017191</v>
      </c>
      <c r="E412" s="3267" t="s">
        <v>2985</v>
      </c>
      <c r="F412" s="3267" t="s">
        <v>3261</v>
      </c>
      <c r="G412" s="3267"/>
      <c r="H412" s="3267" t="s">
        <v>3244</v>
      </c>
      <c r="I412" s="3267"/>
      <c r="J412" s="3267" t="s">
        <v>6142</v>
      </c>
      <c r="K412" s="3267" t="s">
        <v>6143</v>
      </c>
      <c r="L412" s="3267">
        <v>77.16</v>
      </c>
      <c r="M412" s="3267">
        <v>5</v>
      </c>
      <c r="N412" s="3267" t="s">
        <v>3125</v>
      </c>
      <c r="O412" s="3267"/>
      <c r="P412" s="3267" t="s">
        <v>2963</v>
      </c>
      <c r="Q412" s="3267">
        <v>540000</v>
      </c>
      <c r="R412" s="3267">
        <v>6998</v>
      </c>
      <c r="S412" s="3272">
        <v>61.28</v>
      </c>
      <c r="T412" s="3273">
        <v>612800</v>
      </c>
      <c r="U412" s="3267">
        <v>7942</v>
      </c>
      <c r="V412" s="3274">
        <v>0.2</v>
      </c>
      <c r="W412" s="3272">
        <v>49.02</v>
      </c>
      <c r="X412" s="3275">
        <v>490200</v>
      </c>
      <c r="Y412" s="3267">
        <v>2006</v>
      </c>
      <c r="Z412" s="3267">
        <v>12</v>
      </c>
      <c r="AA412" s="3276">
        <v>28</v>
      </c>
      <c r="AB412" s="3267">
        <v>1500</v>
      </c>
      <c r="AC412" s="3267" t="s">
        <v>2980</v>
      </c>
      <c r="AD412" s="3269" t="s">
        <v>6144</v>
      </c>
      <c r="AE412" s="3267" t="s">
        <v>3069</v>
      </c>
      <c r="AF412" s="3267" t="s">
        <v>2966</v>
      </c>
      <c r="AG412" s="3267" t="s">
        <v>2967</v>
      </c>
      <c r="AH412" s="3267"/>
      <c r="AI412" s="3267" t="s">
        <v>2992</v>
      </c>
      <c r="AJ412" s="3284"/>
      <c r="AK412" s="3267" t="s">
        <v>3120</v>
      </c>
      <c r="AL412" s="3267" t="s">
        <v>6145</v>
      </c>
      <c r="AM412" s="3267"/>
      <c r="AN412" s="3267" t="s">
        <v>3099</v>
      </c>
      <c r="AO412" s="3267"/>
      <c r="AP412" s="3267" t="s">
        <v>3069</v>
      </c>
      <c r="AQ412" s="3276" t="s">
        <v>2996</v>
      </c>
      <c r="AR412" s="3267"/>
      <c r="AS412" s="3267"/>
      <c r="AT412" s="3267"/>
      <c r="AU412" s="3267"/>
      <c r="AV412" s="3267"/>
      <c r="AW412" s="3267" t="s">
        <v>3112</v>
      </c>
      <c r="AX412" s="3267"/>
      <c r="AY412" s="3269"/>
      <c r="AZ412" s="3268" t="s">
        <v>6143</v>
      </c>
      <c r="BA412" s="3267"/>
      <c r="BB412" s="3267"/>
      <c r="BC412" s="3267"/>
      <c r="BD412" s="3267"/>
      <c r="BE412" s="3267"/>
      <c r="BF412" s="3267"/>
      <c r="BG412" s="3307">
        <v>39060</v>
      </c>
      <c r="BH412" s="3267"/>
      <c r="BI412" s="3279" t="s">
        <v>3069</v>
      </c>
      <c r="BJ412" s="3307">
        <v>39077</v>
      </c>
      <c r="BK412" s="3283"/>
      <c r="BL412" s="3267" t="s">
        <v>2998</v>
      </c>
      <c r="BM412" s="3267" t="s">
        <v>2879</v>
      </c>
      <c r="BN412" s="3267" t="s">
        <v>2999</v>
      </c>
      <c r="BO412" s="3267" t="s">
        <v>3000</v>
      </c>
      <c r="BP412" s="3267"/>
      <c r="BQ412" s="3276" t="e">
        <v>#DIV/0!</v>
      </c>
      <c r="BR412" s="3276" t="e">
        <v>#DIV/0!</v>
      </c>
      <c r="BS412" s="3285"/>
      <c r="BT412" s="3285"/>
      <c r="BU412" s="3285"/>
    </row>
    <row r="413" spans="1:245" hidden="1">
      <c r="A413" s="3267" t="s">
        <v>6146</v>
      </c>
      <c r="B413" s="3267" t="s">
        <v>6147</v>
      </c>
      <c r="C413" s="3269" t="s">
        <v>6148</v>
      </c>
      <c r="D413" s="3269" t="s">
        <v>6149</v>
      </c>
      <c r="E413" s="3268" t="s">
        <v>2985</v>
      </c>
      <c r="F413" s="3268" t="s">
        <v>3324</v>
      </c>
      <c r="G413" s="3267"/>
      <c r="H413" s="3267" t="s">
        <v>6150</v>
      </c>
      <c r="I413" s="3268"/>
      <c r="J413" s="3267" t="s">
        <v>6151</v>
      </c>
      <c r="K413" s="3267" t="s">
        <v>6152</v>
      </c>
      <c r="L413" s="3267">
        <v>91.71</v>
      </c>
      <c r="M413" s="3267">
        <v>24</v>
      </c>
      <c r="N413" s="3267" t="s">
        <v>3172</v>
      </c>
      <c r="O413" s="3267"/>
      <c r="P413" s="3267" t="s">
        <v>2963</v>
      </c>
      <c r="Q413" s="3271">
        <v>710000</v>
      </c>
      <c r="R413" s="3267">
        <v>7742</v>
      </c>
      <c r="S413" s="3272">
        <v>67.52</v>
      </c>
      <c r="T413" s="3273">
        <v>675200</v>
      </c>
      <c r="U413" s="3267">
        <v>7363</v>
      </c>
      <c r="V413" s="3289">
        <v>0.3</v>
      </c>
      <c r="W413" s="3272">
        <v>47.26</v>
      </c>
      <c r="X413" s="3275">
        <v>472600</v>
      </c>
      <c r="Y413" s="3276">
        <v>2006</v>
      </c>
      <c r="Z413" s="3276">
        <v>12</v>
      </c>
      <c r="AA413" s="3276">
        <v>18</v>
      </c>
      <c r="AB413" s="3267">
        <v>1500</v>
      </c>
      <c r="AC413" s="3267" t="s">
        <v>2980</v>
      </c>
      <c r="AD413" s="3269" t="s">
        <v>6153</v>
      </c>
      <c r="AE413" s="3279" t="s">
        <v>3344</v>
      </c>
      <c r="AF413" s="3268" t="s">
        <v>2966</v>
      </c>
      <c r="AG413" s="3279" t="s">
        <v>2967</v>
      </c>
      <c r="AH413" s="3267"/>
      <c r="AI413" s="3279" t="s">
        <v>2992</v>
      </c>
      <c r="AJ413" s="3284"/>
      <c r="AK413" s="3278" t="s">
        <v>3120</v>
      </c>
      <c r="AL413" s="3276">
        <v>51</v>
      </c>
      <c r="AM413" s="3267"/>
      <c r="AN413" s="3279" t="s">
        <v>2994</v>
      </c>
      <c r="AO413" s="3267" t="s">
        <v>6154</v>
      </c>
      <c r="AP413" s="3279" t="s">
        <v>3305</v>
      </c>
      <c r="AQ413" s="3276" t="s">
        <v>2996</v>
      </c>
      <c r="AR413" s="3276"/>
      <c r="AS413" s="3276"/>
      <c r="AT413" s="3276"/>
      <c r="AU413" s="3276"/>
      <c r="AV413" s="3276" t="s">
        <v>2968</v>
      </c>
      <c r="AW413" s="3276" t="s">
        <v>3171</v>
      </c>
      <c r="AX413" s="3276"/>
      <c r="AY413" s="3291"/>
      <c r="AZ413" s="3267" t="s">
        <v>6152</v>
      </c>
      <c r="BA413" s="3296"/>
      <c r="BB413" s="3297"/>
      <c r="BC413" s="3296"/>
      <c r="BD413" s="3296"/>
      <c r="BE413" s="3276">
        <v>13901008977</v>
      </c>
      <c r="BF413" s="3281" t="s">
        <v>2968</v>
      </c>
      <c r="BG413" s="3293">
        <v>39060</v>
      </c>
      <c r="BH413" s="3267" t="s">
        <v>2998</v>
      </c>
      <c r="BI413" s="3314" t="s">
        <v>3305</v>
      </c>
      <c r="BJ413" s="3283">
        <v>39066</v>
      </c>
      <c r="BK413" s="3283"/>
      <c r="BL413" s="3267" t="s">
        <v>3249</v>
      </c>
      <c r="BM413" s="3276" t="s">
        <v>2879</v>
      </c>
      <c r="BN413" s="3276" t="s">
        <v>2999</v>
      </c>
      <c r="BO413" s="3276" t="s">
        <v>3146</v>
      </c>
      <c r="BP413" s="3276"/>
      <c r="BQ413" s="3276" t="e">
        <v>#DIV/0!</v>
      </c>
      <c r="BR413" s="3276" t="e">
        <v>#DIV/0!</v>
      </c>
      <c r="BS413" s="3285"/>
      <c r="BT413" s="3285"/>
      <c r="BU413" s="3285"/>
    </row>
    <row r="414" spans="1:245" hidden="1">
      <c r="A414" s="3267" t="s">
        <v>6155</v>
      </c>
      <c r="B414" s="3267" t="s">
        <v>6156</v>
      </c>
      <c r="C414" s="3269" t="s">
        <v>6157</v>
      </c>
      <c r="D414" s="3269" t="s">
        <v>6158</v>
      </c>
      <c r="E414" s="3268" t="s">
        <v>2985</v>
      </c>
      <c r="F414" s="3268" t="s">
        <v>3813</v>
      </c>
      <c r="G414" s="3267"/>
      <c r="H414" s="3267" t="s">
        <v>5449</v>
      </c>
      <c r="I414" s="3268"/>
      <c r="J414" s="3267" t="s">
        <v>5112</v>
      </c>
      <c r="K414" s="3267" t="s">
        <v>6159</v>
      </c>
      <c r="L414" s="3267">
        <v>70.09</v>
      </c>
      <c r="M414" s="3267">
        <v>16</v>
      </c>
      <c r="N414" s="3267" t="s">
        <v>3152</v>
      </c>
      <c r="O414" s="3267">
        <v>55.4</v>
      </c>
      <c r="P414" s="3267" t="s">
        <v>2963</v>
      </c>
      <c r="Q414" s="3271">
        <v>490000</v>
      </c>
      <c r="R414" s="3267">
        <v>6991</v>
      </c>
      <c r="S414" s="3272">
        <v>45.69</v>
      </c>
      <c r="T414" s="3273">
        <v>456900</v>
      </c>
      <c r="U414" s="3267">
        <v>6520</v>
      </c>
      <c r="V414" s="3289">
        <v>0.2</v>
      </c>
      <c r="W414" s="3272">
        <v>36.549999999999997</v>
      </c>
      <c r="X414" s="3275">
        <v>365500</v>
      </c>
      <c r="Y414" s="3276">
        <v>2006</v>
      </c>
      <c r="Z414" s="3276">
        <v>12</v>
      </c>
      <c r="AA414" s="3276">
        <v>22</v>
      </c>
      <c r="AB414" s="3267">
        <v>1370</v>
      </c>
      <c r="AC414" s="3267" t="s">
        <v>2980</v>
      </c>
      <c r="AD414" s="3269" t="s">
        <v>6160</v>
      </c>
      <c r="AE414" s="3279" t="s">
        <v>3245</v>
      </c>
      <c r="AF414" s="3267" t="s">
        <v>2966</v>
      </c>
      <c r="AG414" s="3279" t="s">
        <v>2967</v>
      </c>
      <c r="AH414" s="3267" t="s">
        <v>2968</v>
      </c>
      <c r="AI414" s="3279" t="s">
        <v>2992</v>
      </c>
      <c r="AJ414" s="3284"/>
      <c r="AK414" s="3278" t="s">
        <v>3120</v>
      </c>
      <c r="AL414" s="3276">
        <v>52</v>
      </c>
      <c r="AM414" s="3276"/>
      <c r="AN414" s="3279" t="s">
        <v>2994</v>
      </c>
      <c r="AO414" s="3267" t="s">
        <v>6161</v>
      </c>
      <c r="AP414" s="3279" t="s">
        <v>3305</v>
      </c>
      <c r="AQ414" s="3276" t="s">
        <v>2996</v>
      </c>
      <c r="AR414" s="3276"/>
      <c r="AS414" s="3276"/>
      <c r="AT414" s="3276"/>
      <c r="AU414" s="3276"/>
      <c r="AV414" s="3276" t="s">
        <v>2968</v>
      </c>
      <c r="AW414" s="3276" t="s">
        <v>3119</v>
      </c>
      <c r="AX414" s="3276"/>
      <c r="AY414" s="3291"/>
      <c r="AZ414" s="3267" t="s">
        <v>6159</v>
      </c>
      <c r="BA414" s="3296"/>
      <c r="BB414" s="3297"/>
      <c r="BC414" s="3296"/>
      <c r="BD414" s="3298"/>
      <c r="BE414" s="3276">
        <v>13366690774</v>
      </c>
      <c r="BF414" s="3281"/>
      <c r="BG414" s="3293">
        <v>39062</v>
      </c>
      <c r="BH414" s="3267" t="s">
        <v>2998</v>
      </c>
      <c r="BI414" s="3314" t="s">
        <v>3305</v>
      </c>
      <c r="BJ414" s="3283">
        <v>39071</v>
      </c>
      <c r="BK414" s="3283"/>
      <c r="BL414" s="3267" t="s">
        <v>3249</v>
      </c>
      <c r="BM414" s="3276" t="s">
        <v>2879</v>
      </c>
      <c r="BN414" s="3276" t="s">
        <v>3111</v>
      </c>
      <c r="BO414" s="3276" t="s">
        <v>3000</v>
      </c>
      <c r="BP414" s="3276"/>
      <c r="BQ414" s="3276">
        <v>8247</v>
      </c>
      <c r="BR414" s="3276">
        <v>8845</v>
      </c>
      <c r="BS414" s="3285"/>
      <c r="BT414" s="3285"/>
      <c r="BU414" s="3285"/>
    </row>
    <row r="415" spans="1:245" hidden="1">
      <c r="A415" s="3269" t="s">
        <v>6162</v>
      </c>
      <c r="B415" s="3268" t="s">
        <v>6163</v>
      </c>
      <c r="C415" s="3269" t="s">
        <v>6164</v>
      </c>
      <c r="D415" s="3268">
        <v>13910671707</v>
      </c>
      <c r="E415" s="3268" t="s">
        <v>2985</v>
      </c>
      <c r="F415" s="3268" t="s">
        <v>6165</v>
      </c>
      <c r="G415" s="3268"/>
      <c r="H415" s="3268" t="s">
        <v>3263</v>
      </c>
      <c r="I415" s="3268"/>
      <c r="J415" s="3268" t="s">
        <v>6166</v>
      </c>
      <c r="K415" s="3268" t="s">
        <v>6167</v>
      </c>
      <c r="L415" s="3270">
        <v>56.29</v>
      </c>
      <c r="M415" s="3270">
        <v>3</v>
      </c>
      <c r="N415" s="3267" t="s">
        <v>3125</v>
      </c>
      <c r="O415" s="3270" t="s">
        <v>2968</v>
      </c>
      <c r="P415" s="3268" t="s">
        <v>2963</v>
      </c>
      <c r="Q415" s="3271">
        <v>480000</v>
      </c>
      <c r="R415" s="3267">
        <v>8527</v>
      </c>
      <c r="S415" s="3272">
        <v>40.4</v>
      </c>
      <c r="T415" s="3273">
        <v>404000</v>
      </c>
      <c r="U415" s="3267">
        <v>7178</v>
      </c>
      <c r="V415" s="3289">
        <v>0.2</v>
      </c>
      <c r="W415" s="3272">
        <v>32.32</v>
      </c>
      <c r="X415" s="3275">
        <v>323200</v>
      </c>
      <c r="Y415" s="3276">
        <v>2006</v>
      </c>
      <c r="Z415" s="3276">
        <v>12</v>
      </c>
      <c r="AA415" s="3276">
        <v>19</v>
      </c>
      <c r="AB415" s="3267">
        <v>1210</v>
      </c>
      <c r="AC415" s="3267" t="s">
        <v>3444</v>
      </c>
      <c r="AD415" s="3269" t="s">
        <v>6168</v>
      </c>
      <c r="AE415" s="3268" t="s">
        <v>3304</v>
      </c>
      <c r="AF415" s="3268" t="s">
        <v>2966</v>
      </c>
      <c r="AG415" s="3268" t="s">
        <v>2967</v>
      </c>
      <c r="AH415" s="3268"/>
      <c r="AI415" s="3268" t="s">
        <v>3295</v>
      </c>
      <c r="AJ415" s="3290"/>
      <c r="AK415" s="3278" t="s">
        <v>3120</v>
      </c>
      <c r="AL415" s="3276">
        <v>25</v>
      </c>
      <c r="AM415" s="3276"/>
      <c r="AN415" s="3279" t="s">
        <v>2994</v>
      </c>
      <c r="AO415" s="3267"/>
      <c r="AP415" s="3279" t="s">
        <v>3537</v>
      </c>
      <c r="AQ415" s="3276" t="s">
        <v>2996</v>
      </c>
      <c r="AR415" s="3267"/>
      <c r="AS415" s="3267"/>
      <c r="AT415" s="3267"/>
      <c r="AU415" s="3267"/>
      <c r="AV415" s="3277"/>
      <c r="AW415" s="3276" t="s">
        <v>3119</v>
      </c>
      <c r="AX415" s="3276"/>
      <c r="AY415" s="3291" t="s">
        <v>2968</v>
      </c>
      <c r="AZ415" s="3267" t="s">
        <v>6167</v>
      </c>
      <c r="BA415" s="3296" t="s">
        <v>2968</v>
      </c>
      <c r="BB415" s="3297" t="s">
        <v>2968</v>
      </c>
      <c r="BC415" s="3296" t="s">
        <v>2968</v>
      </c>
      <c r="BD415" s="3298" t="s">
        <v>2968</v>
      </c>
      <c r="BE415" s="3276"/>
      <c r="BF415" s="3281" t="s">
        <v>2968</v>
      </c>
      <c r="BG415" s="3293">
        <v>39057</v>
      </c>
      <c r="BH415" s="3267"/>
      <c r="BI415" s="3314" t="s">
        <v>3537</v>
      </c>
      <c r="BJ415" s="3284">
        <v>39065</v>
      </c>
      <c r="BK415" s="3284"/>
      <c r="BL415" s="3267" t="s">
        <v>2998</v>
      </c>
      <c r="BM415" s="3267" t="s">
        <v>2879</v>
      </c>
      <c r="BN415" s="3267" t="s">
        <v>3111</v>
      </c>
      <c r="BO415" s="3276" t="s">
        <v>6169</v>
      </c>
      <c r="BP415" s="3276"/>
      <c r="BQ415" s="3276" t="e">
        <v>#VALUE!</v>
      </c>
      <c r="BR415" s="3276" t="e">
        <v>#VALUE!</v>
      </c>
      <c r="BS415" s="3285"/>
      <c r="BT415" s="3285"/>
      <c r="BU415" s="3285"/>
    </row>
    <row r="416" spans="1:245" hidden="1">
      <c r="A416" s="3267" t="s">
        <v>6170</v>
      </c>
      <c r="B416" s="3267" t="s">
        <v>6171</v>
      </c>
      <c r="C416" s="3269" t="s">
        <v>6172</v>
      </c>
      <c r="D416" s="3269" t="s">
        <v>6173</v>
      </c>
      <c r="E416" s="3268" t="s">
        <v>2985</v>
      </c>
      <c r="F416" s="3268" t="s">
        <v>6174</v>
      </c>
      <c r="G416" s="3267"/>
      <c r="H416" s="3267" t="s">
        <v>5436</v>
      </c>
      <c r="I416" s="3268" t="s">
        <v>3586</v>
      </c>
      <c r="J416" s="3268" t="s">
        <v>3165</v>
      </c>
      <c r="K416" s="3267" t="s">
        <v>6175</v>
      </c>
      <c r="L416" s="3267">
        <v>60.12</v>
      </c>
      <c r="M416" s="3267">
        <v>6</v>
      </c>
      <c r="N416" s="3267" t="s">
        <v>3122</v>
      </c>
      <c r="O416" s="3267"/>
      <c r="P416" s="3267" t="s">
        <v>2963</v>
      </c>
      <c r="Q416" s="3271">
        <v>585000</v>
      </c>
      <c r="R416" s="3267">
        <v>9731</v>
      </c>
      <c r="S416" s="3272">
        <v>51.67</v>
      </c>
      <c r="T416" s="3273">
        <v>516700</v>
      </c>
      <c r="U416" s="3267">
        <v>8595</v>
      </c>
      <c r="V416" s="3289">
        <v>0.2</v>
      </c>
      <c r="W416" s="3272">
        <v>41.33</v>
      </c>
      <c r="X416" s="3275">
        <v>413300</v>
      </c>
      <c r="Y416" s="3276">
        <v>2006</v>
      </c>
      <c r="Z416" s="3276">
        <v>12</v>
      </c>
      <c r="AA416" s="3276">
        <v>29</v>
      </c>
      <c r="AB416" s="3267">
        <v>1500</v>
      </c>
      <c r="AC416" s="3267" t="s">
        <v>2980</v>
      </c>
      <c r="AD416" s="3366">
        <v>91302006121059</v>
      </c>
      <c r="AE416" s="3279" t="s">
        <v>2991</v>
      </c>
      <c r="AF416" s="3268"/>
      <c r="AG416" s="3279" t="s">
        <v>2967</v>
      </c>
      <c r="AH416" s="3267"/>
      <c r="AI416" s="3279" t="s">
        <v>2992</v>
      </c>
      <c r="AJ416" s="3284"/>
      <c r="AK416" s="3278" t="s">
        <v>3120</v>
      </c>
      <c r="AL416" s="3276">
        <v>36</v>
      </c>
      <c r="AM416" s="3276"/>
      <c r="AN416" s="3279" t="s">
        <v>3099</v>
      </c>
      <c r="AO416" s="3267" t="s">
        <v>6176</v>
      </c>
      <c r="AP416" s="3279" t="s">
        <v>2991</v>
      </c>
      <c r="AQ416" s="3276" t="s">
        <v>3113</v>
      </c>
      <c r="AR416" s="3276">
        <v>2006</v>
      </c>
      <c r="AS416" s="3276">
        <v>12</v>
      </c>
      <c r="AT416" s="3276">
        <v>29</v>
      </c>
      <c r="AU416" s="3276"/>
      <c r="AV416" s="3276"/>
      <c r="AW416" s="3276" t="s">
        <v>2997</v>
      </c>
      <c r="AX416" s="3276"/>
      <c r="AY416" s="3291"/>
      <c r="AZ416" s="3267" t="s">
        <v>6175</v>
      </c>
      <c r="BA416" s="3296"/>
      <c r="BB416" s="3297"/>
      <c r="BC416" s="3296"/>
      <c r="BD416" s="3298"/>
      <c r="BE416" s="3276"/>
      <c r="BF416" s="3281"/>
      <c r="BG416" s="3293">
        <v>39068</v>
      </c>
      <c r="BH416" s="3267"/>
      <c r="BI416" s="3279" t="s">
        <v>2991</v>
      </c>
      <c r="BJ416" s="3299">
        <v>39071</v>
      </c>
      <c r="BK416" s="3283" t="s">
        <v>2968</v>
      </c>
      <c r="BL416" s="3267" t="s">
        <v>2998</v>
      </c>
      <c r="BM416" s="3276" t="s">
        <v>2879</v>
      </c>
      <c r="BN416" s="3276" t="s">
        <v>2999</v>
      </c>
      <c r="BO416" s="3276" t="s">
        <v>3146</v>
      </c>
      <c r="BP416" s="3276"/>
      <c r="BQ416" s="3276" t="e">
        <v>#DIV/0!</v>
      </c>
      <c r="BR416" s="3276" t="e">
        <v>#DIV/0!</v>
      </c>
      <c r="BS416" s="3285"/>
      <c r="BT416" s="3285"/>
      <c r="BU416" s="3285"/>
      <c r="BW416" s="3262" t="s">
        <v>3262</v>
      </c>
      <c r="BX416" s="3262" t="s">
        <v>3262</v>
      </c>
      <c r="BY416" s="3262" t="s">
        <v>3262</v>
      </c>
      <c r="BZ416" s="3262" t="s">
        <v>3262</v>
      </c>
      <c r="CA416" s="3262" t="s">
        <v>3262</v>
      </c>
      <c r="CB416" s="3262" t="s">
        <v>3262</v>
      </c>
      <c r="CC416" s="3262" t="s">
        <v>3262</v>
      </c>
      <c r="CD416" s="3262" t="s">
        <v>3262</v>
      </c>
      <c r="CE416" s="3262" t="s">
        <v>3262</v>
      </c>
      <c r="CF416" s="3262" t="s">
        <v>3262</v>
      </c>
      <c r="CG416" s="3262" t="s">
        <v>3262</v>
      </c>
      <c r="CH416" s="3262" t="s">
        <v>3262</v>
      </c>
      <c r="CI416" s="3262" t="s">
        <v>3262</v>
      </c>
      <c r="CJ416" s="3262" t="s">
        <v>3262</v>
      </c>
      <c r="CK416" s="3262" t="s">
        <v>3262</v>
      </c>
      <c r="CL416" s="3262" t="s">
        <v>3262</v>
      </c>
      <c r="CM416" s="3262" t="s">
        <v>3262</v>
      </c>
      <c r="CN416" s="3262" t="s">
        <v>3262</v>
      </c>
      <c r="CO416" s="3262" t="s">
        <v>3262</v>
      </c>
      <c r="CP416" s="3262" t="s">
        <v>3262</v>
      </c>
      <c r="CQ416" s="3262" t="s">
        <v>3262</v>
      </c>
      <c r="CR416" s="3262" t="s">
        <v>3262</v>
      </c>
      <c r="CS416" s="3262" t="s">
        <v>3262</v>
      </c>
      <c r="CT416" s="3262" t="s">
        <v>3262</v>
      </c>
      <c r="CU416" s="3262" t="s">
        <v>3262</v>
      </c>
      <c r="CV416" s="3262" t="s">
        <v>3262</v>
      </c>
      <c r="CW416" s="3262" t="s">
        <v>3262</v>
      </c>
      <c r="CX416" s="3262" t="s">
        <v>3262</v>
      </c>
      <c r="CY416" s="3262" t="s">
        <v>3262</v>
      </c>
      <c r="CZ416" s="3262" t="s">
        <v>3262</v>
      </c>
      <c r="DA416" s="3262" t="s">
        <v>3262</v>
      </c>
      <c r="DB416" s="3262" t="s">
        <v>3262</v>
      </c>
      <c r="DC416" s="3262" t="s">
        <v>3262</v>
      </c>
      <c r="DD416" s="3262" t="s">
        <v>3262</v>
      </c>
      <c r="DE416" s="3262" t="s">
        <v>3262</v>
      </c>
      <c r="DF416" s="3262" t="s">
        <v>3262</v>
      </c>
      <c r="DG416" s="3262" t="s">
        <v>3262</v>
      </c>
      <c r="DH416" s="3262" t="s">
        <v>3262</v>
      </c>
      <c r="DI416" s="3262" t="s">
        <v>3262</v>
      </c>
      <c r="DJ416" s="3262" t="s">
        <v>3262</v>
      </c>
      <c r="DK416" s="3262" t="s">
        <v>3262</v>
      </c>
      <c r="DL416" s="3262" t="s">
        <v>3262</v>
      </c>
      <c r="DM416" s="3262" t="s">
        <v>3262</v>
      </c>
      <c r="DN416" s="3262" t="s">
        <v>3262</v>
      </c>
      <c r="DO416" s="3262" t="s">
        <v>3262</v>
      </c>
      <c r="DP416" s="3262" t="s">
        <v>3262</v>
      </c>
      <c r="DQ416" s="3262" t="s">
        <v>3262</v>
      </c>
      <c r="DR416" s="3262" t="s">
        <v>3262</v>
      </c>
      <c r="DS416" s="3262" t="s">
        <v>3262</v>
      </c>
      <c r="DT416" s="3262" t="s">
        <v>3262</v>
      </c>
      <c r="DU416" s="3262" t="s">
        <v>3262</v>
      </c>
      <c r="DV416" s="3262" t="s">
        <v>3262</v>
      </c>
      <c r="DW416" s="3262" t="s">
        <v>3262</v>
      </c>
      <c r="DX416" s="3262" t="s">
        <v>3262</v>
      </c>
      <c r="DY416" s="3262" t="s">
        <v>3262</v>
      </c>
      <c r="DZ416" s="3262" t="s">
        <v>3262</v>
      </c>
      <c r="EA416" s="3262" t="s">
        <v>3262</v>
      </c>
      <c r="EB416" s="3262" t="s">
        <v>3262</v>
      </c>
      <c r="EC416" s="3262" t="s">
        <v>3262</v>
      </c>
      <c r="ED416" s="3262" t="s">
        <v>3262</v>
      </c>
      <c r="EE416" s="3262" t="s">
        <v>3262</v>
      </c>
      <c r="EF416" s="3262" t="s">
        <v>3262</v>
      </c>
      <c r="EG416" s="3262" t="s">
        <v>3262</v>
      </c>
      <c r="EH416" s="3262" t="s">
        <v>3262</v>
      </c>
      <c r="EI416" s="3262" t="s">
        <v>3262</v>
      </c>
      <c r="EJ416" s="3262" t="s">
        <v>3262</v>
      </c>
      <c r="EK416" s="3262" t="s">
        <v>3262</v>
      </c>
      <c r="EL416" s="3262" t="s">
        <v>3262</v>
      </c>
      <c r="EM416" s="3262" t="s">
        <v>3262</v>
      </c>
      <c r="EN416" s="3262" t="s">
        <v>3262</v>
      </c>
      <c r="EO416" s="3262" t="s">
        <v>3262</v>
      </c>
      <c r="EP416" s="3262" t="s">
        <v>3262</v>
      </c>
      <c r="EQ416" s="3262" t="s">
        <v>3262</v>
      </c>
      <c r="ER416" s="3262" t="s">
        <v>3262</v>
      </c>
      <c r="ES416" s="3262" t="s">
        <v>3262</v>
      </c>
      <c r="ET416" s="3262" t="s">
        <v>3262</v>
      </c>
      <c r="EU416" s="3262" t="s">
        <v>3262</v>
      </c>
      <c r="EV416" s="3262" t="s">
        <v>3262</v>
      </c>
      <c r="EW416" s="3262" t="s">
        <v>3262</v>
      </c>
      <c r="EX416" s="3262" t="s">
        <v>3262</v>
      </c>
      <c r="EY416" s="3262" t="s">
        <v>3262</v>
      </c>
      <c r="EZ416" s="3262" t="s">
        <v>3262</v>
      </c>
      <c r="FA416" s="3262" t="s">
        <v>3262</v>
      </c>
      <c r="FB416" s="3262" t="s">
        <v>3262</v>
      </c>
      <c r="FC416" s="3262" t="s">
        <v>3262</v>
      </c>
      <c r="FD416" s="3262" t="s">
        <v>3262</v>
      </c>
      <c r="FE416" s="3262" t="s">
        <v>3262</v>
      </c>
      <c r="FF416" s="3262" t="s">
        <v>3262</v>
      </c>
      <c r="FG416" s="3262" t="s">
        <v>3262</v>
      </c>
      <c r="FH416" s="3262" t="s">
        <v>3262</v>
      </c>
      <c r="FI416" s="3262" t="s">
        <v>3262</v>
      </c>
      <c r="FJ416" s="3262" t="s">
        <v>3262</v>
      </c>
      <c r="FK416" s="3262" t="s">
        <v>3262</v>
      </c>
      <c r="FL416" s="3262" t="s">
        <v>3262</v>
      </c>
      <c r="FM416" s="3262" t="s">
        <v>3262</v>
      </c>
      <c r="FN416" s="3262" t="s">
        <v>3262</v>
      </c>
      <c r="FO416" s="3262" t="s">
        <v>3262</v>
      </c>
      <c r="FP416" s="3262" t="s">
        <v>3262</v>
      </c>
      <c r="FQ416" s="3262" t="s">
        <v>3262</v>
      </c>
      <c r="FR416" s="3262" t="s">
        <v>3262</v>
      </c>
      <c r="FS416" s="3262" t="s">
        <v>3262</v>
      </c>
      <c r="FT416" s="3262" t="s">
        <v>3262</v>
      </c>
      <c r="FU416" s="3262" t="s">
        <v>3262</v>
      </c>
      <c r="FV416" s="3262" t="s">
        <v>3262</v>
      </c>
      <c r="FW416" s="3262" t="s">
        <v>3262</v>
      </c>
      <c r="FX416" s="3262" t="s">
        <v>3262</v>
      </c>
      <c r="FY416" s="3262" t="s">
        <v>3262</v>
      </c>
      <c r="FZ416" s="3262" t="s">
        <v>3262</v>
      </c>
      <c r="GA416" s="3262" t="s">
        <v>3262</v>
      </c>
      <c r="GB416" s="3262" t="s">
        <v>3262</v>
      </c>
      <c r="GC416" s="3262" t="s">
        <v>3262</v>
      </c>
      <c r="GD416" s="3262" t="s">
        <v>3262</v>
      </c>
      <c r="GE416" s="3262" t="s">
        <v>3262</v>
      </c>
      <c r="GF416" s="3262" t="s">
        <v>3262</v>
      </c>
      <c r="GG416" s="3262" t="s">
        <v>3262</v>
      </c>
      <c r="GH416" s="3262" t="s">
        <v>3262</v>
      </c>
      <c r="GI416" s="3262" t="s">
        <v>3262</v>
      </c>
      <c r="GJ416" s="3262" t="s">
        <v>3262</v>
      </c>
      <c r="GK416" s="3262" t="s">
        <v>3262</v>
      </c>
      <c r="GL416" s="3262" t="s">
        <v>3262</v>
      </c>
      <c r="GM416" s="3262" t="s">
        <v>3262</v>
      </c>
      <c r="GN416" s="3262" t="s">
        <v>3262</v>
      </c>
      <c r="GO416" s="3262" t="s">
        <v>3262</v>
      </c>
      <c r="GP416" s="3262" t="s">
        <v>3262</v>
      </c>
      <c r="GQ416" s="3262" t="s">
        <v>3262</v>
      </c>
      <c r="GR416" s="3262" t="s">
        <v>3262</v>
      </c>
      <c r="GS416" s="3262" t="s">
        <v>3262</v>
      </c>
      <c r="GT416" s="3262" t="s">
        <v>3262</v>
      </c>
      <c r="GU416" s="3262" t="s">
        <v>3262</v>
      </c>
      <c r="GV416" s="3262" t="s">
        <v>3262</v>
      </c>
      <c r="GW416" s="3262" t="s">
        <v>3262</v>
      </c>
      <c r="GX416" s="3262" t="s">
        <v>3262</v>
      </c>
      <c r="GY416" s="3262" t="s">
        <v>3262</v>
      </c>
      <c r="GZ416" s="3262" t="s">
        <v>3262</v>
      </c>
      <c r="HA416" s="3262" t="s">
        <v>3262</v>
      </c>
      <c r="HB416" s="3262" t="s">
        <v>3262</v>
      </c>
      <c r="HC416" s="3262" t="s">
        <v>3262</v>
      </c>
      <c r="HD416" s="3262" t="s">
        <v>3262</v>
      </c>
      <c r="HE416" s="3262" t="s">
        <v>3262</v>
      </c>
      <c r="HF416" s="3262" t="s">
        <v>3262</v>
      </c>
      <c r="HG416" s="3262" t="s">
        <v>3262</v>
      </c>
      <c r="HH416" s="3262" t="s">
        <v>3262</v>
      </c>
      <c r="HI416" s="3262" t="s">
        <v>3262</v>
      </c>
      <c r="HJ416" s="3262" t="s">
        <v>3262</v>
      </c>
      <c r="HK416" s="3262" t="s">
        <v>3262</v>
      </c>
      <c r="HL416" s="3262" t="s">
        <v>3262</v>
      </c>
      <c r="HM416" s="3262" t="s">
        <v>3262</v>
      </c>
      <c r="HN416" s="3262" t="s">
        <v>3262</v>
      </c>
      <c r="HO416" s="3262" t="s">
        <v>3262</v>
      </c>
      <c r="HP416" s="3262" t="s">
        <v>3262</v>
      </c>
      <c r="HQ416" s="3262" t="s">
        <v>3262</v>
      </c>
      <c r="HR416" s="3262" t="s">
        <v>3262</v>
      </c>
      <c r="HS416" s="3262" t="s">
        <v>3262</v>
      </c>
      <c r="HT416" s="3262" t="s">
        <v>3262</v>
      </c>
      <c r="HU416" s="3262" t="s">
        <v>3262</v>
      </c>
      <c r="HV416" s="3262" t="s">
        <v>3262</v>
      </c>
      <c r="HW416" s="3262" t="s">
        <v>3262</v>
      </c>
      <c r="HX416" s="3262" t="s">
        <v>3262</v>
      </c>
      <c r="HY416" s="3262" t="s">
        <v>3262</v>
      </c>
      <c r="HZ416" s="3262" t="s">
        <v>3262</v>
      </c>
      <c r="IA416" s="3262" t="s">
        <v>3262</v>
      </c>
      <c r="IB416" s="3262" t="s">
        <v>3262</v>
      </c>
      <c r="IC416" s="3262" t="s">
        <v>3262</v>
      </c>
      <c r="ID416" s="3262" t="s">
        <v>3262</v>
      </c>
      <c r="IE416" s="3262" t="s">
        <v>3262</v>
      </c>
      <c r="IF416" s="3262" t="s">
        <v>3262</v>
      </c>
      <c r="IG416" s="3262" t="s">
        <v>3262</v>
      </c>
      <c r="IH416" s="3262" t="s">
        <v>3262</v>
      </c>
      <c r="II416" s="3262" t="s">
        <v>3262</v>
      </c>
      <c r="IJ416" s="3262" t="s">
        <v>3262</v>
      </c>
      <c r="IK416" s="3262" t="s">
        <v>3262</v>
      </c>
    </row>
    <row r="417" spans="1:73" hidden="1">
      <c r="A417" s="3267" t="s">
        <v>6177</v>
      </c>
      <c r="B417" s="3267" t="s">
        <v>6178</v>
      </c>
      <c r="C417" s="3269" t="s">
        <v>6179</v>
      </c>
      <c r="D417" s="3269" t="s">
        <v>6180</v>
      </c>
      <c r="E417" s="3268" t="s">
        <v>2985</v>
      </c>
      <c r="F417" s="3268" t="s">
        <v>6181</v>
      </c>
      <c r="G417" s="3267"/>
      <c r="H417" s="3267" t="s">
        <v>3402</v>
      </c>
      <c r="I417" s="3268"/>
      <c r="J417" s="3267" t="s">
        <v>6182</v>
      </c>
      <c r="K417" s="3267" t="s">
        <v>6183</v>
      </c>
      <c r="L417" s="3267">
        <v>100.89</v>
      </c>
      <c r="M417" s="3267">
        <v>21</v>
      </c>
      <c r="N417" s="3267" t="s">
        <v>3172</v>
      </c>
      <c r="O417" s="3267">
        <v>86.08</v>
      </c>
      <c r="P417" s="3267" t="s">
        <v>2963</v>
      </c>
      <c r="Q417" s="3271">
        <v>363204</v>
      </c>
      <c r="R417" s="3267">
        <v>3600</v>
      </c>
      <c r="S417" s="3272">
        <v>36.32</v>
      </c>
      <c r="T417" s="3273">
        <v>363200</v>
      </c>
      <c r="U417" s="3267">
        <v>3600</v>
      </c>
      <c r="V417" s="3289">
        <v>0.3</v>
      </c>
      <c r="W417" s="3272">
        <v>25.42</v>
      </c>
      <c r="X417" s="3275">
        <v>254200</v>
      </c>
      <c r="Y417" s="3276">
        <v>2006</v>
      </c>
      <c r="Z417" s="3276">
        <v>12</v>
      </c>
      <c r="AA417" s="3276">
        <v>22</v>
      </c>
      <c r="AB417" s="3267">
        <v>1085</v>
      </c>
      <c r="AC417" s="3267" t="s">
        <v>2980</v>
      </c>
      <c r="AD417" s="3269" t="s">
        <v>6184</v>
      </c>
      <c r="AE417" s="3279" t="s">
        <v>3344</v>
      </c>
      <c r="AF417" s="3267" t="s">
        <v>2966</v>
      </c>
      <c r="AG417" s="3279" t="s">
        <v>5571</v>
      </c>
      <c r="AH417" s="3267"/>
      <c r="AI417" s="3279" t="s">
        <v>2992</v>
      </c>
      <c r="AJ417" s="3284"/>
      <c r="AK417" s="3278" t="s">
        <v>3120</v>
      </c>
      <c r="AL417" s="3276">
        <v>56</v>
      </c>
      <c r="AM417" s="3276"/>
      <c r="AN417" s="3279" t="s">
        <v>2994</v>
      </c>
      <c r="AO417" s="3267" t="s">
        <v>6185</v>
      </c>
      <c r="AP417" s="3279" t="s">
        <v>3305</v>
      </c>
      <c r="AQ417" s="3276" t="s">
        <v>2996</v>
      </c>
      <c r="AR417" s="3276"/>
      <c r="AS417" s="3276"/>
      <c r="AT417" s="3276"/>
      <c r="AU417" s="3276"/>
      <c r="AV417" s="3276" t="s">
        <v>2968</v>
      </c>
      <c r="AW417" s="3276" t="s">
        <v>3171</v>
      </c>
      <c r="AX417" s="3276"/>
      <c r="AY417" s="3291"/>
      <c r="AZ417" s="3267" t="s">
        <v>6183</v>
      </c>
      <c r="BA417" s="3296"/>
      <c r="BB417" s="3297"/>
      <c r="BC417" s="3296"/>
      <c r="BD417" s="3298"/>
      <c r="BE417" s="3276"/>
      <c r="BF417" s="3281" t="s">
        <v>2968</v>
      </c>
      <c r="BG417" s="3293">
        <v>39068</v>
      </c>
      <c r="BH417" s="3267" t="s">
        <v>2998</v>
      </c>
      <c r="BI417" s="3314" t="s">
        <v>3305</v>
      </c>
      <c r="BJ417" s="3283">
        <v>39071</v>
      </c>
      <c r="BK417" s="3283"/>
      <c r="BL417" s="3267" t="s">
        <v>3249</v>
      </c>
      <c r="BM417" s="3276" t="s">
        <v>2879</v>
      </c>
      <c r="BN417" s="3276" t="s">
        <v>2999</v>
      </c>
      <c r="BO417" s="3276" t="s">
        <v>3146</v>
      </c>
      <c r="BP417" s="3276"/>
      <c r="BQ417" s="3276">
        <v>4219</v>
      </c>
      <c r="BR417" s="3276">
        <v>4219</v>
      </c>
      <c r="BS417" s="3285"/>
      <c r="BT417" s="3285"/>
      <c r="BU417" s="3285"/>
    </row>
    <row r="418" spans="1:73" hidden="1">
      <c r="A418" s="3267" t="s">
        <v>6186</v>
      </c>
      <c r="B418" s="3267" t="s">
        <v>6187</v>
      </c>
      <c r="C418" s="3269" t="s">
        <v>6188</v>
      </c>
      <c r="D418" s="3267">
        <v>13810299246</v>
      </c>
      <c r="E418" s="3267" t="s">
        <v>2985</v>
      </c>
      <c r="F418" s="3267" t="s">
        <v>4373</v>
      </c>
      <c r="G418" s="3267"/>
      <c r="H418" s="3267" t="s">
        <v>3139</v>
      </c>
      <c r="I418" s="3267"/>
      <c r="J418" s="3267" t="s">
        <v>6189</v>
      </c>
      <c r="K418" s="3267" t="s">
        <v>6190</v>
      </c>
      <c r="L418" s="3267">
        <v>136.69999999999999</v>
      </c>
      <c r="M418" s="3267">
        <v>6</v>
      </c>
      <c r="N418" s="3267" t="s">
        <v>3129</v>
      </c>
      <c r="O418" s="3267"/>
      <c r="P418" s="3267" t="s">
        <v>3495</v>
      </c>
      <c r="Q418" s="3267">
        <v>1000000</v>
      </c>
      <c r="R418" s="3288">
        <v>7315</v>
      </c>
      <c r="S418" s="3272">
        <v>99.54</v>
      </c>
      <c r="T418" s="3273">
        <v>995400.00000000012</v>
      </c>
      <c r="U418" s="3267">
        <v>7282</v>
      </c>
      <c r="V418" s="3289">
        <v>0.3</v>
      </c>
      <c r="W418" s="3272">
        <v>69.67</v>
      </c>
      <c r="X418" s="3273">
        <v>696700</v>
      </c>
      <c r="Y418" s="3267">
        <v>2006</v>
      </c>
      <c r="Z418" s="3276">
        <v>12</v>
      </c>
      <c r="AA418" s="3267">
        <v>27</v>
      </c>
      <c r="AB418" s="3267">
        <v>1500</v>
      </c>
      <c r="AC418" s="3267" t="s">
        <v>3110</v>
      </c>
      <c r="AD418" s="3267"/>
      <c r="AE418" s="3267" t="s">
        <v>2991</v>
      </c>
      <c r="AF418" s="3267" t="s">
        <v>2966</v>
      </c>
      <c r="AG418" s="3267" t="s">
        <v>2967</v>
      </c>
      <c r="AH418" s="3267"/>
      <c r="AI418" s="3267" t="s">
        <v>3115</v>
      </c>
      <c r="AJ418" s="3267"/>
      <c r="AK418" s="3278" t="s">
        <v>3120</v>
      </c>
      <c r="AL418" s="3267">
        <v>41</v>
      </c>
      <c r="AM418" s="3267"/>
      <c r="AN418" s="3279" t="s">
        <v>3099</v>
      </c>
      <c r="AO418" s="3267" t="s">
        <v>2968</v>
      </c>
      <c r="AP418" s="3279" t="s">
        <v>3537</v>
      </c>
      <c r="AQ418" s="3267" t="s">
        <v>3113</v>
      </c>
      <c r="AR418" s="3267"/>
      <c r="AS418" s="3267"/>
      <c r="AT418" s="3267"/>
      <c r="AU418" s="3267"/>
      <c r="AV418" s="3267"/>
      <c r="AW418" s="3267" t="s">
        <v>2997</v>
      </c>
      <c r="AX418" s="3267"/>
      <c r="AY418" s="3267"/>
      <c r="AZ418" s="3267" t="s">
        <v>6190</v>
      </c>
      <c r="BA418" s="3267"/>
      <c r="BB418" s="3267"/>
      <c r="BC418" s="3267"/>
      <c r="BD418" s="3267"/>
      <c r="BE418" s="3267">
        <v>67325115</v>
      </c>
      <c r="BF418" s="3267"/>
      <c r="BG418" s="3284">
        <v>39074</v>
      </c>
      <c r="BH418" s="3267"/>
      <c r="BI418" s="3279" t="s">
        <v>3537</v>
      </c>
      <c r="BJ418" s="3284"/>
      <c r="BK418" s="3267"/>
      <c r="BL418" s="3267" t="s">
        <v>2998</v>
      </c>
      <c r="BM418" s="3267" t="s">
        <v>2879</v>
      </c>
      <c r="BN418" s="3267" t="s">
        <v>2999</v>
      </c>
      <c r="BO418" s="3267" t="s">
        <v>3000</v>
      </c>
      <c r="BP418" s="3267"/>
      <c r="BQ418" s="3276" t="e">
        <v>#DIV/0!</v>
      </c>
      <c r="BR418" s="3276" t="e">
        <v>#DIV/0!</v>
      </c>
      <c r="BS418" s="3285"/>
      <c r="BT418" s="3285"/>
      <c r="BU418" s="3285"/>
    </row>
    <row r="419" spans="1:73" hidden="1">
      <c r="A419" s="3267" t="s">
        <v>6191</v>
      </c>
      <c r="B419" s="3267" t="s">
        <v>6192</v>
      </c>
      <c r="C419" s="3269" t="s">
        <v>6193</v>
      </c>
      <c r="D419" s="3269">
        <v>13911838989</v>
      </c>
      <c r="E419" s="3268" t="s">
        <v>2985</v>
      </c>
      <c r="F419" s="3268" t="s">
        <v>6194</v>
      </c>
      <c r="G419" s="3267"/>
      <c r="H419" s="3267" t="s">
        <v>3139</v>
      </c>
      <c r="I419" s="3268"/>
      <c r="J419" s="3267" t="s">
        <v>5546</v>
      </c>
      <c r="K419" s="3267" t="s">
        <v>6192</v>
      </c>
      <c r="L419" s="3267">
        <v>69.89</v>
      </c>
      <c r="M419" s="3267">
        <v>12</v>
      </c>
      <c r="N419" s="3267" t="s">
        <v>3122</v>
      </c>
      <c r="O419" s="3267"/>
      <c r="P419" s="3267" t="s">
        <v>2963</v>
      </c>
      <c r="Q419" s="3271">
        <v>550000</v>
      </c>
      <c r="R419" s="3267">
        <v>7870</v>
      </c>
      <c r="S419" s="3272">
        <v>43.82</v>
      </c>
      <c r="T419" s="3273">
        <v>438200</v>
      </c>
      <c r="U419" s="3267">
        <v>6270</v>
      </c>
      <c r="V419" s="3289">
        <v>0.2</v>
      </c>
      <c r="W419" s="3272">
        <v>35.049999999999997</v>
      </c>
      <c r="X419" s="3275">
        <v>350500</v>
      </c>
      <c r="Y419" s="3276">
        <v>2006</v>
      </c>
      <c r="Z419" s="3276">
        <v>5</v>
      </c>
      <c r="AA419" s="3276">
        <v>15</v>
      </c>
      <c r="AB419" s="3267">
        <v>1310</v>
      </c>
      <c r="AC419" s="3267" t="s">
        <v>3521</v>
      </c>
      <c r="AD419" s="3267"/>
      <c r="AE419" s="3314" t="s">
        <v>3344</v>
      </c>
      <c r="AF419" s="3268" t="s">
        <v>2966</v>
      </c>
      <c r="AG419" s="3279" t="s">
        <v>2967</v>
      </c>
      <c r="AH419" s="3267"/>
      <c r="AI419" s="3279" t="s">
        <v>2992</v>
      </c>
      <c r="AJ419" s="3284"/>
      <c r="AK419" s="3278">
        <v>5</v>
      </c>
      <c r="AL419" s="3276">
        <v>67641700</v>
      </c>
      <c r="AM419" s="3276"/>
      <c r="AN419" s="3279" t="s">
        <v>3140</v>
      </c>
      <c r="AO419" s="3267"/>
      <c r="AP419" s="3279" t="s">
        <v>3305</v>
      </c>
      <c r="AQ419" s="3267" t="s">
        <v>3228</v>
      </c>
      <c r="AR419" s="3276"/>
      <c r="AS419" s="3276"/>
      <c r="AT419" s="3276"/>
      <c r="AU419" s="3276"/>
      <c r="AV419" s="3276"/>
      <c r="AW419" s="3276" t="s">
        <v>3119</v>
      </c>
      <c r="AX419" s="3276"/>
      <c r="AY419" s="3291"/>
      <c r="AZ419" s="3267" t="s">
        <v>6195</v>
      </c>
      <c r="BA419" s="3296"/>
      <c r="BB419" s="3297"/>
      <c r="BC419" s="3296"/>
      <c r="BD419" s="3298"/>
      <c r="BE419" s="3276"/>
      <c r="BF419" s="3281"/>
      <c r="BG419" s="3293">
        <v>38791</v>
      </c>
      <c r="BH419" s="3267" t="s">
        <v>2998</v>
      </c>
      <c r="BI419" s="3314" t="s">
        <v>3305</v>
      </c>
      <c r="BJ419" s="3283">
        <v>38813</v>
      </c>
      <c r="BK419" s="3283"/>
      <c r="BL419" s="3267" t="s">
        <v>3249</v>
      </c>
      <c r="BM419" s="3276" t="s">
        <v>2879</v>
      </c>
      <c r="BN419" s="3276" t="s">
        <v>2999</v>
      </c>
      <c r="BO419" s="3276" t="s">
        <v>3146</v>
      </c>
      <c r="BP419" s="3276"/>
      <c r="BQ419" s="3276" t="e">
        <v>#DIV/0!</v>
      </c>
      <c r="BR419" s="3276" t="e">
        <v>#DIV/0!</v>
      </c>
      <c r="BS419" s="3285"/>
      <c r="BT419" s="3285"/>
      <c r="BU419" s="3285"/>
    </row>
    <row r="420" spans="1:73" hidden="1">
      <c r="A420" s="3267" t="s">
        <v>6196</v>
      </c>
      <c r="B420" s="3267" t="s">
        <v>6197</v>
      </c>
      <c r="C420" s="3269" t="s">
        <v>6198</v>
      </c>
      <c r="D420" s="3267">
        <v>13910027775</v>
      </c>
      <c r="E420" s="3267" t="s">
        <v>2985</v>
      </c>
      <c r="F420" s="3267" t="s">
        <v>6199</v>
      </c>
      <c r="G420" s="3267"/>
      <c r="H420" s="3267" t="s">
        <v>3118</v>
      </c>
      <c r="I420" s="3267" t="s">
        <v>3191</v>
      </c>
      <c r="J420" s="3267" t="s">
        <v>3380</v>
      </c>
      <c r="K420" s="3268" t="s">
        <v>6200</v>
      </c>
      <c r="L420" s="3267">
        <v>55.59</v>
      </c>
      <c r="M420" s="3267">
        <v>3</v>
      </c>
      <c r="N420" s="3267" t="s">
        <v>3122</v>
      </c>
      <c r="O420" s="3267"/>
      <c r="P420" s="3267" t="s">
        <v>2963</v>
      </c>
      <c r="Q420" s="3267">
        <v>450000</v>
      </c>
      <c r="R420" s="3267">
        <v>8095</v>
      </c>
      <c r="S420" s="3272">
        <v>41.11</v>
      </c>
      <c r="T420" s="3273">
        <v>411100</v>
      </c>
      <c r="U420" s="3267">
        <v>7397</v>
      </c>
      <c r="V420" s="3274">
        <v>0.2</v>
      </c>
      <c r="W420" s="3272">
        <v>32.880000000000003</v>
      </c>
      <c r="X420" s="3275">
        <v>328800</v>
      </c>
      <c r="Y420" s="3267">
        <v>2006</v>
      </c>
      <c r="Z420" s="3267">
        <v>4</v>
      </c>
      <c r="AA420" s="3276">
        <v>29</v>
      </c>
      <c r="AB420" s="3267">
        <v>1230</v>
      </c>
      <c r="AC420" s="3267" t="s">
        <v>3521</v>
      </c>
      <c r="AD420" s="3267"/>
      <c r="AE420" s="3276" t="s">
        <v>2991</v>
      </c>
      <c r="AF420" s="3267" t="s">
        <v>2966</v>
      </c>
      <c r="AG420" s="3267" t="s">
        <v>2967</v>
      </c>
      <c r="AH420" s="3267"/>
      <c r="AI420" s="3267" t="s">
        <v>3115</v>
      </c>
      <c r="AJ420" s="3284"/>
      <c r="AK420" s="3267" t="s">
        <v>2994</v>
      </c>
      <c r="AL420" s="3267">
        <v>82253558</v>
      </c>
      <c r="AM420" s="3267"/>
      <c r="AN420" s="3267" t="s">
        <v>2994</v>
      </c>
      <c r="AO420" s="3267" t="s">
        <v>2968</v>
      </c>
      <c r="AP420" s="3267" t="s">
        <v>3180</v>
      </c>
      <c r="AQ420" s="3267" t="s">
        <v>3228</v>
      </c>
      <c r="AR420" s="3267">
        <v>2006</v>
      </c>
      <c r="AS420" s="3267">
        <v>4</v>
      </c>
      <c r="AT420" s="3267">
        <v>29</v>
      </c>
      <c r="AU420" s="3267"/>
      <c r="AV420" s="3267"/>
      <c r="AW420" s="3267" t="s">
        <v>2997</v>
      </c>
      <c r="AX420" s="3267"/>
      <c r="AY420" s="3269"/>
      <c r="AZ420" s="3267" t="s">
        <v>6200</v>
      </c>
      <c r="BA420" s="3267"/>
      <c r="BB420" s="3267"/>
      <c r="BC420" s="3267"/>
      <c r="BD420" s="3267"/>
      <c r="BE420" s="3267"/>
      <c r="BF420" s="3267"/>
      <c r="BG420" s="3307">
        <v>38802</v>
      </c>
      <c r="BH420" s="3267"/>
      <c r="BI420" s="3267" t="s">
        <v>2991</v>
      </c>
      <c r="BJ420" s="3283">
        <v>38814</v>
      </c>
      <c r="BK420" s="3283"/>
      <c r="BL420" s="3267" t="s">
        <v>2998</v>
      </c>
      <c r="BM420" s="3267" t="s">
        <v>2879</v>
      </c>
      <c r="BN420" s="3267" t="s">
        <v>2999</v>
      </c>
      <c r="BO420" s="3267" t="s">
        <v>3000</v>
      </c>
      <c r="BP420" s="3267"/>
      <c r="BQ420" s="3276" t="e">
        <v>#DIV/0!</v>
      </c>
      <c r="BR420" s="3276" t="e">
        <v>#DIV/0!</v>
      </c>
      <c r="BS420" s="3285"/>
      <c r="BT420" s="3285"/>
      <c r="BU420" s="3285"/>
    </row>
    <row r="421" spans="1:73">
      <c r="A421" s="3267" t="s">
        <v>6201</v>
      </c>
      <c r="B421" s="3267" t="s">
        <v>6202</v>
      </c>
      <c r="C421" s="3269" t="s">
        <v>6203</v>
      </c>
      <c r="D421" s="3269" t="s">
        <v>6204</v>
      </c>
      <c r="E421" s="3267" t="s">
        <v>2985</v>
      </c>
      <c r="F421" s="3267" t="s">
        <v>4262</v>
      </c>
      <c r="G421" s="3267"/>
      <c r="H421" s="3267" t="s">
        <v>3139</v>
      </c>
      <c r="I421" s="3267"/>
      <c r="J421" s="3269" t="s">
        <v>3151</v>
      </c>
      <c r="K421" s="3267" t="s">
        <v>6202</v>
      </c>
      <c r="L421" s="3286">
        <v>49.35</v>
      </c>
      <c r="M421" s="3269" t="s">
        <v>3266</v>
      </c>
      <c r="N421" s="3268" t="s">
        <v>3122</v>
      </c>
      <c r="O421" s="3267"/>
      <c r="P421" s="3267" t="s">
        <v>2963</v>
      </c>
      <c r="Q421" s="3287">
        <v>420000</v>
      </c>
      <c r="R421" s="3267">
        <v>8511</v>
      </c>
      <c r="S421" s="3272">
        <v>30</v>
      </c>
      <c r="T421" s="3273">
        <v>300000</v>
      </c>
      <c r="U421" s="3267">
        <v>6080</v>
      </c>
      <c r="V421" s="3289">
        <v>0.2</v>
      </c>
      <c r="W421" s="3272">
        <v>24</v>
      </c>
      <c r="X421" s="3275">
        <v>240000</v>
      </c>
      <c r="Y421" s="3276">
        <v>2006</v>
      </c>
      <c r="Z421" s="3276">
        <v>4</v>
      </c>
      <c r="AA421" s="3276">
        <v>12</v>
      </c>
      <c r="AB421" s="3267">
        <v>900</v>
      </c>
      <c r="AC421" s="3267" t="s">
        <v>3521</v>
      </c>
      <c r="AD421" s="3267"/>
      <c r="AE421" s="3267" t="s">
        <v>3295</v>
      </c>
      <c r="AF421" s="3267" t="s">
        <v>2966</v>
      </c>
      <c r="AG421" s="3279" t="s">
        <v>2967</v>
      </c>
      <c r="AH421" s="3267"/>
      <c r="AI421" s="3279" t="s">
        <v>2992</v>
      </c>
      <c r="AJ421" s="3284"/>
      <c r="AK421" s="3278">
        <v>4</v>
      </c>
      <c r="AL421" s="3276">
        <v>67641700</v>
      </c>
      <c r="AM421" s="3276"/>
      <c r="AN421" s="3279" t="s">
        <v>3140</v>
      </c>
      <c r="AO421" s="3267"/>
      <c r="AP421" s="3279" t="s">
        <v>3305</v>
      </c>
      <c r="AQ421" s="3267" t="s">
        <v>3113</v>
      </c>
      <c r="AR421" s="3276"/>
      <c r="AS421" s="3276"/>
      <c r="AT421" s="3276"/>
      <c r="AU421" s="3276"/>
      <c r="AV421" s="3276"/>
      <c r="AW421" s="3267" t="s">
        <v>3112</v>
      </c>
      <c r="AX421" s="3276"/>
      <c r="AY421" s="3291"/>
      <c r="AZ421" s="3267" t="s">
        <v>6205</v>
      </c>
      <c r="BA421" s="3276"/>
      <c r="BB421" s="3291"/>
      <c r="BC421" s="3276"/>
      <c r="BD421" s="3292"/>
      <c r="BE421" s="3276">
        <v>13681190949</v>
      </c>
      <c r="BF421" s="3281"/>
      <c r="BG421" s="3299">
        <v>38786</v>
      </c>
      <c r="BH421" s="3276" t="s">
        <v>2998</v>
      </c>
      <c r="BI421" s="3314" t="s">
        <v>3305</v>
      </c>
      <c r="BJ421" s="3283">
        <v>38814</v>
      </c>
      <c r="BK421" s="3283"/>
      <c r="BL421" s="3267" t="s">
        <v>3249</v>
      </c>
      <c r="BM421" s="3267" t="s">
        <v>2879</v>
      </c>
      <c r="BN421" s="3267" t="s">
        <v>2999</v>
      </c>
      <c r="BO421" s="3276" t="s">
        <v>3000</v>
      </c>
      <c r="BP421" s="3276"/>
      <c r="BQ421" s="3276" t="e">
        <v>#DIV/0!</v>
      </c>
      <c r="BR421" s="3276" t="e">
        <v>#DIV/0!</v>
      </c>
      <c r="BS421" s="3285"/>
      <c r="BT421" s="3285"/>
      <c r="BU421" s="3285"/>
    </row>
    <row r="422" spans="1:73" hidden="1">
      <c r="A422" s="3267" t="s">
        <v>6206</v>
      </c>
      <c r="B422" s="3267" t="s">
        <v>6207</v>
      </c>
      <c r="C422" s="3269" t="s">
        <v>6208</v>
      </c>
      <c r="D422" s="3269" t="s">
        <v>6209</v>
      </c>
      <c r="E422" s="3268" t="s">
        <v>2985</v>
      </c>
      <c r="F422" s="3268" t="s">
        <v>6210</v>
      </c>
      <c r="G422" s="3267" t="s">
        <v>2968</v>
      </c>
      <c r="H422" s="3268" t="s">
        <v>3169</v>
      </c>
      <c r="I422" s="3268"/>
      <c r="J422" s="3267" t="s">
        <v>6211</v>
      </c>
      <c r="K422" s="3267"/>
      <c r="L422" s="3267">
        <v>54.7</v>
      </c>
      <c r="M422" s="3267">
        <v>13</v>
      </c>
      <c r="N422" s="3267" t="s">
        <v>3152</v>
      </c>
      <c r="O422" s="3267"/>
      <c r="P422" s="3267" t="s">
        <v>2963</v>
      </c>
      <c r="Q422" s="3271">
        <v>280000</v>
      </c>
      <c r="R422" s="3267">
        <v>5119</v>
      </c>
      <c r="S422" s="3272">
        <v>23.78</v>
      </c>
      <c r="T422" s="3273">
        <v>237800</v>
      </c>
      <c r="U422" s="3267">
        <v>4349</v>
      </c>
      <c r="V422" s="3289">
        <v>0.2</v>
      </c>
      <c r="W422" s="3272">
        <v>19.02</v>
      </c>
      <c r="X422" s="3275">
        <v>190200</v>
      </c>
      <c r="Y422" s="3276">
        <v>2006</v>
      </c>
      <c r="Z422" s="3276">
        <v>4</v>
      </c>
      <c r="AA422" s="3276">
        <v>18</v>
      </c>
      <c r="AB422" s="3267">
        <v>710</v>
      </c>
      <c r="AC422" s="3267" t="s">
        <v>3521</v>
      </c>
      <c r="AD422" s="3267"/>
      <c r="AE422" s="3296" t="s">
        <v>3686</v>
      </c>
      <c r="AF422" s="3268" t="s">
        <v>2966</v>
      </c>
      <c r="AG422" s="3279" t="s">
        <v>2967</v>
      </c>
      <c r="AH422" s="3267"/>
      <c r="AI422" s="3267" t="s">
        <v>3115</v>
      </c>
      <c r="AJ422" s="3284"/>
      <c r="AK422" s="3278">
        <v>4</v>
      </c>
      <c r="AL422" s="3267">
        <v>82253558</v>
      </c>
      <c r="AM422" s="3276"/>
      <c r="AN422" s="3279" t="s">
        <v>3114</v>
      </c>
      <c r="AO422" s="3267"/>
      <c r="AP422" s="3267" t="s">
        <v>3305</v>
      </c>
      <c r="AQ422" s="3267"/>
      <c r="AR422" s="3276" t="s">
        <v>2968</v>
      </c>
      <c r="AS422" s="3276" t="s">
        <v>2968</v>
      </c>
      <c r="AT422" s="3276" t="s">
        <v>2968</v>
      </c>
      <c r="AU422" s="3276"/>
      <c r="AV422" s="3276"/>
      <c r="AW422" s="3276" t="s">
        <v>3112</v>
      </c>
      <c r="AX422" s="3276"/>
      <c r="AY422" s="3291"/>
      <c r="AZ422" s="3267"/>
      <c r="BA422" s="3296"/>
      <c r="BB422" s="3297"/>
      <c r="BC422" s="3296"/>
      <c r="BD422" s="3298"/>
      <c r="BE422" s="3276"/>
      <c r="BF422" s="3281"/>
      <c r="BG422" s="3293">
        <v>38812</v>
      </c>
      <c r="BH422" s="3267"/>
      <c r="BI422" s="3276" t="s">
        <v>3069</v>
      </c>
      <c r="BJ422" s="3293">
        <v>38812</v>
      </c>
      <c r="BK422" s="3283"/>
      <c r="BL422" s="3267" t="s">
        <v>2998</v>
      </c>
      <c r="BM422" s="3276" t="s">
        <v>2879</v>
      </c>
      <c r="BN422" s="3276" t="s">
        <v>2999</v>
      </c>
      <c r="BO422" s="3276" t="s">
        <v>3146</v>
      </c>
      <c r="BP422" s="3276"/>
      <c r="BQ422" s="3276" t="e">
        <v>#DIV/0!</v>
      </c>
      <c r="BR422" s="3276" t="e">
        <v>#DIV/0!</v>
      </c>
      <c r="BS422" s="3285"/>
      <c r="BT422" s="3285"/>
      <c r="BU422" s="3285"/>
    </row>
    <row r="423" spans="1:73" hidden="1">
      <c r="A423" s="3267" t="s">
        <v>6212</v>
      </c>
      <c r="B423" s="3267" t="s">
        <v>6213</v>
      </c>
      <c r="C423" s="3269" t="s">
        <v>6214</v>
      </c>
      <c r="D423" s="3269" t="s">
        <v>6215</v>
      </c>
      <c r="E423" s="3267" t="s">
        <v>2985</v>
      </c>
      <c r="F423" s="3244" t="s">
        <v>6216</v>
      </c>
      <c r="G423" s="3267"/>
      <c r="H423" s="3267" t="s">
        <v>3130</v>
      </c>
      <c r="I423" s="3267"/>
      <c r="J423" s="3269" t="s">
        <v>6217</v>
      </c>
      <c r="K423" s="3268" t="s">
        <v>6213</v>
      </c>
      <c r="L423" s="3267">
        <v>131.57</v>
      </c>
      <c r="M423" s="3267">
        <v>6</v>
      </c>
      <c r="N423" s="3267" t="s">
        <v>3116</v>
      </c>
      <c r="O423" s="3267"/>
      <c r="P423" s="3267" t="s">
        <v>6218</v>
      </c>
      <c r="Q423" s="3271">
        <v>800000</v>
      </c>
      <c r="R423" s="3267">
        <v>6080</v>
      </c>
      <c r="S423" s="3272">
        <v>79.28</v>
      </c>
      <c r="T423" s="3273">
        <v>792800</v>
      </c>
      <c r="U423" s="3267">
        <v>6026</v>
      </c>
      <c r="V423" s="3289">
        <v>0.2</v>
      </c>
      <c r="W423" s="3272">
        <v>63.42</v>
      </c>
      <c r="X423" s="3275">
        <v>634200</v>
      </c>
      <c r="Y423" s="3276">
        <v>2006</v>
      </c>
      <c r="Z423" s="3276">
        <v>4</v>
      </c>
      <c r="AA423" s="3276">
        <v>10</v>
      </c>
      <c r="AB423" s="3267">
        <v>1500</v>
      </c>
      <c r="AC423" s="3267" t="s">
        <v>3521</v>
      </c>
      <c r="AD423" s="3267"/>
      <c r="AE423" s="3276" t="s">
        <v>3121</v>
      </c>
      <c r="AF423" s="3267" t="s">
        <v>2966</v>
      </c>
      <c r="AG423" s="3267" t="s">
        <v>2967</v>
      </c>
      <c r="AH423" s="3267"/>
      <c r="AI423" s="3267" t="s">
        <v>3245</v>
      </c>
      <c r="AJ423" s="3284"/>
      <c r="AK423" s="3316" t="s">
        <v>2994</v>
      </c>
      <c r="AL423" s="3267">
        <v>67641700</v>
      </c>
      <c r="AM423" s="3276"/>
      <c r="AN423" s="3276" t="s">
        <v>3140</v>
      </c>
      <c r="AO423" s="3276" t="s">
        <v>6219</v>
      </c>
      <c r="AP423" s="3267" t="s">
        <v>3180</v>
      </c>
      <c r="AQ423" s="3267" t="s">
        <v>3113</v>
      </c>
      <c r="AR423" s="3276"/>
      <c r="AS423" s="3276"/>
      <c r="AT423" s="3276"/>
      <c r="AU423" s="3276"/>
      <c r="AV423" s="3276"/>
      <c r="AW423" s="3276" t="s">
        <v>2997</v>
      </c>
      <c r="AX423" s="3276"/>
      <c r="AY423" s="3291"/>
      <c r="AZ423" s="3276"/>
      <c r="BA423" s="3276"/>
      <c r="BB423" s="3291"/>
      <c r="BC423" s="3276"/>
      <c r="BD423" s="3292"/>
      <c r="BE423" s="3276"/>
      <c r="BF423" s="3281"/>
      <c r="BG423" s="3299">
        <v>38814</v>
      </c>
      <c r="BH423" s="3276"/>
      <c r="BI423" s="3276" t="s">
        <v>3069</v>
      </c>
      <c r="BJ423" s="3299">
        <v>38814</v>
      </c>
      <c r="BK423" s="3283"/>
      <c r="BL423" s="3267" t="s">
        <v>2998</v>
      </c>
      <c r="BM423" s="3276" t="s">
        <v>2879</v>
      </c>
      <c r="BN423" s="3276" t="s">
        <v>3111</v>
      </c>
      <c r="BO423" s="3276" t="s">
        <v>3146</v>
      </c>
      <c r="BP423" s="3276"/>
      <c r="BQ423" s="3276" t="e">
        <v>#DIV/0!</v>
      </c>
      <c r="BR423" s="3276" t="e">
        <v>#DIV/0!</v>
      </c>
      <c r="BS423" s="3285"/>
      <c r="BT423" s="3285"/>
      <c r="BU423" s="3285"/>
    </row>
    <row r="424" spans="1:73" hidden="1">
      <c r="A424" s="3267" t="s">
        <v>6220</v>
      </c>
      <c r="B424" s="3268" t="s">
        <v>3147</v>
      </c>
      <c r="C424" s="3269" t="s">
        <v>6221</v>
      </c>
      <c r="D424" s="3268">
        <v>13718162364</v>
      </c>
      <c r="E424" s="3268" t="s">
        <v>2985</v>
      </c>
      <c r="F424" s="3268" t="s">
        <v>3378</v>
      </c>
      <c r="G424" s="3268"/>
      <c r="H424" s="3268" t="s">
        <v>4253</v>
      </c>
      <c r="I424" s="3268" t="s">
        <v>3431</v>
      </c>
      <c r="J424" s="3268" t="s">
        <v>3958</v>
      </c>
      <c r="K424" s="3268" t="s">
        <v>3147</v>
      </c>
      <c r="L424" s="3270">
        <v>43.99</v>
      </c>
      <c r="M424" s="3270">
        <v>1</v>
      </c>
      <c r="N424" s="3268" t="s">
        <v>3152</v>
      </c>
      <c r="O424" s="3270"/>
      <c r="P424" s="3268" t="s">
        <v>2963</v>
      </c>
      <c r="Q424" s="3271">
        <v>380000</v>
      </c>
      <c r="R424" s="3267">
        <v>8638</v>
      </c>
      <c r="S424" s="3272">
        <v>30.17</v>
      </c>
      <c r="T424" s="3273">
        <v>301700</v>
      </c>
      <c r="U424" s="3267">
        <v>6860</v>
      </c>
      <c r="V424" s="3289">
        <v>0.2</v>
      </c>
      <c r="W424" s="3272">
        <v>24.13</v>
      </c>
      <c r="X424" s="3275">
        <v>241300</v>
      </c>
      <c r="Y424" s="3276">
        <v>2006</v>
      </c>
      <c r="Z424" s="3276">
        <v>5</v>
      </c>
      <c r="AA424" s="3276">
        <v>17</v>
      </c>
      <c r="AB424" s="3267">
        <v>905</v>
      </c>
      <c r="AC424" s="3267" t="s">
        <v>3521</v>
      </c>
      <c r="AD424" s="3268"/>
      <c r="AE424" s="3267" t="s">
        <v>3238</v>
      </c>
      <c r="AF424" s="3268" t="s">
        <v>2966</v>
      </c>
      <c r="AG424" s="3268" t="s">
        <v>2967</v>
      </c>
      <c r="AH424" s="3268" t="s">
        <v>2968</v>
      </c>
      <c r="AI424" s="3267" t="s">
        <v>2992</v>
      </c>
      <c r="AJ424" s="3290"/>
      <c r="AK424" s="3278">
        <v>5</v>
      </c>
      <c r="AL424" s="3276">
        <v>67641700</v>
      </c>
      <c r="AM424" s="3276"/>
      <c r="AN424" s="3279" t="s">
        <v>3140</v>
      </c>
      <c r="AO424" s="3267"/>
      <c r="AP424" s="3279" t="s">
        <v>3305</v>
      </c>
      <c r="AQ424" s="3267" t="s">
        <v>3228</v>
      </c>
      <c r="AR424" s="3267"/>
      <c r="AS424" s="3267"/>
      <c r="AT424" s="3267"/>
      <c r="AU424" s="3267"/>
      <c r="AV424" s="3277" t="s">
        <v>2968</v>
      </c>
      <c r="AW424" s="3276" t="s">
        <v>3171</v>
      </c>
      <c r="AX424" s="3276"/>
      <c r="AY424" s="3291"/>
      <c r="AZ424" s="3267" t="s">
        <v>6222</v>
      </c>
      <c r="BA424" s="3296"/>
      <c r="BB424" s="3297"/>
      <c r="BC424" s="3296"/>
      <c r="BD424" s="3298"/>
      <c r="BE424" s="3291" t="s">
        <v>6223</v>
      </c>
      <c r="BF424" s="3281"/>
      <c r="BG424" s="3293">
        <v>38813</v>
      </c>
      <c r="BH424" s="3267"/>
      <c r="BI424" s="3267" t="s">
        <v>3238</v>
      </c>
      <c r="BJ424" s="3299">
        <v>38817</v>
      </c>
      <c r="BK424" s="3284"/>
      <c r="BL424" s="3267" t="s">
        <v>3249</v>
      </c>
      <c r="BM424" s="3267" t="s">
        <v>2879</v>
      </c>
      <c r="BN424" s="3267" t="s">
        <v>2999</v>
      </c>
      <c r="BO424" s="3267" t="s">
        <v>3146</v>
      </c>
      <c r="BP424" s="3276"/>
      <c r="BQ424" s="3276" t="e">
        <v>#DIV/0!</v>
      </c>
      <c r="BR424" s="3276" t="e">
        <v>#DIV/0!</v>
      </c>
      <c r="BS424" s="3285"/>
      <c r="BT424" s="3285"/>
      <c r="BU424" s="3285"/>
    </row>
    <row r="425" spans="1:73" hidden="1">
      <c r="A425" s="3268" t="s">
        <v>6224</v>
      </c>
      <c r="B425" s="3267" t="s">
        <v>6225</v>
      </c>
      <c r="C425" s="3269" t="s">
        <v>6226</v>
      </c>
      <c r="D425" s="3267">
        <v>86878612</v>
      </c>
      <c r="E425" s="3267" t="s">
        <v>2985</v>
      </c>
      <c r="F425" s="3267" t="s">
        <v>6227</v>
      </c>
      <c r="G425" s="3267"/>
      <c r="H425" s="3267" t="s">
        <v>3159</v>
      </c>
      <c r="I425" s="3267" t="s">
        <v>6228</v>
      </c>
      <c r="J425" s="3354" t="s">
        <v>3787</v>
      </c>
      <c r="K425" s="3268" t="s">
        <v>6225</v>
      </c>
      <c r="L425" s="3300">
        <v>94.25</v>
      </c>
      <c r="M425" s="3267">
        <v>18</v>
      </c>
      <c r="N425" s="3267" t="s">
        <v>3098</v>
      </c>
      <c r="O425" s="3267"/>
      <c r="P425" s="3267" t="s">
        <v>2963</v>
      </c>
      <c r="Q425" s="3317">
        <v>660000</v>
      </c>
      <c r="R425" s="3267">
        <v>7003</v>
      </c>
      <c r="S425" s="3318">
        <v>58.9</v>
      </c>
      <c r="T425" s="3273">
        <v>589000</v>
      </c>
      <c r="U425" s="3317">
        <v>6250</v>
      </c>
      <c r="V425" s="3289">
        <v>0.2</v>
      </c>
      <c r="W425" s="3318">
        <v>47.12</v>
      </c>
      <c r="X425" s="3273">
        <v>471200</v>
      </c>
      <c r="Y425" s="3276">
        <v>2006</v>
      </c>
      <c r="Z425" s="3276">
        <v>4</v>
      </c>
      <c r="AA425" s="3276">
        <v>11</v>
      </c>
      <c r="AB425" s="3267">
        <v>1500</v>
      </c>
      <c r="AC425" s="3267" t="s">
        <v>3521</v>
      </c>
      <c r="AD425" s="3267"/>
      <c r="AE425" s="3276" t="s">
        <v>3304</v>
      </c>
      <c r="AF425" s="3267" t="s">
        <v>2966</v>
      </c>
      <c r="AG425" s="3267" t="s">
        <v>2967</v>
      </c>
      <c r="AH425" s="3267"/>
      <c r="AI425" s="3267" t="s">
        <v>3115</v>
      </c>
      <c r="AJ425" s="3267"/>
      <c r="AK425" s="3278">
        <v>4</v>
      </c>
      <c r="AL425" s="3267">
        <v>82253558</v>
      </c>
      <c r="AM425" s="3267" t="s">
        <v>2968</v>
      </c>
      <c r="AN425" s="3279" t="s">
        <v>3140</v>
      </c>
      <c r="AO425" s="3267"/>
      <c r="AP425" s="3276" t="s">
        <v>3342</v>
      </c>
      <c r="AQ425" s="3267" t="s">
        <v>3113</v>
      </c>
      <c r="AR425" s="3267"/>
      <c r="AS425" s="3267"/>
      <c r="AT425" s="3267"/>
      <c r="AU425" s="3267"/>
      <c r="AV425" s="3267"/>
      <c r="AW425" s="3267" t="s">
        <v>3112</v>
      </c>
      <c r="AX425" s="3267"/>
      <c r="AY425" s="3267"/>
      <c r="AZ425" s="3267" t="s">
        <v>6229</v>
      </c>
      <c r="BA425" s="3267"/>
      <c r="BB425" s="3267"/>
      <c r="BC425" s="3267"/>
      <c r="BD425" s="3267"/>
      <c r="BE425" s="3267">
        <v>58768050</v>
      </c>
      <c r="BF425" s="3267"/>
      <c r="BG425" s="3293">
        <v>38771</v>
      </c>
      <c r="BH425" s="3269"/>
      <c r="BI425" s="3267" t="s">
        <v>3537</v>
      </c>
      <c r="BJ425" s="3299">
        <v>38817</v>
      </c>
      <c r="BK425" s="3284"/>
      <c r="BL425" s="3267" t="s">
        <v>2998</v>
      </c>
      <c r="BM425" s="3267" t="s">
        <v>3345</v>
      </c>
      <c r="BN425" s="3267" t="s">
        <v>2999</v>
      </c>
      <c r="BO425" s="3267" t="s">
        <v>3000</v>
      </c>
      <c r="BP425" s="3267"/>
      <c r="BQ425" s="3276"/>
      <c r="BR425" s="3276"/>
      <c r="BS425" s="3285"/>
      <c r="BT425" s="3285"/>
      <c r="BU425" s="3285"/>
    </row>
    <row r="426" spans="1:73" hidden="1">
      <c r="A426" s="3267" t="s">
        <v>6230</v>
      </c>
      <c r="B426" s="3267" t="s">
        <v>6231</v>
      </c>
      <c r="C426" s="3269" t="s">
        <v>6232</v>
      </c>
      <c r="D426" s="3269">
        <v>13522210673</v>
      </c>
      <c r="E426" s="3268" t="s">
        <v>2985</v>
      </c>
      <c r="F426" s="3268" t="s">
        <v>3563</v>
      </c>
      <c r="G426" s="3267"/>
      <c r="H426" s="3268" t="s">
        <v>6233</v>
      </c>
      <c r="I426" s="3268"/>
      <c r="J426" s="3267" t="s">
        <v>6234</v>
      </c>
      <c r="K426" s="3267" t="s">
        <v>6231</v>
      </c>
      <c r="L426" s="3267">
        <v>102.51</v>
      </c>
      <c r="M426" s="3267">
        <v>19</v>
      </c>
      <c r="N426" s="3267" t="s">
        <v>3122</v>
      </c>
      <c r="O426" s="3267">
        <v>82.11</v>
      </c>
      <c r="P426" s="3267" t="s">
        <v>2963</v>
      </c>
      <c r="Q426" s="3271">
        <v>680000</v>
      </c>
      <c r="R426" s="3267">
        <v>6633</v>
      </c>
      <c r="S426" s="3272">
        <v>40.49</v>
      </c>
      <c r="T426" s="3273">
        <v>404900</v>
      </c>
      <c r="U426" s="3267">
        <v>3950</v>
      </c>
      <c r="V426" s="3289">
        <v>0.2</v>
      </c>
      <c r="W426" s="3272">
        <v>32.39</v>
      </c>
      <c r="X426" s="3275">
        <v>323900</v>
      </c>
      <c r="Y426" s="3276">
        <v>2006</v>
      </c>
      <c r="Z426" s="3276">
        <v>5</v>
      </c>
      <c r="AA426" s="3294">
        <v>10</v>
      </c>
      <c r="AB426" s="3295">
        <v>1210</v>
      </c>
      <c r="AC426" s="3267" t="s">
        <v>3521</v>
      </c>
      <c r="AD426" s="3267"/>
      <c r="AE426" s="3279" t="s">
        <v>3245</v>
      </c>
      <c r="AF426" s="3268" t="s">
        <v>2966</v>
      </c>
      <c r="AG426" s="3279" t="s">
        <v>5571</v>
      </c>
      <c r="AH426" s="3267"/>
      <c r="AI426" s="3279" t="s">
        <v>2992</v>
      </c>
      <c r="AJ426" s="3284"/>
      <c r="AK426" s="3278">
        <v>5</v>
      </c>
      <c r="AL426" s="3276">
        <v>67641700</v>
      </c>
      <c r="AM426" s="3276"/>
      <c r="AN426" s="3279" t="s">
        <v>3131</v>
      </c>
      <c r="AO426" s="3267"/>
      <c r="AP426" s="3279" t="s">
        <v>3305</v>
      </c>
      <c r="AQ426" s="3267" t="s">
        <v>3228</v>
      </c>
      <c r="AR426" s="3276"/>
      <c r="AS426" s="3276"/>
      <c r="AT426" s="3276"/>
      <c r="AU426" s="3276"/>
      <c r="AV426" s="3276"/>
      <c r="AW426" s="3276" t="s">
        <v>2997</v>
      </c>
      <c r="AX426" s="3276"/>
      <c r="AY426" s="3291"/>
      <c r="AZ426" s="3267" t="s">
        <v>6235</v>
      </c>
      <c r="BA426" s="3296"/>
      <c r="BB426" s="3297"/>
      <c r="BC426" s="3296"/>
      <c r="BD426" s="3298"/>
      <c r="BE426" s="3276"/>
      <c r="BF426" s="3281"/>
      <c r="BG426" s="3293"/>
      <c r="BH426" s="3267" t="s">
        <v>2998</v>
      </c>
      <c r="BI426" s="3314" t="s">
        <v>3305</v>
      </c>
      <c r="BJ426" s="3283">
        <v>38817</v>
      </c>
      <c r="BK426" s="3283"/>
      <c r="BL426" s="3267" t="s">
        <v>3249</v>
      </c>
      <c r="BM426" s="3276" t="s">
        <v>2879</v>
      </c>
      <c r="BN426" s="3276" t="s">
        <v>2999</v>
      </c>
      <c r="BO426" s="3276" t="s">
        <v>3146</v>
      </c>
      <c r="BP426" s="3276"/>
      <c r="BQ426" s="3276">
        <v>4931</v>
      </c>
      <c r="BR426" s="3276">
        <v>8282</v>
      </c>
      <c r="BS426" s="3285"/>
      <c r="BT426" s="3285"/>
      <c r="BU426" s="3285"/>
    </row>
    <row r="427" spans="1:73" hidden="1">
      <c r="A427" s="3267" t="s">
        <v>6236</v>
      </c>
      <c r="B427" s="3268" t="s">
        <v>6237</v>
      </c>
      <c r="C427" s="3269" t="s">
        <v>6238</v>
      </c>
      <c r="D427" s="3268">
        <v>13811964066</v>
      </c>
      <c r="E427" s="3268" t="s">
        <v>2985</v>
      </c>
      <c r="F427" s="3268" t="s">
        <v>4803</v>
      </c>
      <c r="G427" s="3268"/>
      <c r="H427" s="3268" t="s">
        <v>4804</v>
      </c>
      <c r="I427" s="3268"/>
      <c r="J427" s="3268" t="s">
        <v>6239</v>
      </c>
      <c r="K427" s="3268" t="s">
        <v>6240</v>
      </c>
      <c r="L427" s="3270">
        <v>51.85</v>
      </c>
      <c r="M427" s="3270">
        <v>3</v>
      </c>
      <c r="N427" s="3267" t="s">
        <v>3152</v>
      </c>
      <c r="O427" s="3270"/>
      <c r="P427" s="3267" t="s">
        <v>2963</v>
      </c>
      <c r="Q427" s="3271">
        <v>330000</v>
      </c>
      <c r="R427" s="3267">
        <v>6365</v>
      </c>
      <c r="S427" s="3272">
        <v>31.15</v>
      </c>
      <c r="T427" s="3273">
        <v>311500</v>
      </c>
      <c r="U427" s="3267">
        <v>6009</v>
      </c>
      <c r="V427" s="3289">
        <v>0.2</v>
      </c>
      <c r="W427" s="3272">
        <v>24.92</v>
      </c>
      <c r="X427" s="3275">
        <v>249200</v>
      </c>
      <c r="Y427" s="3276">
        <v>2006</v>
      </c>
      <c r="Z427" s="3276">
        <v>4</v>
      </c>
      <c r="AA427" s="3276">
        <v>26</v>
      </c>
      <c r="AB427" s="3267">
        <v>930</v>
      </c>
      <c r="AC427" s="3267" t="s">
        <v>3521</v>
      </c>
      <c r="AD427" s="3268"/>
      <c r="AE427" s="3279" t="s">
        <v>3304</v>
      </c>
      <c r="AF427" s="3267" t="s">
        <v>2966</v>
      </c>
      <c r="AG427" s="3268" t="s">
        <v>2967</v>
      </c>
      <c r="AH427" s="3268"/>
      <c r="AI427" s="3267" t="s">
        <v>2992</v>
      </c>
      <c r="AJ427" s="3290"/>
      <c r="AK427" s="3278">
        <v>4</v>
      </c>
      <c r="AL427" s="3276">
        <v>67641700</v>
      </c>
      <c r="AM427" s="3276"/>
      <c r="AN427" s="3279" t="s">
        <v>2994</v>
      </c>
      <c r="AO427" s="3267" t="s">
        <v>6241</v>
      </c>
      <c r="AP427" s="3279" t="s">
        <v>3305</v>
      </c>
      <c r="AQ427" s="3267" t="s">
        <v>3228</v>
      </c>
      <c r="AR427" s="3267"/>
      <c r="AS427" s="3267"/>
      <c r="AT427" s="3267"/>
      <c r="AU427" s="3267"/>
      <c r="AV427" s="3277"/>
      <c r="AW427" s="3276" t="s">
        <v>3112</v>
      </c>
      <c r="AX427" s="3276"/>
      <c r="AY427" s="3276"/>
      <c r="AZ427" s="3267" t="s">
        <v>6240</v>
      </c>
      <c r="BA427" s="3296"/>
      <c r="BB427" s="3297"/>
      <c r="BC427" s="3296"/>
      <c r="BD427" s="3298"/>
      <c r="BE427" s="3276"/>
      <c r="BF427" s="3281"/>
      <c r="BG427" s="3293">
        <v>38817</v>
      </c>
      <c r="BH427" s="3267" t="s">
        <v>2998</v>
      </c>
      <c r="BI427" s="3314" t="s">
        <v>3305</v>
      </c>
      <c r="BJ427" s="3283">
        <v>38817</v>
      </c>
      <c r="BK427" s="3284"/>
      <c r="BL427" s="3267" t="s">
        <v>3249</v>
      </c>
      <c r="BM427" s="3267" t="s">
        <v>2879</v>
      </c>
      <c r="BN427" s="3267" t="s">
        <v>2999</v>
      </c>
      <c r="BO427" s="3267" t="s">
        <v>3000</v>
      </c>
      <c r="BP427" s="3276"/>
      <c r="BQ427" s="3276" t="e">
        <v>#DIV/0!</v>
      </c>
      <c r="BR427" s="3276" t="e">
        <v>#DIV/0!</v>
      </c>
      <c r="BS427" s="3285"/>
      <c r="BT427" s="3285"/>
      <c r="BU427" s="3285"/>
    </row>
    <row r="428" spans="1:73" hidden="1">
      <c r="A428" s="3267" t="s">
        <v>6242</v>
      </c>
      <c r="B428" s="3267" t="s">
        <v>6243</v>
      </c>
      <c r="C428" s="3269" t="s">
        <v>6244</v>
      </c>
      <c r="D428" s="3269" t="s">
        <v>6245</v>
      </c>
      <c r="E428" s="3267" t="s">
        <v>2985</v>
      </c>
      <c r="F428" s="3267" t="s">
        <v>4675</v>
      </c>
      <c r="G428" s="3267"/>
      <c r="H428" s="3267" t="s">
        <v>3263</v>
      </c>
      <c r="I428" s="3267"/>
      <c r="J428" s="3269" t="s">
        <v>6246</v>
      </c>
      <c r="K428" s="3267" t="s">
        <v>6243</v>
      </c>
      <c r="L428" s="3286">
        <v>52.14</v>
      </c>
      <c r="M428" s="3267">
        <v>11</v>
      </c>
      <c r="N428" s="3268" t="s">
        <v>3152</v>
      </c>
      <c r="O428" s="3267"/>
      <c r="P428" s="3267" t="s">
        <v>2963</v>
      </c>
      <c r="Q428" s="3287">
        <v>302412</v>
      </c>
      <c r="R428" s="3267">
        <v>5800</v>
      </c>
      <c r="S428" s="3272">
        <v>30.88</v>
      </c>
      <c r="T428" s="3273">
        <v>308800</v>
      </c>
      <c r="U428" s="3267">
        <v>5923</v>
      </c>
      <c r="V428" s="3289">
        <v>0.2</v>
      </c>
      <c r="W428" s="3272">
        <v>24.7</v>
      </c>
      <c r="X428" s="3275">
        <v>247000</v>
      </c>
      <c r="Y428" s="3276">
        <v>2006</v>
      </c>
      <c r="Z428" s="3276">
        <v>4</v>
      </c>
      <c r="AA428" s="3276">
        <v>24</v>
      </c>
      <c r="AB428" s="3267">
        <v>925</v>
      </c>
      <c r="AC428" s="3267" t="s">
        <v>3521</v>
      </c>
      <c r="AD428" s="3267"/>
      <c r="AE428" s="3276" t="s">
        <v>3304</v>
      </c>
      <c r="AF428" s="3267" t="s">
        <v>2966</v>
      </c>
      <c r="AG428" s="3279" t="s">
        <v>2967</v>
      </c>
      <c r="AH428" s="3267"/>
      <c r="AI428" s="3267" t="s">
        <v>3295</v>
      </c>
      <c r="AJ428" s="3284"/>
      <c r="AK428" s="3316" t="s">
        <v>2994</v>
      </c>
      <c r="AL428" s="3267">
        <v>67641700</v>
      </c>
      <c r="AM428" s="3267"/>
      <c r="AN428" s="3279" t="s">
        <v>2994</v>
      </c>
      <c r="AO428" s="3267"/>
      <c r="AP428" s="3267" t="s">
        <v>3342</v>
      </c>
      <c r="AQ428" s="3267" t="s">
        <v>3228</v>
      </c>
      <c r="AR428" s="3276"/>
      <c r="AS428" s="3276"/>
      <c r="AT428" s="3276"/>
      <c r="AU428" s="3276"/>
      <c r="AV428" s="3276"/>
      <c r="AW428" s="3276" t="s">
        <v>2968</v>
      </c>
      <c r="AX428" s="3276"/>
      <c r="AY428" s="3291"/>
      <c r="AZ428" s="3267" t="s">
        <v>6247</v>
      </c>
      <c r="BA428" s="3276"/>
      <c r="BB428" s="3291"/>
      <c r="BC428" s="3276"/>
      <c r="BD428" s="3292"/>
      <c r="BE428" s="3276"/>
      <c r="BF428" s="3281"/>
      <c r="BG428" s="3299">
        <v>38815</v>
      </c>
      <c r="BH428" s="3276"/>
      <c r="BI428" s="3267" t="s">
        <v>3342</v>
      </c>
      <c r="BJ428" s="3283">
        <v>38819</v>
      </c>
      <c r="BK428" s="3283"/>
      <c r="BL428" s="3267" t="s">
        <v>2998</v>
      </c>
      <c r="BM428" s="3276" t="s">
        <v>2879</v>
      </c>
      <c r="BN428" s="3276" t="s">
        <v>3111</v>
      </c>
      <c r="BO428" s="3276" t="s">
        <v>3146</v>
      </c>
      <c r="BP428" s="3276"/>
      <c r="BQ428" s="3276"/>
      <c r="BR428" s="3276"/>
      <c r="BS428" s="3285"/>
      <c r="BT428" s="3285"/>
      <c r="BU428" s="3285"/>
    </row>
    <row r="429" spans="1:73" hidden="1">
      <c r="A429" s="3267" t="s">
        <v>6248</v>
      </c>
      <c r="B429" s="3267" t="s">
        <v>6249</v>
      </c>
      <c r="C429" s="3269" t="s">
        <v>6250</v>
      </c>
      <c r="D429" s="3269" t="s">
        <v>6251</v>
      </c>
      <c r="E429" s="3268" t="s">
        <v>2985</v>
      </c>
      <c r="F429" s="3268" t="s">
        <v>3576</v>
      </c>
      <c r="G429" s="3267"/>
      <c r="H429" s="3267" t="s">
        <v>3577</v>
      </c>
      <c r="I429" s="3268"/>
      <c r="J429" s="3267" t="s">
        <v>6252</v>
      </c>
      <c r="K429" s="3267" t="s">
        <v>6253</v>
      </c>
      <c r="L429" s="3267">
        <v>112.75</v>
      </c>
      <c r="M429" s="3267">
        <v>24</v>
      </c>
      <c r="N429" s="3267" t="s">
        <v>3098</v>
      </c>
      <c r="O429" s="3267">
        <v>89.92</v>
      </c>
      <c r="P429" s="3267" t="s">
        <v>2963</v>
      </c>
      <c r="Q429" s="3271">
        <v>730000</v>
      </c>
      <c r="R429" s="3267">
        <v>6475</v>
      </c>
      <c r="S429" s="3272">
        <v>68.77</v>
      </c>
      <c r="T429" s="3273">
        <v>687700</v>
      </c>
      <c r="U429" s="3267">
        <v>6100</v>
      </c>
      <c r="V429" s="3289">
        <v>0.2</v>
      </c>
      <c r="W429" s="3272">
        <v>55.01</v>
      </c>
      <c r="X429" s="3275">
        <v>550100</v>
      </c>
      <c r="Y429" s="3276">
        <v>2006</v>
      </c>
      <c r="Z429" s="3276">
        <v>5</v>
      </c>
      <c r="AA429" s="3276">
        <v>17</v>
      </c>
      <c r="AB429" s="3267">
        <v>1500</v>
      </c>
      <c r="AC429" s="3267" t="s">
        <v>2980</v>
      </c>
      <c r="AD429" s="3267"/>
      <c r="AE429" s="3279" t="s">
        <v>3245</v>
      </c>
      <c r="AF429" s="3268" t="s">
        <v>2966</v>
      </c>
      <c r="AG429" s="3279" t="s">
        <v>2967</v>
      </c>
      <c r="AH429" s="3267"/>
      <c r="AI429" s="3279" t="s">
        <v>2992</v>
      </c>
      <c r="AJ429" s="3284"/>
      <c r="AK429" s="3278">
        <v>5</v>
      </c>
      <c r="AL429" s="3276">
        <v>67641700</v>
      </c>
      <c r="AM429" s="3276"/>
      <c r="AN429" s="3279" t="s">
        <v>3140</v>
      </c>
      <c r="AO429" s="3267" t="s">
        <v>2968</v>
      </c>
      <c r="AP429" s="3279" t="s">
        <v>3305</v>
      </c>
      <c r="AQ429" s="3267" t="s">
        <v>3228</v>
      </c>
      <c r="AR429" s="3276"/>
      <c r="AS429" s="3276"/>
      <c r="AT429" s="3276"/>
      <c r="AU429" s="3276"/>
      <c r="AV429" s="3276"/>
      <c r="AW429" s="3276" t="s">
        <v>3112</v>
      </c>
      <c r="AX429" s="3276"/>
      <c r="AY429" s="3291"/>
      <c r="AZ429" s="3267" t="s">
        <v>6253</v>
      </c>
      <c r="BA429" s="3296"/>
      <c r="BB429" s="3297"/>
      <c r="BC429" s="3296"/>
      <c r="BD429" s="3298"/>
      <c r="BE429" s="3276">
        <v>13701111862</v>
      </c>
      <c r="BF429" s="3281"/>
      <c r="BG429" s="3293">
        <v>38807</v>
      </c>
      <c r="BH429" s="3267" t="s">
        <v>2998</v>
      </c>
      <c r="BI429" s="3314" t="s">
        <v>3305</v>
      </c>
      <c r="BJ429" s="3283">
        <v>38835</v>
      </c>
      <c r="BK429" s="3283"/>
      <c r="BL429" s="3267" t="s">
        <v>3249</v>
      </c>
      <c r="BM429" s="3276" t="s">
        <v>2879</v>
      </c>
      <c r="BN429" s="3276" t="s">
        <v>3111</v>
      </c>
      <c r="BO429" s="3276" t="s">
        <v>3000</v>
      </c>
      <c r="BP429" s="3276"/>
      <c r="BQ429" s="3276">
        <v>7648</v>
      </c>
      <c r="BR429" s="3276">
        <v>8118</v>
      </c>
      <c r="BS429" s="3285"/>
      <c r="BT429" s="3285"/>
      <c r="BU429" s="3285"/>
    </row>
    <row r="430" spans="1:73" hidden="1">
      <c r="A430" s="3267" t="s">
        <v>6254</v>
      </c>
      <c r="B430" s="3267" t="s">
        <v>6255</v>
      </c>
      <c r="C430" s="3269" t="s">
        <v>6256</v>
      </c>
      <c r="D430" s="3268">
        <v>13391539118</v>
      </c>
      <c r="E430" s="3267" t="s">
        <v>2985</v>
      </c>
      <c r="F430" s="3308" t="s">
        <v>6257</v>
      </c>
      <c r="G430" s="3267"/>
      <c r="H430" s="3267" t="s">
        <v>6258</v>
      </c>
      <c r="I430" s="3267"/>
      <c r="J430" s="3267" t="s">
        <v>6259</v>
      </c>
      <c r="K430" s="3268" t="s">
        <v>6260</v>
      </c>
      <c r="L430" s="3286">
        <v>46.91</v>
      </c>
      <c r="M430" s="3270">
        <v>15</v>
      </c>
      <c r="N430" s="3267" t="s">
        <v>3152</v>
      </c>
      <c r="O430" s="3267"/>
      <c r="P430" s="3267" t="s">
        <v>2963</v>
      </c>
      <c r="Q430" s="3287">
        <v>320000</v>
      </c>
      <c r="R430" s="3267">
        <v>6822</v>
      </c>
      <c r="S430" s="3286">
        <v>29.33</v>
      </c>
      <c r="T430" s="3273">
        <v>293300</v>
      </c>
      <c r="U430" s="3267">
        <v>6253</v>
      </c>
      <c r="V430" s="3289">
        <v>0.2</v>
      </c>
      <c r="W430" s="3272">
        <v>23.46</v>
      </c>
      <c r="X430" s="3275">
        <v>234600</v>
      </c>
      <c r="Y430" s="3276">
        <v>2006</v>
      </c>
      <c r="Z430" s="3276">
        <v>6</v>
      </c>
      <c r="AA430" s="3276">
        <v>8</v>
      </c>
      <c r="AB430" s="3267">
        <v>875</v>
      </c>
      <c r="AC430" s="3267" t="s">
        <v>2980</v>
      </c>
      <c r="AD430" s="3267"/>
      <c r="AE430" s="3276" t="s">
        <v>3304</v>
      </c>
      <c r="AF430" s="3267" t="s">
        <v>2966</v>
      </c>
      <c r="AG430" s="3279" t="s">
        <v>2967</v>
      </c>
      <c r="AH430" s="3267"/>
      <c r="AI430" s="3267" t="s">
        <v>2992</v>
      </c>
      <c r="AJ430" s="3290"/>
      <c r="AK430" s="3278">
        <v>6</v>
      </c>
      <c r="AL430" s="3276">
        <v>67641700</v>
      </c>
      <c r="AM430" s="3276"/>
      <c r="AN430" s="3279" t="s">
        <v>3140</v>
      </c>
      <c r="AO430" s="3267" t="s">
        <v>2968</v>
      </c>
      <c r="AP430" s="3267" t="s">
        <v>3305</v>
      </c>
      <c r="AQ430" s="3267" t="s">
        <v>3228</v>
      </c>
      <c r="AR430" s="3276"/>
      <c r="AS430" s="3276"/>
      <c r="AT430" s="3276"/>
      <c r="AU430" s="3276"/>
      <c r="AV430" s="3276"/>
      <c r="AW430" s="3267" t="s">
        <v>2997</v>
      </c>
      <c r="AX430" s="3276"/>
      <c r="AY430" s="3291"/>
      <c r="AZ430" s="3276" t="s">
        <v>6260</v>
      </c>
      <c r="BA430" s="3276"/>
      <c r="BB430" s="3291"/>
      <c r="BC430" s="3276"/>
      <c r="BD430" s="3292"/>
      <c r="BE430" s="3276"/>
      <c r="BF430" s="3281"/>
      <c r="BG430" s="3293">
        <v>38793</v>
      </c>
      <c r="BH430" s="3267" t="s">
        <v>2998</v>
      </c>
      <c r="BI430" s="3314" t="s">
        <v>4230</v>
      </c>
      <c r="BJ430" s="3299">
        <v>38853</v>
      </c>
      <c r="BK430" s="3283"/>
      <c r="BL430" s="3276" t="s">
        <v>3249</v>
      </c>
      <c r="BM430" s="3276" t="s">
        <v>3345</v>
      </c>
      <c r="BN430" s="3267" t="s">
        <v>3111</v>
      </c>
      <c r="BO430" s="3276" t="s">
        <v>6261</v>
      </c>
      <c r="BP430" s="3276"/>
      <c r="BQ430" s="3276" t="e">
        <v>#DIV/0!</v>
      </c>
      <c r="BR430" s="3276" t="e">
        <v>#DIV/0!</v>
      </c>
      <c r="BS430" s="3285"/>
      <c r="BT430" s="3285"/>
      <c r="BU430" s="3285"/>
    </row>
    <row r="431" spans="1:73" hidden="1">
      <c r="A431" s="3268" t="s">
        <v>6262</v>
      </c>
      <c r="B431" s="3268" t="s">
        <v>6263</v>
      </c>
      <c r="C431" s="3269" t="s">
        <v>6264</v>
      </c>
      <c r="D431" s="3268">
        <v>13240413025</v>
      </c>
      <c r="E431" s="3267" t="s">
        <v>2985</v>
      </c>
      <c r="F431" s="3268" t="s">
        <v>3601</v>
      </c>
      <c r="G431" s="3267"/>
      <c r="H431" s="3267" t="s">
        <v>3182</v>
      </c>
      <c r="I431" s="3267"/>
      <c r="J431" s="3269" t="s">
        <v>6265</v>
      </c>
      <c r="K431" s="3267" t="s">
        <v>6263</v>
      </c>
      <c r="L431" s="3267">
        <v>77.52</v>
      </c>
      <c r="M431" s="3267">
        <v>3</v>
      </c>
      <c r="N431" s="3268" t="s">
        <v>3122</v>
      </c>
      <c r="O431" s="3267"/>
      <c r="P431" s="3267" t="s">
        <v>2963</v>
      </c>
      <c r="Q431" s="3271">
        <v>540000</v>
      </c>
      <c r="R431" s="3288">
        <v>6966</v>
      </c>
      <c r="S431" s="3272">
        <v>52.56</v>
      </c>
      <c r="T431" s="3273">
        <v>525600</v>
      </c>
      <c r="U431" s="3267">
        <v>6781</v>
      </c>
      <c r="V431" s="3274">
        <v>0.2</v>
      </c>
      <c r="W431" s="3272">
        <v>42.04</v>
      </c>
      <c r="X431" s="3273">
        <v>420400</v>
      </c>
      <c r="Y431" s="3276">
        <v>2006</v>
      </c>
      <c r="Z431" s="3276">
        <v>4</v>
      </c>
      <c r="AA431" s="3276">
        <v>29</v>
      </c>
      <c r="AB431" s="3267">
        <v>1500</v>
      </c>
      <c r="AC431" s="3268" t="s">
        <v>3521</v>
      </c>
      <c r="AD431" s="3267"/>
      <c r="AE431" s="3279" t="s">
        <v>3238</v>
      </c>
      <c r="AF431" s="3267" t="s">
        <v>2966</v>
      </c>
      <c r="AG431" s="3267" t="s">
        <v>2967</v>
      </c>
      <c r="AH431" s="3267" t="s">
        <v>2968</v>
      </c>
      <c r="AI431" s="3268" t="s">
        <v>2992</v>
      </c>
      <c r="AJ431" s="3290"/>
      <c r="AK431" s="3278">
        <v>4</v>
      </c>
      <c r="AL431" s="3267">
        <v>67641700</v>
      </c>
      <c r="AM431" s="3276"/>
      <c r="AN431" s="3279" t="s">
        <v>2994</v>
      </c>
      <c r="AO431" s="3276"/>
      <c r="AP431" s="3268" t="s">
        <v>4395</v>
      </c>
      <c r="AQ431" s="3267" t="s">
        <v>3228</v>
      </c>
      <c r="AR431" s="3267"/>
      <c r="AS431" s="3267"/>
      <c r="AT431" s="3267"/>
      <c r="AU431" s="3267" t="s">
        <v>2968</v>
      </c>
      <c r="AV431" s="3277"/>
      <c r="AW431" s="3276" t="s">
        <v>3171</v>
      </c>
      <c r="AX431" s="3276"/>
      <c r="AY431" s="3291"/>
      <c r="AZ431" s="3267" t="s">
        <v>6266</v>
      </c>
      <c r="BA431" s="3296"/>
      <c r="BB431" s="3297"/>
      <c r="BC431" s="3296"/>
      <c r="BD431" s="3298"/>
      <c r="BE431" s="3276">
        <v>6480989</v>
      </c>
      <c r="BF431" s="3281"/>
      <c r="BG431" s="3293">
        <v>38820</v>
      </c>
      <c r="BH431" s="3267"/>
      <c r="BI431" s="3268" t="s">
        <v>3238</v>
      </c>
      <c r="BJ431" s="3283">
        <v>38821</v>
      </c>
      <c r="BK431" s="3284"/>
      <c r="BL431" s="3267" t="s">
        <v>2998</v>
      </c>
      <c r="BM431" s="3276" t="s">
        <v>2879</v>
      </c>
      <c r="BN431" s="3276" t="s">
        <v>2999</v>
      </c>
      <c r="BO431" s="3276" t="s">
        <v>3146</v>
      </c>
      <c r="BP431" s="3268"/>
      <c r="BQ431" s="3267" t="e">
        <v>#DIV/0!</v>
      </c>
      <c r="BR431" s="3267" t="e">
        <v>#DIV/0!</v>
      </c>
      <c r="BS431" s="3285"/>
      <c r="BT431" s="3285"/>
      <c r="BU431" s="3285"/>
    </row>
    <row r="432" spans="1:73" hidden="1">
      <c r="A432" s="3268" t="s">
        <v>6267</v>
      </c>
      <c r="B432" s="3267" t="s">
        <v>6268</v>
      </c>
      <c r="C432" s="3269" t="s">
        <v>6269</v>
      </c>
      <c r="D432" s="3269" t="s">
        <v>6270</v>
      </c>
      <c r="E432" s="3267" t="s">
        <v>2985</v>
      </c>
      <c r="F432" s="3244" t="s">
        <v>4151</v>
      </c>
      <c r="G432" s="3267"/>
      <c r="H432" s="3267" t="s">
        <v>3118</v>
      </c>
      <c r="I432" s="3267" t="s">
        <v>3191</v>
      </c>
      <c r="J432" s="3269" t="s">
        <v>5136</v>
      </c>
      <c r="K432" s="3267" t="s">
        <v>6271</v>
      </c>
      <c r="L432" s="3267">
        <v>53.33</v>
      </c>
      <c r="M432" s="3267">
        <v>1</v>
      </c>
      <c r="N432" s="3267" t="s">
        <v>3122</v>
      </c>
      <c r="O432" s="3267"/>
      <c r="P432" s="3267" t="s">
        <v>2963</v>
      </c>
      <c r="Q432" s="3271">
        <v>350000</v>
      </c>
      <c r="R432" s="3267">
        <v>6563</v>
      </c>
      <c r="S432" s="3272">
        <v>27.64</v>
      </c>
      <c r="T432" s="3273">
        <v>276400</v>
      </c>
      <c r="U432" s="3267">
        <v>5183</v>
      </c>
      <c r="V432" s="3289">
        <v>0.2</v>
      </c>
      <c r="W432" s="3272">
        <v>22.11</v>
      </c>
      <c r="X432" s="3275">
        <v>221100</v>
      </c>
      <c r="Y432" s="3267">
        <v>2006</v>
      </c>
      <c r="Z432" s="3276">
        <v>4</v>
      </c>
      <c r="AA432" s="3276">
        <v>24</v>
      </c>
      <c r="AB432" s="3267">
        <v>825</v>
      </c>
      <c r="AC432" s="3267" t="s">
        <v>3521</v>
      </c>
      <c r="AD432" s="3267"/>
      <c r="AE432" s="3276" t="s">
        <v>3304</v>
      </c>
      <c r="AF432" s="3267" t="s">
        <v>2966</v>
      </c>
      <c r="AG432" s="3267" t="s">
        <v>2967</v>
      </c>
      <c r="AH432" s="3267"/>
      <c r="AI432" s="3267" t="s">
        <v>3295</v>
      </c>
      <c r="AJ432" s="3284"/>
      <c r="AK432" s="3278" t="s">
        <v>2994</v>
      </c>
      <c r="AL432" s="3276">
        <v>67641700</v>
      </c>
      <c r="AM432" s="3276"/>
      <c r="AN432" s="3279" t="s">
        <v>2994</v>
      </c>
      <c r="AO432" s="3276"/>
      <c r="AP432" s="3276" t="s">
        <v>3342</v>
      </c>
      <c r="AQ432" s="3267" t="s">
        <v>3228</v>
      </c>
      <c r="AR432" s="3276"/>
      <c r="AS432" s="3276"/>
      <c r="AT432" s="3276"/>
      <c r="AU432" s="3276"/>
      <c r="AV432" s="3276"/>
      <c r="AW432" s="3267" t="s">
        <v>3112</v>
      </c>
      <c r="AX432" s="3276"/>
      <c r="AY432" s="3291"/>
      <c r="AZ432" s="3267" t="s">
        <v>6271</v>
      </c>
      <c r="BA432" s="3276"/>
      <c r="BB432" s="3291"/>
      <c r="BC432" s="3276"/>
      <c r="BD432" s="3292"/>
      <c r="BE432" s="3276"/>
      <c r="BF432" s="3281"/>
      <c r="BG432" s="3293">
        <v>38810</v>
      </c>
      <c r="BH432" s="3276"/>
      <c r="BI432" s="3268" t="s">
        <v>3537</v>
      </c>
      <c r="BJ432" s="3293">
        <v>38820</v>
      </c>
      <c r="BK432" s="3283"/>
      <c r="BL432" s="3267" t="s">
        <v>2998</v>
      </c>
      <c r="BM432" s="3267" t="s">
        <v>2879</v>
      </c>
      <c r="BN432" s="3267" t="s">
        <v>2999</v>
      </c>
      <c r="BO432" s="3267" t="s">
        <v>3000</v>
      </c>
      <c r="BP432" s="3276"/>
      <c r="BQ432" s="3276" t="e">
        <v>#DIV/0!</v>
      </c>
      <c r="BR432" s="3276" t="e">
        <v>#DIV/0!</v>
      </c>
      <c r="BS432" s="3285"/>
      <c r="BT432" s="3285"/>
      <c r="BU432" s="3285"/>
    </row>
    <row r="433" spans="1:73" hidden="1">
      <c r="A433" s="3267" t="s">
        <v>6272</v>
      </c>
      <c r="B433" s="3267" t="s">
        <v>6273</v>
      </c>
      <c r="C433" s="3269" t="s">
        <v>6274</v>
      </c>
      <c r="D433" s="3269" t="s">
        <v>6275</v>
      </c>
      <c r="E433" s="3268" t="s">
        <v>2985</v>
      </c>
      <c r="F433" s="3268" t="s">
        <v>3292</v>
      </c>
      <c r="G433" s="3267" t="s">
        <v>3262</v>
      </c>
      <c r="H433" s="3268" t="s">
        <v>3194</v>
      </c>
      <c r="I433" s="3268"/>
      <c r="J433" s="3267" t="s">
        <v>3437</v>
      </c>
      <c r="K433" s="3267" t="s">
        <v>6276</v>
      </c>
      <c r="L433" s="3267">
        <v>112.93</v>
      </c>
      <c r="M433" s="3267">
        <v>4</v>
      </c>
      <c r="N433" s="3267" t="s">
        <v>3122</v>
      </c>
      <c r="O433" s="3267">
        <v>95.54</v>
      </c>
      <c r="P433" s="3267" t="s">
        <v>2963</v>
      </c>
      <c r="Q433" s="3271">
        <v>565000</v>
      </c>
      <c r="R433" s="3267">
        <v>5003</v>
      </c>
      <c r="S433" s="3272">
        <v>53.2</v>
      </c>
      <c r="T433" s="3273">
        <v>532000</v>
      </c>
      <c r="U433" s="3267">
        <v>4711</v>
      </c>
      <c r="V433" s="3289">
        <v>0.2</v>
      </c>
      <c r="W433" s="3272">
        <v>42.56</v>
      </c>
      <c r="X433" s="3275">
        <v>425600</v>
      </c>
      <c r="Y433" s="3276">
        <v>2006</v>
      </c>
      <c r="Z433" s="3276">
        <v>4</v>
      </c>
      <c r="AA433" s="3276">
        <v>29</v>
      </c>
      <c r="AB433" s="3267">
        <v>1500</v>
      </c>
      <c r="AC433" s="3267" t="s">
        <v>3521</v>
      </c>
      <c r="AD433" s="3267"/>
      <c r="AE433" s="3279" t="s">
        <v>3245</v>
      </c>
      <c r="AF433" s="3268" t="s">
        <v>2966</v>
      </c>
      <c r="AG433" s="3279" t="s">
        <v>2967</v>
      </c>
      <c r="AH433" s="3267" t="s">
        <v>3262</v>
      </c>
      <c r="AI433" s="3279" t="s">
        <v>2992</v>
      </c>
      <c r="AJ433" s="3284" t="s">
        <v>3262</v>
      </c>
      <c r="AK433" s="3278">
        <v>4</v>
      </c>
      <c r="AL433" s="3276">
        <v>67641700</v>
      </c>
      <c r="AM433" s="3276"/>
      <c r="AN433" s="3316" t="s">
        <v>2994</v>
      </c>
      <c r="AO433" s="3267"/>
      <c r="AP433" s="3279" t="s">
        <v>3305</v>
      </c>
      <c r="AQ433" s="3267" t="s">
        <v>3228</v>
      </c>
      <c r="AR433" s="3276"/>
      <c r="AS433" s="3276"/>
      <c r="AT433" s="3276"/>
      <c r="AU433" s="3276" t="s">
        <v>3262</v>
      </c>
      <c r="AV433" s="3276" t="s">
        <v>3262</v>
      </c>
      <c r="AW433" s="3276" t="s">
        <v>2997</v>
      </c>
      <c r="AX433" s="3276" t="s">
        <v>3262</v>
      </c>
      <c r="AY433" s="3291" t="s">
        <v>3262</v>
      </c>
      <c r="AZ433" s="3267" t="s">
        <v>6276</v>
      </c>
      <c r="BA433" s="3296" t="s">
        <v>3262</v>
      </c>
      <c r="BB433" s="3297" t="s">
        <v>3262</v>
      </c>
      <c r="BC433" s="3296" t="s">
        <v>3262</v>
      </c>
      <c r="BD433" s="3298" t="s">
        <v>3262</v>
      </c>
      <c r="BE433" s="3276"/>
      <c r="BF433" s="3281" t="s">
        <v>3262</v>
      </c>
      <c r="BG433" s="3293">
        <v>38813</v>
      </c>
      <c r="BH433" s="3267" t="s">
        <v>2998</v>
      </c>
      <c r="BI433" s="3314" t="s">
        <v>3305</v>
      </c>
      <c r="BJ433" s="3283">
        <v>38820</v>
      </c>
      <c r="BK433" s="3283" t="s">
        <v>3262</v>
      </c>
      <c r="BL433" s="3267" t="s">
        <v>3249</v>
      </c>
      <c r="BM433" s="3276" t="s">
        <v>2879</v>
      </c>
      <c r="BN433" s="3276" t="s">
        <v>3111</v>
      </c>
      <c r="BO433" s="3276" t="s">
        <v>3146</v>
      </c>
      <c r="BP433" s="3276"/>
      <c r="BQ433" s="3276">
        <v>5568</v>
      </c>
      <c r="BR433" s="3276">
        <v>5914</v>
      </c>
      <c r="BS433" s="3285"/>
      <c r="BT433" s="3285"/>
      <c r="BU433" s="3285"/>
    </row>
    <row r="434" spans="1:73" hidden="1">
      <c r="A434" s="3267" t="s">
        <v>6277</v>
      </c>
      <c r="B434" s="3267" t="s">
        <v>6278</v>
      </c>
      <c r="C434" s="3269" t="s">
        <v>6279</v>
      </c>
      <c r="D434" s="3268">
        <v>13911489551</v>
      </c>
      <c r="E434" s="3267" t="s">
        <v>2985</v>
      </c>
      <c r="F434" s="3267" t="s">
        <v>6280</v>
      </c>
      <c r="G434" s="3267"/>
      <c r="H434" s="3270" t="s">
        <v>3118</v>
      </c>
      <c r="I434" s="3268" t="s">
        <v>4038</v>
      </c>
      <c r="J434" s="3270">
        <v>404</v>
      </c>
      <c r="K434" s="3267" t="s">
        <v>6278</v>
      </c>
      <c r="L434" s="3286">
        <v>64.62</v>
      </c>
      <c r="M434" s="3270">
        <v>4</v>
      </c>
      <c r="N434" s="3268" t="s">
        <v>3122</v>
      </c>
      <c r="O434" s="3267"/>
      <c r="P434" s="3267" t="s">
        <v>2963</v>
      </c>
      <c r="Q434" s="3287">
        <v>410000</v>
      </c>
      <c r="R434" s="3267">
        <v>6345</v>
      </c>
      <c r="S434" s="3272">
        <v>35.04</v>
      </c>
      <c r="T434" s="3273">
        <v>350400</v>
      </c>
      <c r="U434" s="3287">
        <v>5424</v>
      </c>
      <c r="V434" s="3289">
        <v>0.2</v>
      </c>
      <c r="W434" s="3272">
        <v>28.03</v>
      </c>
      <c r="X434" s="3275">
        <v>280300</v>
      </c>
      <c r="Y434" s="3267">
        <v>2006</v>
      </c>
      <c r="Z434" s="3276">
        <v>4</v>
      </c>
      <c r="AA434" s="3276">
        <v>18</v>
      </c>
      <c r="AB434" s="3267">
        <v>1050</v>
      </c>
      <c r="AC434" s="3267" t="s">
        <v>3521</v>
      </c>
      <c r="AD434" s="3267"/>
      <c r="AE434" s="3276" t="s">
        <v>3304</v>
      </c>
      <c r="AF434" s="3267" t="s">
        <v>2966</v>
      </c>
      <c r="AG434" s="3279" t="s">
        <v>2967</v>
      </c>
      <c r="AH434" s="3267"/>
      <c r="AI434" s="3267" t="s">
        <v>3115</v>
      </c>
      <c r="AJ434" s="3270"/>
      <c r="AK434" s="3278">
        <v>4</v>
      </c>
      <c r="AL434" s="3267">
        <v>82253558</v>
      </c>
      <c r="AM434" s="3267"/>
      <c r="AN434" s="3279" t="s">
        <v>3114</v>
      </c>
      <c r="AO434" s="3267"/>
      <c r="AP434" s="3279" t="s">
        <v>3305</v>
      </c>
      <c r="AQ434" s="3267" t="s">
        <v>3113</v>
      </c>
      <c r="AR434" s="3267"/>
      <c r="AS434" s="3267"/>
      <c r="AT434" s="3267"/>
      <c r="AU434" s="3267"/>
      <c r="AV434" s="3267"/>
      <c r="AW434" s="3267" t="s">
        <v>3112</v>
      </c>
      <c r="AX434" s="3267"/>
      <c r="AY434" s="3279"/>
      <c r="AZ434" s="3267" t="s">
        <v>6281</v>
      </c>
      <c r="BA434" s="3267"/>
      <c r="BB434" s="3267"/>
      <c r="BC434" s="3267"/>
      <c r="BD434" s="3267"/>
      <c r="BE434" s="3267">
        <v>13520760135</v>
      </c>
      <c r="BF434" s="3267"/>
      <c r="BG434" s="3299">
        <v>38798</v>
      </c>
      <c r="BH434" s="3267"/>
      <c r="BI434" s="3314" t="s">
        <v>3537</v>
      </c>
      <c r="BJ434" s="3299">
        <v>38820</v>
      </c>
      <c r="BK434" s="3284"/>
      <c r="BL434" s="3267" t="s">
        <v>2998</v>
      </c>
      <c r="BM434" s="3267" t="s">
        <v>2879</v>
      </c>
      <c r="BN434" s="3267" t="s">
        <v>2999</v>
      </c>
      <c r="BO434" s="3267" t="s">
        <v>3000</v>
      </c>
      <c r="BP434" s="3267"/>
      <c r="BQ434" s="3276" t="e">
        <v>#DIV/0!</v>
      </c>
      <c r="BR434" s="3276" t="e">
        <v>#DIV/0!</v>
      </c>
      <c r="BS434" s="3285"/>
      <c r="BT434" s="3285"/>
      <c r="BU434" s="3285"/>
    </row>
    <row r="435" spans="1:73" hidden="1">
      <c r="A435" s="3267" t="s">
        <v>6282</v>
      </c>
      <c r="B435" s="3267" t="s">
        <v>6283</v>
      </c>
      <c r="C435" s="3269" t="s">
        <v>6284</v>
      </c>
      <c r="D435" s="3269"/>
      <c r="E435" s="3267" t="s">
        <v>2985</v>
      </c>
      <c r="F435" s="3308" t="s">
        <v>3813</v>
      </c>
      <c r="G435" s="3267" t="s">
        <v>3262</v>
      </c>
      <c r="H435" s="3267" t="s">
        <v>5123</v>
      </c>
      <c r="I435" s="3267" t="s">
        <v>3254</v>
      </c>
      <c r="J435" s="3267" t="s">
        <v>3123</v>
      </c>
      <c r="K435" s="3267" t="s">
        <v>6283</v>
      </c>
      <c r="L435" s="3286">
        <v>71.790000000000006</v>
      </c>
      <c r="M435" s="3267">
        <v>4</v>
      </c>
      <c r="N435" s="3267" t="s">
        <v>3122</v>
      </c>
      <c r="O435" s="3267"/>
      <c r="P435" s="3267" t="s">
        <v>2963</v>
      </c>
      <c r="Q435" s="3287">
        <v>450000</v>
      </c>
      <c r="R435" s="3267">
        <v>6268</v>
      </c>
      <c r="S435" s="3272">
        <v>41.53</v>
      </c>
      <c r="T435" s="3273">
        <v>415300</v>
      </c>
      <c r="U435" s="3267">
        <v>5785</v>
      </c>
      <c r="V435" s="3289">
        <v>0.2</v>
      </c>
      <c r="W435" s="3272">
        <v>33.22</v>
      </c>
      <c r="X435" s="3275">
        <v>332200</v>
      </c>
      <c r="Y435" s="3267">
        <v>2006</v>
      </c>
      <c r="Z435" s="3267">
        <v>4</v>
      </c>
      <c r="AA435" s="3276">
        <v>25</v>
      </c>
      <c r="AB435" s="3267">
        <v>1245</v>
      </c>
      <c r="AC435" s="3267" t="s">
        <v>3521</v>
      </c>
      <c r="AD435" s="3267"/>
      <c r="AE435" s="3267" t="s">
        <v>3344</v>
      </c>
      <c r="AF435" s="3267" t="s">
        <v>2966</v>
      </c>
      <c r="AG435" s="3279" t="s">
        <v>2967</v>
      </c>
      <c r="AH435" s="3267" t="s">
        <v>3262</v>
      </c>
      <c r="AI435" s="3279" t="s">
        <v>2992</v>
      </c>
      <c r="AJ435" s="3290" t="s">
        <v>3262</v>
      </c>
      <c r="AK435" s="3278" t="s">
        <v>2994</v>
      </c>
      <c r="AL435" s="3276">
        <v>67641700</v>
      </c>
      <c r="AM435" s="3276"/>
      <c r="AN435" s="3279" t="s">
        <v>2994</v>
      </c>
      <c r="AO435" s="3267"/>
      <c r="AP435" s="3267" t="s">
        <v>3342</v>
      </c>
      <c r="AQ435" s="3267" t="s">
        <v>3228</v>
      </c>
      <c r="AR435" s="3276"/>
      <c r="AS435" s="3276"/>
      <c r="AT435" s="3276"/>
      <c r="AU435" s="3276" t="s">
        <v>3262</v>
      </c>
      <c r="AV435" s="3276" t="s">
        <v>3262</v>
      </c>
      <c r="AW435" s="3276" t="s">
        <v>2997</v>
      </c>
      <c r="AX435" s="3276" t="s">
        <v>3262</v>
      </c>
      <c r="AY435" s="3291" t="s">
        <v>3262</v>
      </c>
      <c r="AZ435" s="3276" t="s">
        <v>6285</v>
      </c>
      <c r="BA435" s="3276" t="s">
        <v>3262</v>
      </c>
      <c r="BB435" s="3291" t="s">
        <v>3262</v>
      </c>
      <c r="BC435" s="3276" t="s">
        <v>3262</v>
      </c>
      <c r="BD435" s="3292" t="s">
        <v>3262</v>
      </c>
      <c r="BE435" s="3276">
        <v>13683369042</v>
      </c>
      <c r="BF435" s="3281" t="s">
        <v>3262</v>
      </c>
      <c r="BG435" s="3293">
        <v>38806</v>
      </c>
      <c r="BH435" s="3276"/>
      <c r="BI435" s="3314" t="s">
        <v>3344</v>
      </c>
      <c r="BJ435" s="3283">
        <v>38820</v>
      </c>
      <c r="BK435" s="3283" t="s">
        <v>3262</v>
      </c>
      <c r="BL435" s="3267" t="s">
        <v>2998</v>
      </c>
      <c r="BM435" s="3276" t="s">
        <v>2879</v>
      </c>
      <c r="BN435" s="3276" t="s">
        <v>3111</v>
      </c>
      <c r="BO435" s="3276" t="s">
        <v>3146</v>
      </c>
      <c r="BP435" s="3276"/>
      <c r="BQ435" s="3276"/>
      <c r="BR435" s="3276"/>
      <c r="BS435" s="3285"/>
      <c r="BT435" s="3285"/>
      <c r="BU435" s="3285"/>
    </row>
    <row r="436" spans="1:73">
      <c r="A436" s="3267" t="s">
        <v>6286</v>
      </c>
      <c r="B436" s="3267" t="s">
        <v>6287</v>
      </c>
      <c r="C436" s="3269" t="s">
        <v>6288</v>
      </c>
      <c r="D436" s="3269" t="s">
        <v>6289</v>
      </c>
      <c r="E436" s="3267" t="s">
        <v>2985</v>
      </c>
      <c r="F436" s="3308" t="s">
        <v>6290</v>
      </c>
      <c r="G436" s="3267" t="s">
        <v>3262</v>
      </c>
      <c r="H436" s="3267" t="s">
        <v>3130</v>
      </c>
      <c r="I436" s="3267" t="s">
        <v>3608</v>
      </c>
      <c r="J436" s="3267">
        <v>502</v>
      </c>
      <c r="K436" s="3267" t="s">
        <v>6291</v>
      </c>
      <c r="L436" s="3286">
        <v>54.38</v>
      </c>
      <c r="M436" s="3267">
        <v>5</v>
      </c>
      <c r="N436" s="3267" t="s">
        <v>3152</v>
      </c>
      <c r="O436" s="3267"/>
      <c r="P436" s="3267" t="s">
        <v>2963</v>
      </c>
      <c r="Q436" s="3287">
        <v>390000</v>
      </c>
      <c r="R436" s="3267">
        <v>7172</v>
      </c>
      <c r="S436" s="3272">
        <v>36.26</v>
      </c>
      <c r="T436" s="3273">
        <v>362600</v>
      </c>
      <c r="U436" s="3267">
        <v>6669</v>
      </c>
      <c r="V436" s="3289">
        <v>0.2</v>
      </c>
      <c r="W436" s="3272">
        <v>29</v>
      </c>
      <c r="X436" s="3275">
        <v>290000</v>
      </c>
      <c r="Y436" s="3267">
        <v>2006</v>
      </c>
      <c r="Z436" s="3267">
        <v>4</v>
      </c>
      <c r="AA436" s="3276">
        <v>29</v>
      </c>
      <c r="AB436" s="3267">
        <v>1085</v>
      </c>
      <c r="AC436" s="3267" t="s">
        <v>2980</v>
      </c>
      <c r="AD436" s="3267"/>
      <c r="AE436" s="3267" t="s">
        <v>3304</v>
      </c>
      <c r="AF436" s="3267" t="s">
        <v>2966</v>
      </c>
      <c r="AG436" s="3279" t="s">
        <v>2967</v>
      </c>
      <c r="AH436" s="3267" t="s">
        <v>3262</v>
      </c>
      <c r="AI436" s="3279" t="s">
        <v>2992</v>
      </c>
      <c r="AJ436" s="3290" t="s">
        <v>3262</v>
      </c>
      <c r="AK436" s="3278" t="s">
        <v>2994</v>
      </c>
      <c r="AL436" s="3276">
        <v>67641700</v>
      </c>
      <c r="AM436" s="3276"/>
      <c r="AN436" s="3279" t="s">
        <v>2994</v>
      </c>
      <c r="AO436" s="3267" t="s">
        <v>6292</v>
      </c>
      <c r="AP436" s="3279" t="s">
        <v>3305</v>
      </c>
      <c r="AQ436" s="3267" t="s">
        <v>3228</v>
      </c>
      <c r="AR436" s="3276"/>
      <c r="AS436" s="3276"/>
      <c r="AT436" s="3276"/>
      <c r="AU436" s="3276" t="s">
        <v>3262</v>
      </c>
      <c r="AV436" s="3276" t="s">
        <v>3262</v>
      </c>
      <c r="AW436" s="3276" t="s">
        <v>2997</v>
      </c>
      <c r="AX436" s="3276" t="s">
        <v>3262</v>
      </c>
      <c r="AY436" s="3291" t="s">
        <v>3262</v>
      </c>
      <c r="AZ436" s="3267" t="s">
        <v>6291</v>
      </c>
      <c r="BA436" s="3276" t="s">
        <v>3262</v>
      </c>
      <c r="BB436" s="3291" t="s">
        <v>3262</v>
      </c>
      <c r="BC436" s="3276" t="s">
        <v>3262</v>
      </c>
      <c r="BD436" s="3292" t="s">
        <v>3262</v>
      </c>
      <c r="BE436" s="3276"/>
      <c r="BF436" s="3281" t="s">
        <v>3262</v>
      </c>
      <c r="BG436" s="3293">
        <v>38824</v>
      </c>
      <c r="BH436" s="3276"/>
      <c r="BI436" s="3267" t="s">
        <v>4395</v>
      </c>
      <c r="BJ436" s="3299">
        <v>38828</v>
      </c>
      <c r="BK436" s="3283" t="s">
        <v>3262</v>
      </c>
      <c r="BL436" s="3267" t="s">
        <v>2998</v>
      </c>
      <c r="BM436" s="3276" t="s">
        <v>2879</v>
      </c>
      <c r="BN436" s="3276" t="s">
        <v>2999</v>
      </c>
      <c r="BO436" s="3276" t="s">
        <v>3146</v>
      </c>
      <c r="BP436" s="3276"/>
      <c r="BQ436" s="3276" t="e">
        <v>#DIV/0!</v>
      </c>
      <c r="BR436" s="3276" t="e">
        <v>#DIV/0!</v>
      </c>
      <c r="BS436" s="3285"/>
      <c r="BT436" s="3285"/>
      <c r="BU436" s="3285"/>
    </row>
    <row r="437" spans="1:73" hidden="1">
      <c r="A437" s="3267" t="s">
        <v>6293</v>
      </c>
      <c r="B437" s="3267" t="s">
        <v>6294</v>
      </c>
      <c r="C437" s="3269" t="s">
        <v>6295</v>
      </c>
      <c r="D437" s="3269" t="s">
        <v>6296</v>
      </c>
      <c r="E437" s="3268" t="s">
        <v>2985</v>
      </c>
      <c r="F437" s="3268" t="s">
        <v>5426</v>
      </c>
      <c r="G437" s="3267"/>
      <c r="H437" s="3268" t="s">
        <v>3124</v>
      </c>
      <c r="I437" s="3268" t="s">
        <v>4054</v>
      </c>
      <c r="J437" s="3267" t="s">
        <v>6297</v>
      </c>
      <c r="K437" s="3267" t="s">
        <v>6298</v>
      </c>
      <c r="L437" s="3267">
        <v>58.73</v>
      </c>
      <c r="M437" s="3267">
        <v>4</v>
      </c>
      <c r="N437" s="3267" t="s">
        <v>3122</v>
      </c>
      <c r="O437" s="3267" t="s">
        <v>2968</v>
      </c>
      <c r="P437" s="3267" t="s">
        <v>2963</v>
      </c>
      <c r="Q437" s="3271">
        <v>380000</v>
      </c>
      <c r="R437" s="3267">
        <v>6470</v>
      </c>
      <c r="S437" s="3272">
        <v>31.3</v>
      </c>
      <c r="T437" s="3273">
        <v>313000</v>
      </c>
      <c r="U437" s="3267">
        <v>5330</v>
      </c>
      <c r="V437" s="3289">
        <v>0.2</v>
      </c>
      <c r="W437" s="3272">
        <v>25.04</v>
      </c>
      <c r="X437" s="3275">
        <v>250400</v>
      </c>
      <c r="Y437" s="3276">
        <v>2006</v>
      </c>
      <c r="Z437" s="3276">
        <v>4</v>
      </c>
      <c r="AA437" s="3276">
        <v>26</v>
      </c>
      <c r="AB437" s="3267">
        <v>935</v>
      </c>
      <c r="AC437" s="3267" t="s">
        <v>3521</v>
      </c>
      <c r="AD437" s="3267"/>
      <c r="AE437" s="3279" t="s">
        <v>3245</v>
      </c>
      <c r="AF437" s="3267" t="s">
        <v>2966</v>
      </c>
      <c r="AG437" s="3279" t="s">
        <v>2967</v>
      </c>
      <c r="AH437" s="3267"/>
      <c r="AI437" s="3279" t="s">
        <v>2992</v>
      </c>
      <c r="AJ437" s="3284"/>
      <c r="AK437" s="3278">
        <v>4</v>
      </c>
      <c r="AL437" s="3276">
        <v>67641700</v>
      </c>
      <c r="AM437" s="3276"/>
      <c r="AN437" s="3279" t="s">
        <v>2994</v>
      </c>
      <c r="AO437" s="3267"/>
      <c r="AP437" s="3279" t="s">
        <v>3305</v>
      </c>
      <c r="AQ437" s="3267" t="s">
        <v>3228</v>
      </c>
      <c r="AR437" s="3276"/>
      <c r="AS437" s="3276"/>
      <c r="AT437" s="3276"/>
      <c r="AU437" s="3276"/>
      <c r="AV437" s="3276"/>
      <c r="AW437" s="3276" t="s">
        <v>3119</v>
      </c>
      <c r="AX437" s="3276"/>
      <c r="AY437" s="3291"/>
      <c r="AZ437" s="3267" t="s">
        <v>6298</v>
      </c>
      <c r="BA437" s="3296"/>
      <c r="BB437" s="3297"/>
      <c r="BC437" s="3296"/>
      <c r="BD437" s="3298"/>
      <c r="BE437" s="3276">
        <v>13070159109</v>
      </c>
      <c r="BF437" s="3281"/>
      <c r="BG437" s="3293">
        <v>38820</v>
      </c>
      <c r="BH437" s="3267" t="s">
        <v>2998</v>
      </c>
      <c r="BI437" s="3314" t="s">
        <v>3305</v>
      </c>
      <c r="BJ437" s="3283">
        <v>38820</v>
      </c>
      <c r="BK437" s="3283"/>
      <c r="BL437" s="3267" t="s">
        <v>3249</v>
      </c>
      <c r="BM437" s="3276" t="s">
        <v>2879</v>
      </c>
      <c r="BN437" s="3276" t="s">
        <v>3111</v>
      </c>
      <c r="BO437" s="3276" t="s">
        <v>3146</v>
      </c>
      <c r="BP437" s="3276"/>
      <c r="BQ437" s="3276" t="e">
        <v>#VALUE!</v>
      </c>
      <c r="BR437" s="3276" t="e">
        <v>#VALUE!</v>
      </c>
      <c r="BS437" s="3285"/>
      <c r="BT437" s="3285"/>
      <c r="BU437" s="3285"/>
    </row>
    <row r="438" spans="1:73" hidden="1">
      <c r="A438" s="3267" t="s">
        <v>6299</v>
      </c>
      <c r="B438" s="3267" t="s">
        <v>6300</v>
      </c>
      <c r="C438" s="3269" t="s">
        <v>6301</v>
      </c>
      <c r="D438" s="3269" t="s">
        <v>6302</v>
      </c>
      <c r="E438" s="3268" t="s">
        <v>2985</v>
      </c>
      <c r="F438" s="3268" t="s">
        <v>6303</v>
      </c>
      <c r="G438" s="3267"/>
      <c r="H438" s="3268" t="s">
        <v>3097</v>
      </c>
      <c r="I438" s="3268" t="s">
        <v>2968</v>
      </c>
      <c r="J438" s="3267" t="s">
        <v>3158</v>
      </c>
      <c r="K438" s="3267" t="s">
        <v>6304</v>
      </c>
      <c r="L438" s="3267">
        <v>89.18</v>
      </c>
      <c r="M438" s="3267" t="s">
        <v>6305</v>
      </c>
      <c r="N438" s="3267" t="s">
        <v>3125</v>
      </c>
      <c r="O438" s="3267"/>
      <c r="P438" s="3267" t="s">
        <v>2963</v>
      </c>
      <c r="Q438" s="3271">
        <v>620000</v>
      </c>
      <c r="R438" s="3267">
        <v>6952</v>
      </c>
      <c r="S438" s="3272">
        <v>50.83</v>
      </c>
      <c r="T438" s="3273">
        <v>508300</v>
      </c>
      <c r="U438" s="3267">
        <v>5700</v>
      </c>
      <c r="V438" s="3289">
        <v>0.2</v>
      </c>
      <c r="W438" s="3272">
        <v>40.659999999999997</v>
      </c>
      <c r="X438" s="3275">
        <v>406600</v>
      </c>
      <c r="Y438" s="3276">
        <v>2006</v>
      </c>
      <c r="Z438" s="3276">
        <v>5</v>
      </c>
      <c r="AA438" s="3294">
        <v>10</v>
      </c>
      <c r="AB438" s="3295">
        <v>1500</v>
      </c>
      <c r="AC438" s="3267" t="s">
        <v>3521</v>
      </c>
      <c r="AD438" s="3267"/>
      <c r="AE438" s="3279" t="s">
        <v>3295</v>
      </c>
      <c r="AF438" s="3268" t="s">
        <v>2966</v>
      </c>
      <c r="AG438" s="3279" t="s">
        <v>2967</v>
      </c>
      <c r="AH438" s="3267"/>
      <c r="AI438" s="3279" t="s">
        <v>2992</v>
      </c>
      <c r="AJ438" s="3284"/>
      <c r="AK438" s="3278">
        <v>5</v>
      </c>
      <c r="AL438" s="3276">
        <v>67641700</v>
      </c>
      <c r="AM438" s="3276"/>
      <c r="AN438" s="3279" t="s">
        <v>3131</v>
      </c>
      <c r="AO438" s="3267"/>
      <c r="AP438" s="3279" t="s">
        <v>3305</v>
      </c>
      <c r="AQ438" s="3267" t="s">
        <v>3228</v>
      </c>
      <c r="AR438" s="3276"/>
      <c r="AS438" s="3276"/>
      <c r="AT438" s="3276"/>
      <c r="AU438" s="3276"/>
      <c r="AV438" s="3276"/>
      <c r="AW438" s="3276" t="s">
        <v>3112</v>
      </c>
      <c r="AX438" s="3276"/>
      <c r="AY438" s="3291"/>
      <c r="AZ438" s="3267" t="s">
        <v>6304</v>
      </c>
      <c r="BA438" s="3296"/>
      <c r="BB438" s="3297"/>
      <c r="BC438" s="3296"/>
      <c r="BD438" s="3298"/>
      <c r="BE438" s="3276">
        <v>13520606877</v>
      </c>
      <c r="BF438" s="3281"/>
      <c r="BG438" s="3293">
        <v>38793</v>
      </c>
      <c r="BH438" s="3267" t="s">
        <v>2998</v>
      </c>
      <c r="BI438" s="3314" t="s">
        <v>3305</v>
      </c>
      <c r="BJ438" s="3283">
        <v>38821</v>
      </c>
      <c r="BK438" s="3283"/>
      <c r="BL438" s="3267" t="s">
        <v>3249</v>
      </c>
      <c r="BM438" s="3276" t="s">
        <v>2879</v>
      </c>
      <c r="BN438" s="3276" t="s">
        <v>2999</v>
      </c>
      <c r="BO438" s="3276" t="s">
        <v>3000</v>
      </c>
      <c r="BP438" s="3276"/>
      <c r="BQ438" s="3276" t="e">
        <v>#DIV/0!</v>
      </c>
      <c r="BR438" s="3276" t="e">
        <v>#DIV/0!</v>
      </c>
      <c r="BS438" s="3285"/>
      <c r="BT438" s="3285"/>
      <c r="BU438" s="3285"/>
    </row>
    <row r="439" spans="1:73" hidden="1">
      <c r="A439" s="3267" t="s">
        <v>6306</v>
      </c>
      <c r="B439" s="3267" t="s">
        <v>6307</v>
      </c>
      <c r="C439" s="3269" t="s">
        <v>6308</v>
      </c>
      <c r="D439" s="3268" t="s">
        <v>6309</v>
      </c>
      <c r="E439" s="3267" t="s">
        <v>2985</v>
      </c>
      <c r="F439" s="3268" t="s">
        <v>6310</v>
      </c>
      <c r="G439" s="3267"/>
      <c r="H439" s="3267" t="s">
        <v>3402</v>
      </c>
      <c r="I439" s="3267"/>
      <c r="J439" s="3267" t="s">
        <v>6259</v>
      </c>
      <c r="K439" s="3267" t="s">
        <v>6307</v>
      </c>
      <c r="L439" s="3267">
        <v>96.57</v>
      </c>
      <c r="M439" s="3267">
        <v>15</v>
      </c>
      <c r="N439" s="3267" t="s">
        <v>3122</v>
      </c>
      <c r="O439" s="3267"/>
      <c r="P439" s="3267" t="s">
        <v>2963</v>
      </c>
      <c r="Q439" s="3271">
        <v>760000</v>
      </c>
      <c r="R439" s="3267">
        <v>7870</v>
      </c>
      <c r="S439" s="3272">
        <v>68.97</v>
      </c>
      <c r="T439" s="3273">
        <v>689700</v>
      </c>
      <c r="U439" s="3267">
        <v>7143</v>
      </c>
      <c r="V439" s="3289">
        <v>0.2</v>
      </c>
      <c r="W439" s="3272">
        <v>55.17</v>
      </c>
      <c r="X439" s="3275">
        <v>551700</v>
      </c>
      <c r="Y439" s="3276">
        <v>2006</v>
      </c>
      <c r="Z439" s="3276">
        <v>4</v>
      </c>
      <c r="AA439" s="3276">
        <v>14</v>
      </c>
      <c r="AB439" s="3276">
        <v>1500</v>
      </c>
      <c r="AC439" s="3267" t="s">
        <v>3521</v>
      </c>
      <c r="AD439" s="3267"/>
      <c r="AE439" s="3276" t="s">
        <v>3304</v>
      </c>
      <c r="AF439" s="3267" t="s">
        <v>2966</v>
      </c>
      <c r="AG439" s="3267" t="s">
        <v>2967</v>
      </c>
      <c r="AH439" s="3267"/>
      <c r="AI439" s="3279" t="s">
        <v>2992</v>
      </c>
      <c r="AJ439" s="3284"/>
      <c r="AK439" s="3316" t="s">
        <v>2994</v>
      </c>
      <c r="AL439" s="3276">
        <v>67641700</v>
      </c>
      <c r="AM439" s="3276"/>
      <c r="AN439" s="3276" t="s">
        <v>3140</v>
      </c>
      <c r="AO439" s="3276"/>
      <c r="AP439" s="3279" t="s">
        <v>3305</v>
      </c>
      <c r="AQ439" s="3267" t="s">
        <v>3113</v>
      </c>
      <c r="AR439" s="3276"/>
      <c r="AS439" s="3276"/>
      <c r="AT439" s="3276"/>
      <c r="AU439" s="3276"/>
      <c r="AV439" s="3276"/>
      <c r="AW439" s="3276" t="s">
        <v>3112</v>
      </c>
      <c r="AX439" s="3276"/>
      <c r="AY439" s="3291"/>
      <c r="AZ439" s="3276"/>
      <c r="BA439" s="3276"/>
      <c r="BB439" s="3291"/>
      <c r="BC439" s="3276"/>
      <c r="BD439" s="3292"/>
      <c r="BE439" s="3276"/>
      <c r="BF439" s="3281"/>
      <c r="BG439" s="3299">
        <v>38795</v>
      </c>
      <c r="BH439" s="3276"/>
      <c r="BI439" s="3267" t="s">
        <v>4532</v>
      </c>
      <c r="BJ439" s="3299">
        <v>38821</v>
      </c>
      <c r="BK439" s="3283"/>
      <c r="BL439" s="3267" t="s">
        <v>2998</v>
      </c>
      <c r="BM439" s="3276" t="s">
        <v>2879</v>
      </c>
      <c r="BN439" s="3276" t="s">
        <v>2999</v>
      </c>
      <c r="BO439" s="3276" t="s">
        <v>3146</v>
      </c>
      <c r="BP439" s="3276"/>
      <c r="BQ439" s="3276" t="e">
        <v>#DIV/0!</v>
      </c>
      <c r="BR439" s="3276" t="e">
        <v>#DIV/0!</v>
      </c>
      <c r="BS439" s="3285"/>
      <c r="BT439" s="3285"/>
      <c r="BU439" s="3285"/>
    </row>
    <row r="440" spans="1:73">
      <c r="A440" s="3267" t="s">
        <v>6311</v>
      </c>
      <c r="B440" s="3268" t="s">
        <v>6312</v>
      </c>
      <c r="C440" s="3269" t="s">
        <v>6313</v>
      </c>
      <c r="D440" s="3268">
        <v>13311068302</v>
      </c>
      <c r="E440" s="3267" t="s">
        <v>2985</v>
      </c>
      <c r="F440" s="3268" t="s">
        <v>5306</v>
      </c>
      <c r="G440" s="3268"/>
      <c r="H440" s="3268" t="s">
        <v>3159</v>
      </c>
      <c r="I440" s="3268"/>
      <c r="J440" s="3268" t="s">
        <v>3787</v>
      </c>
      <c r="K440" s="3268" t="s">
        <v>6312</v>
      </c>
      <c r="L440" s="3270">
        <v>99.43</v>
      </c>
      <c r="M440" s="3270">
        <v>18</v>
      </c>
      <c r="N440" s="3268" t="s">
        <v>6314</v>
      </c>
      <c r="O440" s="3270"/>
      <c r="P440" s="3267" t="s">
        <v>2963</v>
      </c>
      <c r="Q440" s="3271">
        <v>725000</v>
      </c>
      <c r="R440" s="3267">
        <v>7292</v>
      </c>
      <c r="S440" s="3272">
        <v>62.43</v>
      </c>
      <c r="T440" s="3273">
        <v>624300</v>
      </c>
      <c r="U440" s="3267">
        <v>6279</v>
      </c>
      <c r="V440" s="3274">
        <v>0.2</v>
      </c>
      <c r="W440" s="3272">
        <v>49.94</v>
      </c>
      <c r="X440" s="3275">
        <v>499400</v>
      </c>
      <c r="Y440" s="3276">
        <v>2006</v>
      </c>
      <c r="Z440" s="3276">
        <v>6</v>
      </c>
      <c r="AA440" s="3276">
        <v>15</v>
      </c>
      <c r="AB440" s="3267">
        <v>1500</v>
      </c>
      <c r="AC440" s="3267" t="s">
        <v>2980</v>
      </c>
      <c r="AD440" s="3268"/>
      <c r="AE440" s="3267" t="s">
        <v>3304</v>
      </c>
      <c r="AF440" s="3268" t="s">
        <v>2966</v>
      </c>
      <c r="AG440" s="3268" t="s">
        <v>2967</v>
      </c>
      <c r="AH440" s="3268"/>
      <c r="AI440" s="3279" t="s">
        <v>2992</v>
      </c>
      <c r="AJ440" s="3290"/>
      <c r="AK440" s="3278" t="s">
        <v>3160</v>
      </c>
      <c r="AL440" s="3276">
        <v>67641700</v>
      </c>
      <c r="AM440" s="3276"/>
      <c r="AN440" s="3276" t="s">
        <v>3114</v>
      </c>
      <c r="AO440" s="3276" t="s">
        <v>6315</v>
      </c>
      <c r="AP440" s="3279" t="s">
        <v>3305</v>
      </c>
      <c r="AQ440" s="3267" t="s">
        <v>3228</v>
      </c>
      <c r="AR440" s="3267"/>
      <c r="AS440" s="3267"/>
      <c r="AT440" s="3267"/>
      <c r="AU440" s="3267"/>
      <c r="AV440" s="3277"/>
      <c r="AW440" s="3306" t="s">
        <v>2997</v>
      </c>
      <c r="AX440" s="3268"/>
      <c r="AY440" s="3268"/>
      <c r="AZ440" s="3268" t="s">
        <v>6316</v>
      </c>
      <c r="BA440" s="3268"/>
      <c r="BB440" s="3280"/>
      <c r="BC440" s="3268"/>
      <c r="BD440" s="3268"/>
      <c r="BE440" s="3268">
        <v>13601251199</v>
      </c>
      <c r="BF440" s="3281"/>
      <c r="BG440" s="3307">
        <v>38797</v>
      </c>
      <c r="BH440" s="3368"/>
      <c r="BI440" s="3276" t="s">
        <v>4395</v>
      </c>
      <c r="BJ440" s="3299">
        <v>38827</v>
      </c>
      <c r="BK440" s="3284"/>
      <c r="BL440" s="3267" t="s">
        <v>2998</v>
      </c>
      <c r="BM440" s="3267" t="s">
        <v>2879</v>
      </c>
      <c r="BN440" s="3276" t="s">
        <v>2999</v>
      </c>
      <c r="BO440" s="3267" t="s">
        <v>3146</v>
      </c>
      <c r="BP440" s="3276"/>
      <c r="BQ440" s="3276" t="e">
        <v>#DIV/0!</v>
      </c>
      <c r="BR440" s="3276" t="e">
        <v>#DIV/0!</v>
      </c>
      <c r="BS440" s="3285"/>
      <c r="BT440" s="3285"/>
      <c r="BU440" s="3285"/>
    </row>
    <row r="441" spans="1:73" hidden="1">
      <c r="A441" s="3267" t="s">
        <v>6317</v>
      </c>
      <c r="B441" s="3267" t="s">
        <v>6318</v>
      </c>
      <c r="C441" s="3269" t="s">
        <v>6319</v>
      </c>
      <c r="D441" s="3269" t="s">
        <v>6320</v>
      </c>
      <c r="E441" s="3268" t="s">
        <v>2985</v>
      </c>
      <c r="F441" s="3268" t="s">
        <v>5489</v>
      </c>
      <c r="G441" s="3267"/>
      <c r="H441" s="3268" t="s">
        <v>4300</v>
      </c>
      <c r="I441" s="3268" t="s">
        <v>3188</v>
      </c>
      <c r="J441" s="3267" t="s">
        <v>3380</v>
      </c>
      <c r="K441" s="3267" t="s">
        <v>6318</v>
      </c>
      <c r="L441" s="3267">
        <v>84.06</v>
      </c>
      <c r="M441" s="3267">
        <v>3</v>
      </c>
      <c r="N441" s="3267" t="s">
        <v>3395</v>
      </c>
      <c r="O441" s="3267">
        <v>71.34</v>
      </c>
      <c r="P441" s="3267" t="s">
        <v>3495</v>
      </c>
      <c r="Q441" s="3271">
        <v>610000</v>
      </c>
      <c r="R441" s="3267">
        <v>7257</v>
      </c>
      <c r="S441" s="3272">
        <v>54.63</v>
      </c>
      <c r="T441" s="3273">
        <v>546300</v>
      </c>
      <c r="U441" s="3267">
        <v>6500</v>
      </c>
      <c r="V441" s="3289">
        <v>0.2</v>
      </c>
      <c r="W441" s="3272">
        <v>43.7</v>
      </c>
      <c r="X441" s="3275">
        <v>437000</v>
      </c>
      <c r="Y441" s="3276">
        <v>2006</v>
      </c>
      <c r="Z441" s="3276">
        <v>4</v>
      </c>
      <c r="AA441" s="3276">
        <v>19</v>
      </c>
      <c r="AB441" s="3267">
        <v>1500</v>
      </c>
      <c r="AC441" s="3267" t="s">
        <v>3521</v>
      </c>
      <c r="AD441" s="3267"/>
      <c r="AE441" s="3279" t="s">
        <v>3245</v>
      </c>
      <c r="AF441" s="3267" t="s">
        <v>2966</v>
      </c>
      <c r="AG441" s="3279" t="s">
        <v>2967</v>
      </c>
      <c r="AH441" s="3267"/>
      <c r="AI441" s="3279" t="s">
        <v>2992</v>
      </c>
      <c r="AJ441" s="3284"/>
      <c r="AK441" s="3278">
        <v>4</v>
      </c>
      <c r="AL441" s="3276">
        <v>67641700</v>
      </c>
      <c r="AM441" s="3276"/>
      <c r="AN441" s="3279" t="s">
        <v>3114</v>
      </c>
      <c r="AO441" s="3267"/>
      <c r="AP441" s="3279" t="s">
        <v>3305</v>
      </c>
      <c r="AQ441" s="3276" t="s">
        <v>3113</v>
      </c>
      <c r="AR441" s="3276"/>
      <c r="AS441" s="3276"/>
      <c r="AT441" s="3276"/>
      <c r="AU441" s="3276"/>
      <c r="AV441" s="3276"/>
      <c r="AW441" s="3276" t="s">
        <v>3119</v>
      </c>
      <c r="AX441" s="3276"/>
      <c r="AY441" s="3291"/>
      <c r="AZ441" s="3267" t="s">
        <v>6321</v>
      </c>
      <c r="BA441" s="3296"/>
      <c r="BB441" s="3297"/>
      <c r="BC441" s="3296"/>
      <c r="BD441" s="3298"/>
      <c r="BE441" s="3276" t="s">
        <v>6322</v>
      </c>
      <c r="BF441" s="3281"/>
      <c r="BG441" s="3293">
        <v>38809</v>
      </c>
      <c r="BH441" s="3267" t="s">
        <v>2998</v>
      </c>
      <c r="BI441" s="3314" t="s">
        <v>3305</v>
      </c>
      <c r="BJ441" s="3283">
        <v>38821</v>
      </c>
      <c r="BK441" s="3283"/>
      <c r="BL441" s="3267" t="s">
        <v>3249</v>
      </c>
      <c r="BM441" s="3276" t="s">
        <v>2879</v>
      </c>
      <c r="BN441" s="3276" t="s">
        <v>3111</v>
      </c>
      <c r="BO441" s="3276" t="s">
        <v>3146</v>
      </c>
      <c r="BP441" s="3276"/>
      <c r="BQ441" s="3276">
        <v>7658</v>
      </c>
      <c r="BR441" s="3276">
        <v>8551</v>
      </c>
      <c r="BS441" s="3285"/>
      <c r="BT441" s="3285"/>
      <c r="BU441" s="3285"/>
    </row>
    <row r="442" spans="1:73" hidden="1">
      <c r="A442" s="3268" t="s">
        <v>6323</v>
      </c>
      <c r="B442" s="3267" t="s">
        <v>6324</v>
      </c>
      <c r="C442" s="3269" t="s">
        <v>6325</v>
      </c>
      <c r="D442" s="3269" t="s">
        <v>6326</v>
      </c>
      <c r="E442" s="3267" t="s">
        <v>2985</v>
      </c>
      <c r="F442" s="3244" t="s">
        <v>3985</v>
      </c>
      <c r="G442" s="3267"/>
      <c r="H442" s="3267" t="s">
        <v>3130</v>
      </c>
      <c r="I442" s="3267"/>
      <c r="J442" s="3269" t="s">
        <v>3778</v>
      </c>
      <c r="K442" s="3267" t="s">
        <v>6324</v>
      </c>
      <c r="L442" s="3267">
        <v>93.15</v>
      </c>
      <c r="M442" s="3267">
        <v>9</v>
      </c>
      <c r="N442" s="3268" t="s">
        <v>3122</v>
      </c>
      <c r="O442" s="3267"/>
      <c r="P442" s="3267" t="s">
        <v>2963</v>
      </c>
      <c r="Q442" s="3271">
        <v>650000</v>
      </c>
      <c r="R442" s="3267">
        <v>6978</v>
      </c>
      <c r="S442" s="3272">
        <v>54.01</v>
      </c>
      <c r="T442" s="3273">
        <v>540100</v>
      </c>
      <c r="U442" s="3267">
        <v>5799</v>
      </c>
      <c r="V442" s="3289">
        <v>0.2</v>
      </c>
      <c r="W442" s="3272">
        <v>43.2</v>
      </c>
      <c r="X442" s="3275">
        <v>432000</v>
      </c>
      <c r="Y442" s="3267">
        <v>2006</v>
      </c>
      <c r="Z442" s="3276">
        <v>6</v>
      </c>
      <c r="AA442" s="3276">
        <v>5</v>
      </c>
      <c r="AB442" s="3267">
        <v>1500</v>
      </c>
      <c r="AC442" s="3267" t="s">
        <v>3521</v>
      </c>
      <c r="AD442" s="3267"/>
      <c r="AE442" s="3276" t="s">
        <v>3304</v>
      </c>
      <c r="AF442" s="3267" t="s">
        <v>2966</v>
      </c>
      <c r="AG442" s="3267" t="s">
        <v>2967</v>
      </c>
      <c r="AH442" s="3267"/>
      <c r="AI442" s="3279" t="s">
        <v>2992</v>
      </c>
      <c r="AJ442" s="3284"/>
      <c r="AK442" s="3278">
        <v>6</v>
      </c>
      <c r="AL442" s="3276">
        <v>67641700</v>
      </c>
      <c r="AM442" s="3276"/>
      <c r="AN442" s="3279" t="s">
        <v>3140</v>
      </c>
      <c r="AO442" s="3276"/>
      <c r="AP442" s="3267" t="s">
        <v>3305</v>
      </c>
      <c r="AQ442" s="3276" t="s">
        <v>2996</v>
      </c>
      <c r="AR442" s="3276"/>
      <c r="AS442" s="3276"/>
      <c r="AT442" s="3276"/>
      <c r="AU442" s="3276"/>
      <c r="AV442" s="3276"/>
      <c r="AW442" s="3276" t="s">
        <v>3119</v>
      </c>
      <c r="AX442" s="3276"/>
      <c r="AY442" s="3291"/>
      <c r="AZ442" s="3276" t="s">
        <v>6327</v>
      </c>
      <c r="BA442" s="3276"/>
      <c r="BB442" s="3291"/>
      <c r="BC442" s="3276"/>
      <c r="BD442" s="3292"/>
      <c r="BE442" s="3276">
        <v>13331195338</v>
      </c>
      <c r="BF442" s="3281"/>
      <c r="BG442" s="3293">
        <v>38818</v>
      </c>
      <c r="BH442" s="3267" t="s">
        <v>2998</v>
      </c>
      <c r="BI442" s="3268" t="s">
        <v>3537</v>
      </c>
      <c r="BJ442" s="3293">
        <v>38824</v>
      </c>
      <c r="BK442" s="3283"/>
      <c r="BL442" s="3267" t="s">
        <v>2998</v>
      </c>
      <c r="BM442" s="3267" t="s">
        <v>2879</v>
      </c>
      <c r="BN442" s="3267" t="s">
        <v>3111</v>
      </c>
      <c r="BO442" s="3267" t="s">
        <v>3146</v>
      </c>
      <c r="BP442" s="3276"/>
      <c r="BQ442" s="3276" t="e">
        <v>#DIV/0!</v>
      </c>
      <c r="BR442" s="3276" t="e">
        <v>#DIV/0!</v>
      </c>
      <c r="BS442" s="3285"/>
      <c r="BT442" s="3285"/>
      <c r="BU442" s="3285"/>
    </row>
    <row r="443" spans="1:73" hidden="1">
      <c r="A443" s="3267" t="s">
        <v>6328</v>
      </c>
      <c r="B443" s="3267" t="s">
        <v>6329</v>
      </c>
      <c r="C443" s="3269" t="s">
        <v>6330</v>
      </c>
      <c r="D443" s="3268">
        <v>13718771469</v>
      </c>
      <c r="E443" s="3267" t="s">
        <v>2985</v>
      </c>
      <c r="F443" s="3267" t="s">
        <v>6331</v>
      </c>
      <c r="G443" s="3267"/>
      <c r="H443" s="3270" t="s">
        <v>3194</v>
      </c>
      <c r="I443" s="3268" t="s">
        <v>3191</v>
      </c>
      <c r="J443" s="3270" t="s">
        <v>3151</v>
      </c>
      <c r="K443" s="3267" t="s">
        <v>2968</v>
      </c>
      <c r="L443" s="3286">
        <v>55.08</v>
      </c>
      <c r="M443" s="3270">
        <v>5</v>
      </c>
      <c r="N443" s="3267" t="s">
        <v>3122</v>
      </c>
      <c r="O443" s="3267"/>
      <c r="P443" s="3267" t="s">
        <v>2963</v>
      </c>
      <c r="Q443" s="3287">
        <v>300000</v>
      </c>
      <c r="R443" s="3267">
        <v>5447</v>
      </c>
      <c r="S443" s="3272">
        <v>25.19</v>
      </c>
      <c r="T443" s="3273">
        <v>251900</v>
      </c>
      <c r="U443" s="3287">
        <v>4575</v>
      </c>
      <c r="V443" s="3289">
        <v>0.2</v>
      </c>
      <c r="W443" s="3272">
        <v>20.149999999999999</v>
      </c>
      <c r="X443" s="3275">
        <v>201500</v>
      </c>
      <c r="Y443" s="3267">
        <v>2006</v>
      </c>
      <c r="Z443" s="3267">
        <v>5</v>
      </c>
      <c r="AA443" s="3267">
        <v>22</v>
      </c>
      <c r="AB443" s="3267">
        <v>755</v>
      </c>
      <c r="AC443" s="3267" t="s">
        <v>3521</v>
      </c>
      <c r="AD443" s="3267"/>
      <c r="AE443" s="3267" t="s">
        <v>3304</v>
      </c>
      <c r="AF443" s="3267" t="s">
        <v>2966</v>
      </c>
      <c r="AG443" s="3267" t="s">
        <v>2967</v>
      </c>
      <c r="AH443" s="3267"/>
      <c r="AI443" s="3267" t="s">
        <v>3295</v>
      </c>
      <c r="AJ443" s="3270"/>
      <c r="AK443" s="3278">
        <v>5</v>
      </c>
      <c r="AL443" s="3267">
        <v>67641700</v>
      </c>
      <c r="AM443" s="3267"/>
      <c r="AN443" s="3279" t="s">
        <v>3114</v>
      </c>
      <c r="AO443" s="3267"/>
      <c r="AP443" s="3276" t="s">
        <v>3305</v>
      </c>
      <c r="AQ443" s="3267" t="s">
        <v>3228</v>
      </c>
      <c r="AR443" s="3267">
        <v>2006</v>
      </c>
      <c r="AS443" s="3267">
        <v>5</v>
      </c>
      <c r="AT443" s="3267">
        <v>22</v>
      </c>
      <c r="AU443" s="3267"/>
      <c r="AV443" s="3267"/>
      <c r="AW443" s="3267" t="s">
        <v>3171</v>
      </c>
      <c r="AX443" s="3267"/>
      <c r="AY443" s="3279"/>
      <c r="AZ443" s="3267" t="s">
        <v>2968</v>
      </c>
      <c r="BA443" s="3267"/>
      <c r="BB443" s="3267"/>
      <c r="BC443" s="3267"/>
      <c r="BD443" s="3267"/>
      <c r="BE443" s="3267"/>
      <c r="BF443" s="3267"/>
      <c r="BG443" s="3290">
        <v>38824</v>
      </c>
      <c r="BH443" s="3267"/>
      <c r="BI443" s="3314" t="s">
        <v>2979</v>
      </c>
      <c r="BJ443" s="3284">
        <v>38824</v>
      </c>
      <c r="BK443" s="3284"/>
      <c r="BL443" s="3267" t="s">
        <v>2998</v>
      </c>
      <c r="BM443" s="3276" t="s">
        <v>2879</v>
      </c>
      <c r="BN443" s="3276" t="s">
        <v>3111</v>
      </c>
      <c r="BO443" s="3276" t="s">
        <v>3268</v>
      </c>
      <c r="BP443" s="3267"/>
      <c r="BQ443" s="3343" t="e">
        <v>#DIV/0!</v>
      </c>
      <c r="BR443" s="3343" t="e">
        <v>#DIV/0!</v>
      </c>
      <c r="BS443" s="3285"/>
      <c r="BT443" s="3285"/>
      <c r="BU443" s="3285"/>
    </row>
    <row r="444" spans="1:73" hidden="1">
      <c r="A444" s="3268" t="s">
        <v>6332</v>
      </c>
      <c r="B444" s="3267" t="s">
        <v>6333</v>
      </c>
      <c r="C444" s="3269" t="s">
        <v>6334</v>
      </c>
      <c r="D444" s="3269" t="s">
        <v>6335</v>
      </c>
      <c r="E444" s="3267" t="s">
        <v>2985</v>
      </c>
      <c r="F444" s="3308" t="s">
        <v>3919</v>
      </c>
      <c r="G444" s="3267"/>
      <c r="H444" s="3270" t="s">
        <v>3139</v>
      </c>
      <c r="I444" s="3268"/>
      <c r="J444" s="3269" t="s">
        <v>6336</v>
      </c>
      <c r="K444" s="3267" t="s">
        <v>6333</v>
      </c>
      <c r="L444" s="3267">
        <v>137.26</v>
      </c>
      <c r="M444" s="3267">
        <v>12</v>
      </c>
      <c r="N444" s="3267" t="s">
        <v>3303</v>
      </c>
      <c r="O444" s="3267"/>
      <c r="P444" s="3267" t="s">
        <v>2963</v>
      </c>
      <c r="Q444" s="3271">
        <v>1000000</v>
      </c>
      <c r="R444" s="3267">
        <v>7285</v>
      </c>
      <c r="S444" s="3272">
        <v>81.72</v>
      </c>
      <c r="T444" s="3273">
        <v>817200</v>
      </c>
      <c r="U444" s="3267">
        <v>5954</v>
      </c>
      <c r="V444" s="3289">
        <v>0.2</v>
      </c>
      <c r="W444" s="3272">
        <v>65.37</v>
      </c>
      <c r="X444" s="3275">
        <v>653700</v>
      </c>
      <c r="Y444" s="3276">
        <v>2006</v>
      </c>
      <c r="Z444" s="3276">
        <v>6</v>
      </c>
      <c r="AA444" s="3276">
        <v>13</v>
      </c>
      <c r="AB444" s="3267">
        <v>1500</v>
      </c>
      <c r="AC444" s="3267" t="s">
        <v>3521</v>
      </c>
      <c r="AD444" s="3267"/>
      <c r="AE444" s="3276" t="s">
        <v>3180</v>
      </c>
      <c r="AF444" s="3268" t="s">
        <v>2966</v>
      </c>
      <c r="AG444" s="3279" t="s">
        <v>2967</v>
      </c>
      <c r="AH444" s="3267" t="s">
        <v>2968</v>
      </c>
      <c r="AI444" s="3267" t="s">
        <v>3115</v>
      </c>
      <c r="AJ444" s="3284"/>
      <c r="AK444" s="3278">
        <v>6</v>
      </c>
      <c r="AL444" s="3276">
        <v>82253558</v>
      </c>
      <c r="AM444" s="3276"/>
      <c r="AN444" s="3279" t="s">
        <v>3114</v>
      </c>
      <c r="AO444" s="3276"/>
      <c r="AP444" s="3276" t="s">
        <v>3180</v>
      </c>
      <c r="AQ444" s="3276" t="s">
        <v>2996</v>
      </c>
      <c r="AR444" s="3276"/>
      <c r="AS444" s="3276"/>
      <c r="AT444" s="3276"/>
      <c r="AU444" s="3276" t="s">
        <v>2968</v>
      </c>
      <c r="AV444" s="3276" t="s">
        <v>2968</v>
      </c>
      <c r="AW444" s="3276" t="s">
        <v>3119</v>
      </c>
      <c r="AX444" s="3276" t="s">
        <v>2968</v>
      </c>
      <c r="AY444" s="3291"/>
      <c r="AZ444" s="3267" t="s">
        <v>6337</v>
      </c>
      <c r="BA444" s="3268"/>
      <c r="BB444" s="3280"/>
      <c r="BC444" s="3268"/>
      <c r="BD444" s="3268"/>
      <c r="BE444" s="3268">
        <v>13911519155</v>
      </c>
      <c r="BF444" s="3281"/>
      <c r="BG444" s="3293">
        <v>38824</v>
      </c>
      <c r="BH444" s="3276"/>
      <c r="BI444" s="3268" t="s">
        <v>3537</v>
      </c>
      <c r="BJ444" s="3293">
        <v>38824</v>
      </c>
      <c r="BK444" s="3299" t="s">
        <v>2968</v>
      </c>
      <c r="BL444" s="3276" t="s">
        <v>2998</v>
      </c>
      <c r="BM444" s="3276" t="s">
        <v>2879</v>
      </c>
      <c r="BN444" s="3276" t="s">
        <v>2999</v>
      </c>
      <c r="BO444" s="3276" t="s">
        <v>3146</v>
      </c>
      <c r="BP444" s="3276"/>
      <c r="BQ444" s="3276" t="e">
        <v>#DIV/0!</v>
      </c>
      <c r="BR444" s="3276" t="e">
        <v>#DIV/0!</v>
      </c>
      <c r="BS444" s="3285"/>
      <c r="BT444" s="3285"/>
      <c r="BU444" s="3285"/>
    </row>
    <row r="445" spans="1:73" hidden="1">
      <c r="A445" s="3267" t="s">
        <v>6338</v>
      </c>
      <c r="B445" s="3267" t="s">
        <v>6339</v>
      </c>
      <c r="C445" s="3269" t="s">
        <v>6340</v>
      </c>
      <c r="D445" s="3269">
        <v>13051294251</v>
      </c>
      <c r="E445" s="3268" t="s">
        <v>2985</v>
      </c>
      <c r="F445" s="3268" t="s">
        <v>4786</v>
      </c>
      <c r="G445" s="3267"/>
      <c r="H445" s="3267" t="s">
        <v>6341</v>
      </c>
      <c r="I445" s="3268"/>
      <c r="J445" s="3267" t="s">
        <v>5505</v>
      </c>
      <c r="K445" s="3267" t="s">
        <v>6339</v>
      </c>
      <c r="L445" s="3267">
        <v>123.48</v>
      </c>
      <c r="M445" s="3267">
        <v>22</v>
      </c>
      <c r="N445" s="3267" t="s">
        <v>2989</v>
      </c>
      <c r="O445" s="3267">
        <v>103.48</v>
      </c>
      <c r="P445" s="3267" t="s">
        <v>2963</v>
      </c>
      <c r="Q445" s="3271">
        <v>570000</v>
      </c>
      <c r="R445" s="3267">
        <v>4616</v>
      </c>
      <c r="S445" s="3272">
        <v>69.14</v>
      </c>
      <c r="T445" s="3273">
        <v>691400</v>
      </c>
      <c r="U445" s="3267">
        <v>5600</v>
      </c>
      <c r="V445" s="3289">
        <v>0.2</v>
      </c>
      <c r="W445" s="3272">
        <v>55.31</v>
      </c>
      <c r="X445" s="3275">
        <v>553100</v>
      </c>
      <c r="Y445" s="3276">
        <v>2006</v>
      </c>
      <c r="Z445" s="3276">
        <v>6</v>
      </c>
      <c r="AA445" s="3276">
        <v>12</v>
      </c>
      <c r="AB445" s="3267">
        <v>1500</v>
      </c>
      <c r="AC445" s="3267" t="s">
        <v>3521</v>
      </c>
      <c r="AD445" s="3267"/>
      <c r="AE445" s="3279" t="s">
        <v>3245</v>
      </c>
      <c r="AF445" s="3268" t="s">
        <v>2966</v>
      </c>
      <c r="AG445" s="3279" t="s">
        <v>2967</v>
      </c>
      <c r="AH445" s="3267"/>
      <c r="AI445" s="3279" t="s">
        <v>2992</v>
      </c>
      <c r="AJ445" s="3284"/>
      <c r="AK445" s="3278">
        <v>6</v>
      </c>
      <c r="AL445" s="3276">
        <v>67641700</v>
      </c>
      <c r="AM445" s="3276"/>
      <c r="AN445" s="3279" t="s">
        <v>3114</v>
      </c>
      <c r="AO445" s="3267"/>
      <c r="AP445" s="3279" t="s">
        <v>3305</v>
      </c>
      <c r="AQ445" s="3267" t="s">
        <v>3228</v>
      </c>
      <c r="AR445" s="3276"/>
      <c r="AS445" s="3276"/>
      <c r="AT445" s="3276"/>
      <c r="AU445" s="3276"/>
      <c r="AV445" s="3276"/>
      <c r="AW445" s="3276" t="s">
        <v>2997</v>
      </c>
      <c r="AX445" s="3276"/>
      <c r="AY445" s="3291"/>
      <c r="AZ445" s="3267" t="s">
        <v>6342</v>
      </c>
      <c r="BA445" s="3296"/>
      <c r="BB445" s="3297"/>
      <c r="BC445" s="3296"/>
      <c r="BD445" s="3298"/>
      <c r="BE445" s="3276"/>
      <c r="BF445" s="3281"/>
      <c r="BG445" s="3293">
        <v>38825</v>
      </c>
      <c r="BH445" s="3267" t="s">
        <v>2998</v>
      </c>
      <c r="BI445" s="3314" t="s">
        <v>3305</v>
      </c>
      <c r="BJ445" s="3283">
        <v>38825</v>
      </c>
      <c r="BK445" s="3283"/>
      <c r="BL445" s="3267" t="s">
        <v>3249</v>
      </c>
      <c r="BM445" s="3276" t="s">
        <v>2879</v>
      </c>
      <c r="BN445" s="3276" t="s">
        <v>2999</v>
      </c>
      <c r="BO445" s="3276" t="s">
        <v>3146</v>
      </c>
      <c r="BP445" s="3276"/>
      <c r="BQ445" s="3276">
        <v>6681</v>
      </c>
      <c r="BR445" s="3276">
        <v>5508</v>
      </c>
      <c r="BS445" s="3285"/>
      <c r="BT445" s="3285"/>
      <c r="BU445" s="3285"/>
    </row>
    <row r="446" spans="1:73" hidden="1">
      <c r="A446" s="3267" t="s">
        <v>6343</v>
      </c>
      <c r="B446" s="3267" t="s">
        <v>6344</v>
      </c>
      <c r="C446" s="3269" t="s">
        <v>6345</v>
      </c>
      <c r="D446" s="3269" t="s">
        <v>6346</v>
      </c>
      <c r="E446" s="3268" t="s">
        <v>2985</v>
      </c>
      <c r="F446" s="3268" t="s">
        <v>3292</v>
      </c>
      <c r="G446" s="3267"/>
      <c r="H446" s="3267" t="s">
        <v>3127</v>
      </c>
      <c r="I446" s="3268" t="s">
        <v>3318</v>
      </c>
      <c r="J446" s="3267" t="s">
        <v>3123</v>
      </c>
      <c r="K446" s="3267" t="s">
        <v>6347</v>
      </c>
      <c r="L446" s="3267">
        <v>158.63</v>
      </c>
      <c r="M446" s="3267">
        <v>4</v>
      </c>
      <c r="N446" s="3267" t="s">
        <v>3129</v>
      </c>
      <c r="O446" s="3267">
        <v>126.77</v>
      </c>
      <c r="P446" s="3267" t="s">
        <v>2963</v>
      </c>
      <c r="Q446" s="3271">
        <v>830000</v>
      </c>
      <c r="R446" s="3288">
        <v>5232</v>
      </c>
      <c r="S446" s="3272">
        <v>80.58</v>
      </c>
      <c r="T446" s="3273">
        <v>805800</v>
      </c>
      <c r="U446" s="3267">
        <v>5080</v>
      </c>
      <c r="V446" s="3289">
        <v>0.2</v>
      </c>
      <c r="W446" s="3272">
        <v>64.459999999999994</v>
      </c>
      <c r="X446" s="3275">
        <v>644600</v>
      </c>
      <c r="Y446" s="3276">
        <v>2006</v>
      </c>
      <c r="Z446" s="3276">
        <v>5</v>
      </c>
      <c r="AA446" s="3276">
        <v>16</v>
      </c>
      <c r="AB446" s="3267">
        <v>1500</v>
      </c>
      <c r="AC446" s="3267" t="s">
        <v>3521</v>
      </c>
      <c r="AD446" s="3267"/>
      <c r="AE446" s="3279" t="s">
        <v>3121</v>
      </c>
      <c r="AF446" s="3268" t="s">
        <v>2966</v>
      </c>
      <c r="AG446" s="3279" t="s">
        <v>2967</v>
      </c>
      <c r="AH446" s="3267" t="s">
        <v>2968</v>
      </c>
      <c r="AI446" s="3279" t="s">
        <v>2992</v>
      </c>
      <c r="AJ446" s="3284"/>
      <c r="AK446" s="3278">
        <v>5</v>
      </c>
      <c r="AL446" s="3276">
        <v>67641700</v>
      </c>
      <c r="AM446" s="3276"/>
      <c r="AN446" s="3279" t="s">
        <v>3140</v>
      </c>
      <c r="AO446" s="3267"/>
      <c r="AP446" s="3279" t="s">
        <v>3305</v>
      </c>
      <c r="AQ446" s="3267" t="s">
        <v>3228</v>
      </c>
      <c r="AR446" s="3276"/>
      <c r="AS446" s="3276"/>
      <c r="AT446" s="3276"/>
      <c r="AU446" s="3276"/>
      <c r="AV446" s="3276"/>
      <c r="AW446" s="3276" t="s">
        <v>2997</v>
      </c>
      <c r="AX446" s="3276"/>
      <c r="AY446" s="3291"/>
      <c r="AZ446" s="3267" t="s">
        <v>6347</v>
      </c>
      <c r="BA446" s="3296"/>
      <c r="BB446" s="3297"/>
      <c r="BC446" s="3296"/>
      <c r="BD446" s="3298"/>
      <c r="BE446" s="3276"/>
      <c r="BF446" s="3281"/>
      <c r="BG446" s="3293">
        <v>38821</v>
      </c>
      <c r="BH446" s="3276" t="s">
        <v>2998</v>
      </c>
      <c r="BI446" s="3314" t="s">
        <v>3305</v>
      </c>
      <c r="BJ446" s="3283">
        <v>38825</v>
      </c>
      <c r="BK446" s="3283"/>
      <c r="BL446" s="3267" t="s">
        <v>3249</v>
      </c>
      <c r="BM446" s="3276" t="s">
        <v>2879</v>
      </c>
      <c r="BN446" s="3276" t="s">
        <v>2999</v>
      </c>
      <c r="BO446" s="3276" t="s">
        <v>3000</v>
      </c>
      <c r="BP446" s="3276"/>
      <c r="BQ446" s="3276">
        <v>6356</v>
      </c>
      <c r="BR446" s="3276">
        <v>6547</v>
      </c>
      <c r="BS446" s="3285"/>
      <c r="BT446" s="3285"/>
      <c r="BU446" s="3285"/>
    </row>
    <row r="447" spans="1:73" hidden="1">
      <c r="A447" s="3267" t="s">
        <v>6348</v>
      </c>
      <c r="B447" s="3267" t="s">
        <v>6349</v>
      </c>
      <c r="C447" s="3269" t="s">
        <v>6350</v>
      </c>
      <c r="D447" s="3269" t="s">
        <v>6351</v>
      </c>
      <c r="E447" s="3268" t="s">
        <v>2985</v>
      </c>
      <c r="F447" s="3268" t="s">
        <v>6352</v>
      </c>
      <c r="G447" s="3267"/>
      <c r="H447" s="3268" t="s">
        <v>3097</v>
      </c>
      <c r="I447" s="3268" t="s">
        <v>3608</v>
      </c>
      <c r="J447" s="3267" t="s">
        <v>3126</v>
      </c>
      <c r="K447" s="3267" t="s">
        <v>6353</v>
      </c>
      <c r="L447" s="3267">
        <v>68.97</v>
      </c>
      <c r="M447" s="3267" t="s">
        <v>3282</v>
      </c>
      <c r="N447" s="3267" t="s">
        <v>5249</v>
      </c>
      <c r="O447" s="3267"/>
      <c r="P447" s="3267" t="s">
        <v>2963</v>
      </c>
      <c r="Q447" s="3271">
        <v>550000</v>
      </c>
      <c r="R447" s="3267">
        <v>7974</v>
      </c>
      <c r="S447" s="3272">
        <v>44.76</v>
      </c>
      <c r="T447" s="3273">
        <v>447600</v>
      </c>
      <c r="U447" s="3267">
        <v>6490</v>
      </c>
      <c r="V447" s="3289">
        <v>0.2</v>
      </c>
      <c r="W447" s="3272">
        <v>35.799999999999997</v>
      </c>
      <c r="X447" s="3275">
        <v>358000</v>
      </c>
      <c r="Y447" s="3276">
        <v>2006</v>
      </c>
      <c r="Z447" s="3276">
        <v>5</v>
      </c>
      <c r="AA447" s="3276">
        <v>18</v>
      </c>
      <c r="AB447" s="3267">
        <v>1340</v>
      </c>
      <c r="AC447" s="3267" t="s">
        <v>3521</v>
      </c>
      <c r="AD447" s="3267"/>
      <c r="AE447" s="3279" t="s">
        <v>3295</v>
      </c>
      <c r="AF447" s="3268" t="s">
        <v>2966</v>
      </c>
      <c r="AG447" s="3279" t="s">
        <v>2967</v>
      </c>
      <c r="AH447" s="3267"/>
      <c r="AI447" s="3279" t="s">
        <v>2992</v>
      </c>
      <c r="AJ447" s="3284"/>
      <c r="AK447" s="3278">
        <v>5</v>
      </c>
      <c r="AL447" s="3276">
        <v>67641700</v>
      </c>
      <c r="AM447" s="3276"/>
      <c r="AN447" s="3279" t="s">
        <v>3140</v>
      </c>
      <c r="AO447" s="3267"/>
      <c r="AP447" s="3279" t="s">
        <v>3305</v>
      </c>
      <c r="AQ447" s="3267" t="s">
        <v>3228</v>
      </c>
      <c r="AR447" s="3276"/>
      <c r="AS447" s="3276"/>
      <c r="AT447" s="3276"/>
      <c r="AU447" s="3276"/>
      <c r="AV447" s="3276"/>
      <c r="AW447" s="3276" t="s">
        <v>3112</v>
      </c>
      <c r="AX447" s="3276"/>
      <c r="AY447" s="3291"/>
      <c r="AZ447" s="3267" t="s">
        <v>6353</v>
      </c>
      <c r="BA447" s="3296"/>
      <c r="BB447" s="3297"/>
      <c r="BC447" s="3296"/>
      <c r="BD447" s="3298"/>
      <c r="BE447" s="3276"/>
      <c r="BF447" s="3281"/>
      <c r="BG447" s="3293">
        <v>38825</v>
      </c>
      <c r="BH447" s="3267" t="s">
        <v>2998</v>
      </c>
      <c r="BI447" s="3314" t="s">
        <v>3305</v>
      </c>
      <c r="BJ447" s="3283">
        <v>38825</v>
      </c>
      <c r="BK447" s="3283"/>
      <c r="BL447" s="3267" t="s">
        <v>3249</v>
      </c>
      <c r="BM447" s="3276" t="s">
        <v>2879</v>
      </c>
      <c r="BN447" s="3276" t="s">
        <v>2999</v>
      </c>
      <c r="BO447" s="3276" t="s">
        <v>3000</v>
      </c>
      <c r="BP447" s="3276"/>
      <c r="BQ447" s="3276" t="e">
        <v>#DIV/0!</v>
      </c>
      <c r="BR447" s="3276" t="e">
        <v>#DIV/0!</v>
      </c>
      <c r="BS447" s="3285"/>
      <c r="BT447" s="3285"/>
      <c r="BU447" s="3285"/>
    </row>
    <row r="448" spans="1:73" hidden="1">
      <c r="A448" s="3267" t="s">
        <v>6354</v>
      </c>
      <c r="B448" s="3268" t="s">
        <v>6355</v>
      </c>
      <c r="C448" s="3269" t="s">
        <v>6356</v>
      </c>
      <c r="D448" s="3268">
        <v>13910106087</v>
      </c>
      <c r="E448" s="3267" t="s">
        <v>2985</v>
      </c>
      <c r="F448" s="3268" t="s">
        <v>3324</v>
      </c>
      <c r="G448" s="3268"/>
      <c r="H448" s="3268" t="s">
        <v>5624</v>
      </c>
      <c r="I448" s="3268"/>
      <c r="J448" s="3268" t="s">
        <v>3143</v>
      </c>
      <c r="K448" s="3268" t="s">
        <v>6357</v>
      </c>
      <c r="L448" s="3270">
        <v>89.48</v>
      </c>
      <c r="M448" s="3270">
        <v>5</v>
      </c>
      <c r="N448" s="3268" t="s">
        <v>3122</v>
      </c>
      <c r="O448" s="3270"/>
      <c r="P448" s="3267" t="s">
        <v>2963</v>
      </c>
      <c r="Q448" s="3271">
        <v>565000</v>
      </c>
      <c r="R448" s="3288">
        <v>6314</v>
      </c>
      <c r="S448" s="3272">
        <v>49.21</v>
      </c>
      <c r="T448" s="3273">
        <v>492100</v>
      </c>
      <c r="U448" s="3267">
        <v>5500</v>
      </c>
      <c r="V448" s="3274">
        <v>0.2</v>
      </c>
      <c r="W448" s="3272">
        <v>39.36</v>
      </c>
      <c r="X448" s="3275">
        <v>393600</v>
      </c>
      <c r="Y448" s="3276">
        <v>2006</v>
      </c>
      <c r="Z448" s="3276">
        <v>5</v>
      </c>
      <c r="AA448" s="3276">
        <v>15</v>
      </c>
      <c r="AB448" s="3267">
        <v>1475</v>
      </c>
      <c r="AC448" s="3267" t="s">
        <v>2980</v>
      </c>
      <c r="AD448" s="3268"/>
      <c r="AE448" s="3267" t="s">
        <v>3304</v>
      </c>
      <c r="AF448" s="3268" t="s">
        <v>2966</v>
      </c>
      <c r="AG448" s="3268" t="s">
        <v>2967</v>
      </c>
      <c r="AH448" s="3268"/>
      <c r="AI448" s="3279" t="s">
        <v>2992</v>
      </c>
      <c r="AJ448" s="3290"/>
      <c r="AK448" s="3278" t="s">
        <v>3099</v>
      </c>
      <c r="AL448" s="3276">
        <v>67641700</v>
      </c>
      <c r="AM448" s="3276"/>
      <c r="AN448" s="3276" t="s">
        <v>3140</v>
      </c>
      <c r="AO448" s="3276" t="s">
        <v>6358</v>
      </c>
      <c r="AP448" s="3279" t="s">
        <v>3305</v>
      </c>
      <c r="AQ448" s="3267" t="s">
        <v>3228</v>
      </c>
      <c r="AR448" s="3267"/>
      <c r="AS448" s="3267"/>
      <c r="AT448" s="3267"/>
      <c r="AU448" s="3267"/>
      <c r="AV448" s="3277"/>
      <c r="AW448" s="3306" t="s">
        <v>2997</v>
      </c>
      <c r="AX448" s="3268"/>
      <c r="AY448" s="3268"/>
      <c r="AZ448" s="3268" t="s">
        <v>6357</v>
      </c>
      <c r="BA448" s="3268"/>
      <c r="BB448" s="3280"/>
      <c r="BC448" s="3268"/>
      <c r="BD448" s="3268"/>
      <c r="BE448" s="3268" t="s">
        <v>6359</v>
      </c>
      <c r="BF448" s="3281"/>
      <c r="BG448" s="3307">
        <v>38827</v>
      </c>
      <c r="BH448" s="3368"/>
      <c r="BI448" s="3267" t="s">
        <v>4395</v>
      </c>
      <c r="BJ448" s="3299">
        <v>38832</v>
      </c>
      <c r="BK448" s="3284"/>
      <c r="BL448" s="3267" t="s">
        <v>2998</v>
      </c>
      <c r="BM448" s="3267" t="s">
        <v>2879</v>
      </c>
      <c r="BN448" s="3276" t="s">
        <v>2999</v>
      </c>
      <c r="BO448" s="3267" t="s">
        <v>3146</v>
      </c>
      <c r="BP448" s="3276"/>
      <c r="BQ448" s="3276" t="e">
        <v>#DIV/0!</v>
      </c>
      <c r="BR448" s="3276" t="e">
        <v>#DIV/0!</v>
      </c>
      <c r="BS448" s="3285"/>
      <c r="BT448" s="3285"/>
      <c r="BU448" s="3285"/>
    </row>
    <row r="449" spans="1:243">
      <c r="A449" s="3267" t="s">
        <v>6360</v>
      </c>
      <c r="B449" s="3268" t="s">
        <v>6361</v>
      </c>
      <c r="C449" s="3269" t="s">
        <v>6362</v>
      </c>
      <c r="D449" s="3268">
        <v>13366219218</v>
      </c>
      <c r="E449" s="3267" t="s">
        <v>2985</v>
      </c>
      <c r="F449" s="3268" t="s">
        <v>6363</v>
      </c>
      <c r="G449" s="3268"/>
      <c r="H449" s="3268" t="s">
        <v>6364</v>
      </c>
      <c r="I449" s="3268" t="s">
        <v>3586</v>
      </c>
      <c r="J449" s="3268" t="s">
        <v>3151</v>
      </c>
      <c r="K449" s="3268" t="s">
        <v>6365</v>
      </c>
      <c r="L449" s="3270">
        <v>60.49</v>
      </c>
      <c r="M449" s="3270">
        <v>5</v>
      </c>
      <c r="N449" s="3268" t="s">
        <v>3122</v>
      </c>
      <c r="O449" s="3270"/>
      <c r="P449" s="3295" t="s">
        <v>2963</v>
      </c>
      <c r="Q449" s="3271">
        <v>450000</v>
      </c>
      <c r="R449" s="3267">
        <v>7439</v>
      </c>
      <c r="S449" s="3272">
        <v>39.06</v>
      </c>
      <c r="T449" s="3273">
        <v>390600</v>
      </c>
      <c r="U449" s="3267">
        <v>6458</v>
      </c>
      <c r="V449" s="3274">
        <v>0.2</v>
      </c>
      <c r="W449" s="3272">
        <v>31.24</v>
      </c>
      <c r="X449" s="3275">
        <v>312400</v>
      </c>
      <c r="Y449" s="3276">
        <v>2006</v>
      </c>
      <c r="Z449" s="3276">
        <v>4</v>
      </c>
      <c r="AA449" s="3276">
        <v>28</v>
      </c>
      <c r="AB449" s="3267">
        <v>1170</v>
      </c>
      <c r="AC449" s="3267" t="s">
        <v>2980</v>
      </c>
      <c r="AD449" s="3268"/>
      <c r="AE449" s="3267" t="s">
        <v>3344</v>
      </c>
      <c r="AF449" s="3268" t="s">
        <v>2966</v>
      </c>
      <c r="AG449" s="3268" t="s">
        <v>2967</v>
      </c>
      <c r="AH449" s="3268"/>
      <c r="AI449" s="3279" t="s">
        <v>2992</v>
      </c>
      <c r="AJ449" s="3290"/>
      <c r="AK449" s="3278" t="s">
        <v>2994</v>
      </c>
      <c r="AL449" s="3276">
        <v>67641700</v>
      </c>
      <c r="AM449" s="3276"/>
      <c r="AN449" s="3294" t="s">
        <v>2994</v>
      </c>
      <c r="AO449" s="3276"/>
      <c r="AP449" s="3279" t="s">
        <v>3305</v>
      </c>
      <c r="AQ449" s="3267" t="s">
        <v>3228</v>
      </c>
      <c r="AR449" s="3267"/>
      <c r="AS449" s="3267"/>
      <c r="AT449" s="3267"/>
      <c r="AU449" s="3267"/>
      <c r="AV449" s="3277"/>
      <c r="AW449" s="3319" t="s">
        <v>2997</v>
      </c>
      <c r="AX449" s="3268"/>
      <c r="AY449" s="3268"/>
      <c r="AZ449" s="3268" t="s">
        <v>6365</v>
      </c>
      <c r="BA449" s="3268"/>
      <c r="BB449" s="3280"/>
      <c r="BC449" s="3268"/>
      <c r="BD449" s="3268"/>
      <c r="BE449" s="3268">
        <v>63644941</v>
      </c>
      <c r="BF449" s="3281"/>
      <c r="BG449" s="3307">
        <v>38827</v>
      </c>
      <c r="BH449" s="3368"/>
      <c r="BI449" s="3314" t="s">
        <v>4395</v>
      </c>
      <c r="BJ449" s="3299">
        <v>38827</v>
      </c>
      <c r="BK449" s="3284"/>
      <c r="BL449" s="3267" t="s">
        <v>2998</v>
      </c>
      <c r="BM449" s="3267" t="s">
        <v>2879</v>
      </c>
      <c r="BN449" s="3276" t="s">
        <v>2999</v>
      </c>
      <c r="BO449" s="3267" t="s">
        <v>3146</v>
      </c>
      <c r="BP449" s="3276"/>
      <c r="BQ449" s="3276" t="e">
        <v>#DIV/0!</v>
      </c>
      <c r="BR449" s="3276" t="e">
        <v>#DIV/0!</v>
      </c>
      <c r="BS449" s="3285"/>
      <c r="BT449" s="3285"/>
      <c r="BU449" s="3285"/>
    </row>
    <row r="450" spans="1:243" hidden="1">
      <c r="A450" s="3268" t="s">
        <v>6366</v>
      </c>
      <c r="B450" s="3267" t="s">
        <v>6367</v>
      </c>
      <c r="C450" s="3269" t="s">
        <v>6368</v>
      </c>
      <c r="D450" s="3269" t="s">
        <v>6369</v>
      </c>
      <c r="E450" s="3267" t="s">
        <v>2985</v>
      </c>
      <c r="F450" s="3267" t="s">
        <v>4165</v>
      </c>
      <c r="G450" s="3267"/>
      <c r="H450" s="3267" t="s">
        <v>3139</v>
      </c>
      <c r="I450" s="3267"/>
      <c r="J450" s="3269" t="s">
        <v>6370</v>
      </c>
      <c r="K450" s="3267" t="s">
        <v>6371</v>
      </c>
      <c r="L450" s="3286">
        <v>81.849999999999994</v>
      </c>
      <c r="M450" s="3267">
        <v>12</v>
      </c>
      <c r="N450" s="3268" t="s">
        <v>3122</v>
      </c>
      <c r="O450" s="3267"/>
      <c r="P450" s="3267" t="s">
        <v>2963</v>
      </c>
      <c r="Q450" s="3287">
        <v>500000</v>
      </c>
      <c r="R450" s="3267">
        <v>6109</v>
      </c>
      <c r="S450" s="3272">
        <v>49.78</v>
      </c>
      <c r="T450" s="3273">
        <v>497800</v>
      </c>
      <c r="U450" s="3267">
        <v>6083</v>
      </c>
      <c r="V450" s="3289">
        <v>0.2</v>
      </c>
      <c r="W450" s="3272">
        <v>39.82</v>
      </c>
      <c r="X450" s="3275">
        <v>398200</v>
      </c>
      <c r="Y450" s="3276">
        <v>2006</v>
      </c>
      <c r="Z450" s="3276">
        <v>4</v>
      </c>
      <c r="AA450" s="3276">
        <v>30</v>
      </c>
      <c r="AB450" s="3267">
        <v>1490</v>
      </c>
      <c r="AC450" s="3267" t="s">
        <v>2980</v>
      </c>
      <c r="AD450" s="3267"/>
      <c r="AE450" s="3276" t="s">
        <v>3304</v>
      </c>
      <c r="AF450" s="3267" t="s">
        <v>2966</v>
      </c>
      <c r="AG450" s="3279" t="s">
        <v>2967</v>
      </c>
      <c r="AH450" s="3267"/>
      <c r="AI450" s="3267" t="s">
        <v>3295</v>
      </c>
      <c r="AJ450" s="3284"/>
      <c r="AK450" s="3278" t="s">
        <v>2994</v>
      </c>
      <c r="AL450" s="3267">
        <v>67641700</v>
      </c>
      <c r="AM450" s="3267"/>
      <c r="AN450" s="3279" t="s">
        <v>2994</v>
      </c>
      <c r="AO450" s="3267"/>
      <c r="AP450" s="3267" t="s">
        <v>3342</v>
      </c>
      <c r="AQ450" s="3267" t="s">
        <v>3228</v>
      </c>
      <c r="AR450" s="3276"/>
      <c r="AS450" s="3276"/>
      <c r="AT450" s="3276"/>
      <c r="AU450" s="3276"/>
      <c r="AV450" s="3276"/>
      <c r="AW450" s="3267" t="s">
        <v>3112</v>
      </c>
      <c r="AX450" s="3276"/>
      <c r="AY450" s="3291"/>
      <c r="AZ450" s="3276" t="s">
        <v>6371</v>
      </c>
      <c r="BA450" s="3276"/>
      <c r="BB450" s="3291"/>
      <c r="BC450" s="3276"/>
      <c r="BD450" s="3292"/>
      <c r="BE450" s="3276"/>
      <c r="BF450" s="3281"/>
      <c r="BG450" s="3293">
        <v>38827</v>
      </c>
      <c r="BH450" s="3276"/>
      <c r="BI450" s="3268" t="s">
        <v>3537</v>
      </c>
      <c r="BJ450" s="3293">
        <v>38827</v>
      </c>
      <c r="BK450" s="3283"/>
      <c r="BL450" s="3267" t="s">
        <v>2998</v>
      </c>
      <c r="BM450" s="3276" t="s">
        <v>4879</v>
      </c>
      <c r="BN450" s="3276" t="s">
        <v>2999</v>
      </c>
      <c r="BO450" s="3276" t="s">
        <v>3146</v>
      </c>
      <c r="BP450" s="3276"/>
      <c r="BQ450" s="3276"/>
      <c r="BR450" s="3276"/>
      <c r="BS450" s="3285"/>
      <c r="BT450" s="3285"/>
      <c r="BU450" s="3285"/>
      <c r="BV450" s="3285"/>
      <c r="BW450" s="3285"/>
      <c r="BX450" s="3285"/>
      <c r="BY450" s="3285"/>
      <c r="BZ450" s="3285"/>
      <c r="CA450" s="3285"/>
      <c r="CB450" s="3285"/>
      <c r="CC450" s="3285"/>
      <c r="CD450" s="3285"/>
      <c r="CE450" s="3285"/>
      <c r="CF450" s="3285"/>
      <c r="CG450" s="3285"/>
      <c r="CH450" s="3285"/>
      <c r="CI450" s="3285"/>
      <c r="CJ450" s="3285"/>
      <c r="CK450" s="3285"/>
      <c r="CL450" s="3285"/>
      <c r="CM450" s="3285"/>
      <c r="CN450" s="3285"/>
      <c r="CO450" s="3285"/>
      <c r="CP450" s="3285"/>
      <c r="CQ450" s="3285"/>
      <c r="CR450" s="3285"/>
      <c r="CS450" s="3285"/>
      <c r="CT450" s="3285"/>
      <c r="CU450" s="3285"/>
      <c r="CV450" s="3285"/>
      <c r="CW450" s="3285"/>
      <c r="CX450" s="3285"/>
      <c r="CY450" s="3285"/>
      <c r="CZ450" s="3285"/>
      <c r="DA450" s="3285"/>
      <c r="DB450" s="3285"/>
      <c r="DC450" s="3285"/>
      <c r="DD450" s="3285"/>
      <c r="DE450" s="3285"/>
      <c r="DF450" s="3285"/>
      <c r="DG450" s="3285"/>
      <c r="DH450" s="3285"/>
      <c r="DI450" s="3285"/>
      <c r="DJ450" s="3285"/>
      <c r="DK450" s="3285"/>
      <c r="DL450" s="3285"/>
      <c r="DM450" s="3285"/>
      <c r="DN450" s="3285"/>
      <c r="DO450" s="3285"/>
      <c r="DP450" s="3285"/>
      <c r="DQ450" s="3285"/>
      <c r="DR450" s="3285"/>
      <c r="DS450" s="3285"/>
      <c r="DT450" s="3285"/>
      <c r="DU450" s="3285"/>
      <c r="DV450" s="3285"/>
      <c r="DW450" s="3285"/>
      <c r="DX450" s="3285"/>
      <c r="DY450" s="3285"/>
      <c r="DZ450" s="3285"/>
      <c r="EA450" s="3285"/>
      <c r="EB450" s="3285"/>
      <c r="EC450" s="3285"/>
      <c r="ED450" s="3285"/>
      <c r="EE450" s="3285"/>
      <c r="EF450" s="3285"/>
      <c r="EG450" s="3285"/>
      <c r="EH450" s="3285"/>
      <c r="EI450" s="3285"/>
      <c r="EJ450" s="3285"/>
      <c r="EK450" s="3285"/>
      <c r="EL450" s="3285"/>
      <c r="EM450" s="3285"/>
      <c r="EN450" s="3285"/>
      <c r="EO450" s="3285"/>
      <c r="EP450" s="3285"/>
      <c r="EQ450" s="3285"/>
      <c r="ER450" s="3285"/>
      <c r="ES450" s="3285"/>
      <c r="ET450" s="3285"/>
      <c r="EU450" s="3285"/>
      <c r="EV450" s="3285"/>
      <c r="EW450" s="3285"/>
      <c r="EX450" s="3285"/>
      <c r="EY450" s="3285"/>
      <c r="EZ450" s="3285"/>
      <c r="FA450" s="3285"/>
      <c r="FB450" s="3285"/>
      <c r="FC450" s="3285"/>
      <c r="FD450" s="3285"/>
      <c r="FE450" s="3285"/>
      <c r="FF450" s="3285"/>
      <c r="FG450" s="3285"/>
      <c r="FH450" s="3285"/>
      <c r="FI450" s="3285"/>
      <c r="FJ450" s="3285"/>
      <c r="FK450" s="3285"/>
      <c r="FL450" s="3285"/>
      <c r="FM450" s="3285"/>
      <c r="FN450" s="3285"/>
      <c r="FO450" s="3285"/>
      <c r="FP450" s="3285"/>
      <c r="FQ450" s="3285"/>
      <c r="FR450" s="3285"/>
      <c r="FS450" s="3285"/>
      <c r="FT450" s="3285"/>
      <c r="FU450" s="3285"/>
      <c r="FV450" s="3285"/>
      <c r="FW450" s="3285"/>
      <c r="FX450" s="3285"/>
      <c r="FY450" s="3285"/>
      <c r="FZ450" s="3285"/>
      <c r="GA450" s="3285"/>
      <c r="GB450" s="3285"/>
      <c r="GC450" s="3285"/>
      <c r="GD450" s="3285"/>
      <c r="GE450" s="3285"/>
      <c r="GF450" s="3285"/>
      <c r="GG450" s="3285"/>
      <c r="GH450" s="3285"/>
      <c r="GI450" s="3285"/>
      <c r="GJ450" s="3285"/>
      <c r="GK450" s="3285"/>
      <c r="GL450" s="3285"/>
      <c r="GM450" s="3285"/>
      <c r="GN450" s="3285"/>
      <c r="GO450" s="3285"/>
      <c r="GP450" s="3285"/>
      <c r="GQ450" s="3285"/>
      <c r="GR450" s="3285"/>
      <c r="GS450" s="3285"/>
      <c r="GT450" s="3285"/>
      <c r="GU450" s="3285"/>
      <c r="GV450" s="3285"/>
      <c r="GW450" s="3285"/>
      <c r="GX450" s="3285"/>
      <c r="GY450" s="3285"/>
      <c r="GZ450" s="3285"/>
      <c r="HA450" s="3285"/>
      <c r="HB450" s="3285"/>
      <c r="HC450" s="3285"/>
      <c r="HD450" s="3285"/>
      <c r="HE450" s="3285"/>
      <c r="HF450" s="3285"/>
      <c r="HG450" s="3285"/>
      <c r="HH450" s="3285"/>
      <c r="HI450" s="3285"/>
      <c r="HJ450" s="3285"/>
      <c r="HK450" s="3285"/>
      <c r="HL450" s="3285"/>
      <c r="HM450" s="3285"/>
      <c r="HN450" s="3285"/>
      <c r="HO450" s="3285"/>
      <c r="HP450" s="3285"/>
      <c r="HQ450" s="3285"/>
      <c r="HR450" s="3285"/>
      <c r="HS450" s="3285"/>
      <c r="HT450" s="3285"/>
      <c r="HU450" s="3285"/>
      <c r="HV450" s="3285"/>
      <c r="HW450" s="3285"/>
      <c r="HX450" s="3285"/>
      <c r="HY450" s="3285"/>
      <c r="HZ450" s="3285"/>
      <c r="IA450" s="3285"/>
      <c r="IB450" s="3285"/>
      <c r="IC450" s="3285"/>
      <c r="ID450" s="3285"/>
      <c r="IE450" s="3285"/>
      <c r="IF450" s="3285"/>
      <c r="IG450" s="3285"/>
      <c r="IH450" s="3285"/>
      <c r="II450" s="3285"/>
    </row>
    <row r="451" spans="1:243" hidden="1">
      <c r="A451" s="3268" t="s">
        <v>6372</v>
      </c>
      <c r="B451" s="3268" t="s">
        <v>6373</v>
      </c>
      <c r="C451" s="3269" t="s">
        <v>6374</v>
      </c>
      <c r="D451" s="3268">
        <v>80608066</v>
      </c>
      <c r="E451" s="3268" t="s">
        <v>2985</v>
      </c>
      <c r="F451" s="3268" t="s">
        <v>3533</v>
      </c>
      <c r="G451" s="3268"/>
      <c r="H451" s="3268" t="s">
        <v>3402</v>
      </c>
      <c r="I451" s="3268" t="s">
        <v>6375</v>
      </c>
      <c r="J451" s="3268">
        <v>302</v>
      </c>
      <c r="K451" s="3268" t="s">
        <v>6376</v>
      </c>
      <c r="L451" s="3270">
        <v>50.67</v>
      </c>
      <c r="M451" s="3270">
        <v>3</v>
      </c>
      <c r="N451" s="3267" t="s">
        <v>3535</v>
      </c>
      <c r="O451" s="3270"/>
      <c r="P451" s="3268" t="s">
        <v>2963</v>
      </c>
      <c r="Q451" s="3271">
        <v>410000</v>
      </c>
      <c r="R451" s="3267">
        <v>8092</v>
      </c>
      <c r="S451" s="3272">
        <v>34.9</v>
      </c>
      <c r="T451" s="3273">
        <v>349000</v>
      </c>
      <c r="U451" s="3267">
        <v>6889</v>
      </c>
      <c r="V451" s="3289">
        <v>0.2</v>
      </c>
      <c r="W451" s="3272">
        <v>27.92</v>
      </c>
      <c r="X451" s="3275">
        <v>279200</v>
      </c>
      <c r="Y451" s="3276">
        <v>2006</v>
      </c>
      <c r="Z451" s="3276">
        <v>4</v>
      </c>
      <c r="AA451" s="3276">
        <v>29</v>
      </c>
      <c r="AB451" s="3267">
        <v>1045</v>
      </c>
      <c r="AC451" s="3267" t="s">
        <v>2980</v>
      </c>
      <c r="AD451" s="3268"/>
      <c r="AE451" s="3268" t="s">
        <v>3304</v>
      </c>
      <c r="AF451" s="3268" t="s">
        <v>2966</v>
      </c>
      <c r="AG451" s="3268" t="s">
        <v>2967</v>
      </c>
      <c r="AH451" s="3268"/>
      <c r="AI451" s="3267" t="s">
        <v>2992</v>
      </c>
      <c r="AJ451" s="3290"/>
      <c r="AK451" s="3278" t="s">
        <v>2994</v>
      </c>
      <c r="AL451" s="3276">
        <v>67641700</v>
      </c>
      <c r="AM451" s="3276"/>
      <c r="AN451" s="3279" t="s">
        <v>2994</v>
      </c>
      <c r="AO451" s="3267"/>
      <c r="AP451" s="3279" t="s">
        <v>3342</v>
      </c>
      <c r="AQ451" s="3267" t="s">
        <v>3228</v>
      </c>
      <c r="AR451" s="3267"/>
      <c r="AS451" s="3267"/>
      <c r="AT451" s="3267"/>
      <c r="AU451" s="3267"/>
      <c r="AV451" s="3277"/>
      <c r="AW451" s="3267" t="s">
        <v>3119</v>
      </c>
      <c r="AX451" s="3276"/>
      <c r="AY451" s="3291"/>
      <c r="AZ451" s="3267" t="s">
        <v>6376</v>
      </c>
      <c r="BA451" s="3296"/>
      <c r="BB451" s="3297"/>
      <c r="BC451" s="3296"/>
      <c r="BD451" s="3298"/>
      <c r="BE451" s="3276">
        <v>13801021922</v>
      </c>
      <c r="BF451" s="3281"/>
      <c r="BG451" s="3293">
        <v>38825</v>
      </c>
      <c r="BH451" s="3267"/>
      <c r="BI451" s="3276" t="s">
        <v>3537</v>
      </c>
      <c r="BJ451" s="3293">
        <v>38827</v>
      </c>
      <c r="BK451" s="3284"/>
      <c r="BL451" s="3295" t="s">
        <v>2998</v>
      </c>
      <c r="BM451" s="3267" t="s">
        <v>2879</v>
      </c>
      <c r="BN451" s="3276" t="s">
        <v>2999</v>
      </c>
      <c r="BO451" s="3267" t="s">
        <v>3538</v>
      </c>
      <c r="BP451" s="3276"/>
      <c r="BQ451" s="3276" t="e">
        <v>#DIV/0!</v>
      </c>
      <c r="BR451" s="3276" t="e">
        <v>#DIV/0!</v>
      </c>
      <c r="BS451" s="3285"/>
      <c r="BT451" s="3285"/>
      <c r="BU451" s="3285"/>
      <c r="BV451" s="3347"/>
      <c r="BW451" s="3347"/>
      <c r="BX451" s="3347"/>
      <c r="BY451" s="3347"/>
      <c r="BZ451" s="3347"/>
      <c r="CA451" s="3347"/>
      <c r="CB451" s="3347"/>
      <c r="CC451" s="3347"/>
      <c r="CD451" s="3347"/>
      <c r="CE451" s="3347"/>
      <c r="CF451" s="3347"/>
      <c r="CG451" s="3347"/>
      <c r="CH451" s="3347"/>
      <c r="CI451" s="3347"/>
      <c r="CJ451" s="3347"/>
      <c r="CK451" s="3347"/>
      <c r="CL451" s="3347"/>
      <c r="CM451" s="3347"/>
      <c r="CN451" s="3347"/>
      <c r="CO451" s="3347"/>
      <c r="CP451" s="3347"/>
      <c r="CQ451" s="3347"/>
      <c r="CR451" s="3347"/>
      <c r="CS451" s="3347"/>
      <c r="CT451" s="3347"/>
      <c r="CU451" s="3347"/>
      <c r="CV451" s="3347"/>
      <c r="CW451" s="3347"/>
      <c r="CX451" s="3347"/>
      <c r="CY451" s="3347"/>
      <c r="CZ451" s="3347"/>
      <c r="DA451" s="3347"/>
      <c r="DB451" s="3347"/>
      <c r="DC451" s="3347"/>
      <c r="DD451" s="3347"/>
      <c r="DE451" s="3347"/>
      <c r="DF451" s="3347"/>
      <c r="DG451" s="3347"/>
      <c r="DH451" s="3347"/>
      <c r="DI451" s="3347"/>
      <c r="DJ451" s="3347"/>
      <c r="DK451" s="3347"/>
      <c r="DL451" s="3347"/>
      <c r="DM451" s="3347"/>
      <c r="DN451" s="3347"/>
      <c r="DO451" s="3347"/>
      <c r="DP451" s="3347"/>
      <c r="DQ451" s="3347"/>
      <c r="DR451" s="3347"/>
      <c r="DS451" s="3347"/>
      <c r="DT451" s="3347"/>
      <c r="DU451" s="3347"/>
      <c r="DV451" s="3347"/>
      <c r="DW451" s="3347"/>
      <c r="DX451" s="3347"/>
      <c r="DY451" s="3347"/>
      <c r="DZ451" s="3347"/>
      <c r="EA451" s="3347"/>
      <c r="EB451" s="3347"/>
      <c r="EC451" s="3347"/>
      <c r="ED451" s="3347"/>
      <c r="EE451" s="3347"/>
      <c r="EF451" s="3347"/>
      <c r="EG451" s="3347"/>
      <c r="EH451" s="3347"/>
      <c r="EI451" s="3347"/>
      <c r="EJ451" s="3347"/>
      <c r="EK451" s="3347"/>
      <c r="EL451" s="3347"/>
      <c r="EM451" s="3347"/>
      <c r="EN451" s="3347"/>
      <c r="EO451" s="3347"/>
      <c r="EP451" s="3347"/>
      <c r="EQ451" s="3347"/>
      <c r="ER451" s="3347"/>
      <c r="ES451" s="3347"/>
      <c r="ET451" s="3347"/>
      <c r="EU451" s="3347"/>
      <c r="EV451" s="3347"/>
      <c r="EW451" s="3347"/>
      <c r="EX451" s="3347"/>
      <c r="EY451" s="3347"/>
      <c r="EZ451" s="3347"/>
      <c r="FA451" s="3347"/>
      <c r="FB451" s="3347"/>
      <c r="FC451" s="3347"/>
      <c r="FD451" s="3347"/>
      <c r="FE451" s="3347"/>
      <c r="FF451" s="3347"/>
      <c r="FG451" s="3347"/>
      <c r="FH451" s="3347"/>
      <c r="FI451" s="3347"/>
      <c r="FJ451" s="3347"/>
      <c r="FK451" s="3347"/>
      <c r="FL451" s="3347"/>
      <c r="FM451" s="3347"/>
      <c r="FN451" s="3347"/>
      <c r="FO451" s="3347"/>
      <c r="FP451" s="3347"/>
      <c r="FQ451" s="3347"/>
      <c r="FR451" s="3347"/>
      <c r="FS451" s="3347"/>
      <c r="FT451" s="3347"/>
      <c r="FU451" s="3347"/>
      <c r="FV451" s="3347"/>
      <c r="FW451" s="3347"/>
      <c r="FX451" s="3347"/>
      <c r="FY451" s="3347"/>
      <c r="FZ451" s="3347"/>
      <c r="GA451" s="3347"/>
      <c r="GB451" s="3347"/>
      <c r="GC451" s="3347"/>
      <c r="GD451" s="3347"/>
      <c r="GE451" s="3347"/>
      <c r="GF451" s="3347"/>
      <c r="GG451" s="3347"/>
      <c r="GH451" s="3347"/>
      <c r="GI451" s="3347"/>
      <c r="GJ451" s="3347"/>
      <c r="GK451" s="3347"/>
      <c r="GL451" s="3347"/>
      <c r="GM451" s="3347"/>
      <c r="GN451" s="3347"/>
      <c r="GO451" s="3347"/>
      <c r="GP451" s="3347"/>
      <c r="GQ451" s="3347"/>
      <c r="GR451" s="3347"/>
      <c r="GS451" s="3347"/>
      <c r="GT451" s="3347"/>
      <c r="GU451" s="3347"/>
      <c r="GV451" s="3347"/>
      <c r="GW451" s="3347"/>
      <c r="GX451" s="3347"/>
      <c r="GY451" s="3347"/>
      <c r="GZ451" s="3347"/>
      <c r="HA451" s="3347"/>
      <c r="HB451" s="3347"/>
      <c r="HC451" s="3347"/>
      <c r="HD451" s="3347"/>
      <c r="HE451" s="3347"/>
      <c r="HF451" s="3347"/>
      <c r="HG451" s="3347"/>
      <c r="HH451" s="3347"/>
      <c r="HI451" s="3347"/>
      <c r="HJ451" s="3347"/>
      <c r="HK451" s="3347"/>
      <c r="HL451" s="3347"/>
      <c r="HM451" s="3347"/>
      <c r="HN451" s="3347"/>
      <c r="HO451" s="3347"/>
      <c r="HP451" s="3347"/>
      <c r="HQ451" s="3347"/>
      <c r="HR451" s="3347"/>
      <c r="HS451" s="3347"/>
      <c r="HT451" s="3347"/>
      <c r="HU451" s="3347"/>
      <c r="HV451" s="3347"/>
      <c r="HW451" s="3347"/>
      <c r="HX451" s="3347"/>
      <c r="HY451" s="3347"/>
      <c r="HZ451" s="3347"/>
      <c r="IA451" s="3347"/>
      <c r="IB451" s="3347"/>
      <c r="IC451" s="3347"/>
      <c r="ID451" s="3347"/>
      <c r="IE451" s="3347"/>
      <c r="IF451" s="3347"/>
      <c r="IG451" s="3347"/>
      <c r="IH451" s="3347"/>
      <c r="II451" s="3347"/>
    </row>
    <row r="452" spans="1:243" ht="14.25" hidden="1">
      <c r="A452" s="3267" t="s">
        <v>6377</v>
      </c>
      <c r="B452" s="3268" t="s">
        <v>6378</v>
      </c>
      <c r="C452" s="3269" t="s">
        <v>6379</v>
      </c>
      <c r="D452" s="3268">
        <v>13522833807</v>
      </c>
      <c r="E452" s="3268" t="s">
        <v>2985</v>
      </c>
      <c r="F452" s="3268" t="s">
        <v>6380</v>
      </c>
      <c r="G452" s="3268"/>
      <c r="H452" s="3268" t="s">
        <v>3263</v>
      </c>
      <c r="I452" s="3268" t="s">
        <v>3190</v>
      </c>
      <c r="J452" s="3268">
        <v>101</v>
      </c>
      <c r="K452" s="3268" t="s">
        <v>2968</v>
      </c>
      <c r="L452" s="3270">
        <v>58.79</v>
      </c>
      <c r="M452" s="3270">
        <v>1</v>
      </c>
      <c r="N452" s="3267" t="s">
        <v>3152</v>
      </c>
      <c r="O452" s="3270" t="s">
        <v>2968</v>
      </c>
      <c r="P452" s="3268" t="s">
        <v>2963</v>
      </c>
      <c r="Q452" s="3271">
        <v>265000</v>
      </c>
      <c r="R452" s="3267">
        <v>4508</v>
      </c>
      <c r="S452" s="3272">
        <v>21.42</v>
      </c>
      <c r="T452" s="3273">
        <v>214200</v>
      </c>
      <c r="U452" s="3267">
        <v>3645</v>
      </c>
      <c r="V452" s="3289">
        <v>0.2</v>
      </c>
      <c r="W452" s="3272">
        <v>17.13</v>
      </c>
      <c r="X452" s="3275">
        <v>171300</v>
      </c>
      <c r="Y452" s="3276">
        <v>2006</v>
      </c>
      <c r="Z452" s="3276">
        <v>5</v>
      </c>
      <c r="AA452" s="3276">
        <v>12</v>
      </c>
      <c r="AB452" s="3267">
        <v>640</v>
      </c>
      <c r="AC452" s="3267" t="s">
        <v>2980</v>
      </c>
      <c r="AD452" s="3268"/>
      <c r="AE452" s="3268" t="s">
        <v>3304</v>
      </c>
      <c r="AF452" s="3268" t="s">
        <v>2966</v>
      </c>
      <c r="AG452" s="3268" t="s">
        <v>2967</v>
      </c>
      <c r="AH452" s="3268"/>
      <c r="AI452" s="3268" t="s">
        <v>3295</v>
      </c>
      <c r="AJ452" s="3290"/>
      <c r="AK452" s="3278">
        <v>5</v>
      </c>
      <c r="AL452" s="3276">
        <v>67641700</v>
      </c>
      <c r="AM452" s="3276"/>
      <c r="AN452" s="3279" t="s">
        <v>3140</v>
      </c>
      <c r="AO452" s="3267"/>
      <c r="AP452" s="3279" t="s">
        <v>3305</v>
      </c>
      <c r="AQ452" s="3267" t="s">
        <v>3228</v>
      </c>
      <c r="AR452" s="3267">
        <v>2006</v>
      </c>
      <c r="AS452" s="3267">
        <v>5</v>
      </c>
      <c r="AT452" s="3267">
        <v>12</v>
      </c>
      <c r="AU452" s="3267"/>
      <c r="AV452" s="3277"/>
      <c r="AW452" s="3276" t="s">
        <v>3171</v>
      </c>
      <c r="AX452" s="3276"/>
      <c r="AY452" s="3291" t="s">
        <v>2968</v>
      </c>
      <c r="AZ452" s="3267" t="s">
        <v>2968</v>
      </c>
      <c r="BA452" s="3296" t="s">
        <v>2968</v>
      </c>
      <c r="BB452" s="3297" t="s">
        <v>2968</v>
      </c>
      <c r="BC452" s="3296" t="s">
        <v>2968</v>
      </c>
      <c r="BD452" s="3298" t="s">
        <v>2968</v>
      </c>
      <c r="BE452" s="3276" t="s">
        <v>2968</v>
      </c>
      <c r="BF452" s="3281" t="s">
        <v>2968</v>
      </c>
      <c r="BG452" s="3293">
        <v>38812</v>
      </c>
      <c r="BH452" s="3267" t="s">
        <v>2968</v>
      </c>
      <c r="BI452" s="3314" t="s">
        <v>2979</v>
      </c>
      <c r="BJ452" s="3299">
        <v>38828</v>
      </c>
      <c r="BK452" s="3284"/>
      <c r="BL452" s="3267" t="s">
        <v>2998</v>
      </c>
      <c r="BM452" s="3267" t="s">
        <v>2879</v>
      </c>
      <c r="BN452" s="3267" t="s">
        <v>3111</v>
      </c>
      <c r="BO452" s="3276" t="s">
        <v>3146</v>
      </c>
      <c r="BP452" s="3276"/>
      <c r="BQ452" s="3276" t="e">
        <v>#VALUE!</v>
      </c>
      <c r="BR452" s="3276" t="e">
        <v>#VALUE!</v>
      </c>
      <c r="BS452" s="3285"/>
      <c r="BT452" s="3285"/>
      <c r="BU452" s="3285"/>
      <c r="BV452" s="3341"/>
      <c r="BW452" s="3341"/>
      <c r="BX452" s="3341"/>
      <c r="BY452" s="3341"/>
      <c r="BZ452" s="3341"/>
      <c r="CA452" s="3341"/>
      <c r="CB452" s="3341"/>
      <c r="CC452" s="3341"/>
      <c r="CD452" s="3341"/>
      <c r="CE452" s="3341"/>
      <c r="CF452" s="3341"/>
      <c r="CG452" s="3341"/>
      <c r="CH452" s="3341"/>
      <c r="CI452" s="3341"/>
      <c r="CJ452" s="3341"/>
      <c r="CK452" s="3341"/>
      <c r="CL452" s="3341"/>
      <c r="CM452" s="3341"/>
      <c r="CN452" s="3341"/>
      <c r="CO452" s="3341"/>
      <c r="CP452" s="3341"/>
      <c r="CQ452" s="3341"/>
      <c r="CR452" s="3341"/>
      <c r="CS452" s="3341"/>
      <c r="CT452" s="3341"/>
      <c r="CU452" s="3341"/>
      <c r="CV452" s="3341"/>
      <c r="CW452" s="3341"/>
      <c r="CX452" s="3341"/>
      <c r="CY452" s="3341"/>
      <c r="CZ452" s="3341"/>
      <c r="DA452" s="3341"/>
      <c r="DB452" s="3341"/>
      <c r="DC452" s="3341"/>
      <c r="DD452" s="3341"/>
      <c r="DE452" s="3341"/>
      <c r="DF452" s="3341"/>
      <c r="DG452" s="3341"/>
      <c r="DH452" s="3341"/>
      <c r="DI452" s="3341"/>
      <c r="DJ452" s="3341"/>
      <c r="DK452" s="3341"/>
      <c r="DL452" s="3341"/>
      <c r="DM452" s="3341"/>
      <c r="DN452" s="3341"/>
      <c r="DO452" s="3341"/>
      <c r="DP452" s="3341"/>
      <c r="DQ452" s="3341"/>
      <c r="DR452" s="3341"/>
      <c r="DS452" s="3341"/>
      <c r="DT452" s="3341"/>
      <c r="DU452" s="3341"/>
      <c r="DV452" s="3341"/>
      <c r="DW452" s="3341"/>
      <c r="DX452" s="3341"/>
      <c r="DY452" s="3341"/>
      <c r="DZ452" s="3341"/>
      <c r="EA452" s="3341"/>
      <c r="EB452" s="3341"/>
      <c r="EC452" s="3341"/>
      <c r="ED452" s="3341"/>
      <c r="EE452" s="3341"/>
      <c r="EF452" s="3341"/>
      <c r="EG452" s="3341"/>
      <c r="EH452" s="3341"/>
      <c r="EI452" s="3341"/>
      <c r="EJ452" s="3341"/>
      <c r="EK452" s="3341"/>
      <c r="EL452" s="3341"/>
      <c r="EM452" s="3341"/>
      <c r="EN452" s="3341"/>
      <c r="EO452" s="3341"/>
      <c r="EP452" s="3341"/>
      <c r="EQ452" s="3341"/>
      <c r="ER452" s="3341"/>
      <c r="ES452" s="3341"/>
      <c r="ET452" s="3341"/>
      <c r="EU452" s="3341"/>
      <c r="EV452" s="3341"/>
      <c r="EW452" s="3341"/>
      <c r="EX452" s="3341"/>
      <c r="EY452" s="3341"/>
      <c r="EZ452" s="3341"/>
      <c r="FA452" s="3341"/>
      <c r="FB452" s="3341"/>
      <c r="FC452" s="3341"/>
      <c r="FD452" s="3341"/>
      <c r="FE452" s="3341"/>
      <c r="FF452" s="3341"/>
      <c r="FG452" s="3341"/>
      <c r="FH452" s="3341"/>
      <c r="FI452" s="3341"/>
      <c r="FJ452" s="3341"/>
      <c r="FK452" s="3341"/>
      <c r="FL452" s="3341"/>
      <c r="FM452" s="3341"/>
      <c r="FN452" s="3341"/>
      <c r="FO452" s="3341"/>
      <c r="FP452" s="3341"/>
      <c r="FQ452" s="3341"/>
      <c r="FR452" s="3341"/>
      <c r="FS452" s="3341"/>
      <c r="FT452" s="3341"/>
      <c r="FU452" s="3341"/>
      <c r="FV452" s="3341"/>
      <c r="FW452" s="3341"/>
      <c r="FX452" s="3341"/>
      <c r="FY452" s="3341"/>
      <c r="FZ452" s="3341"/>
      <c r="GA452" s="3341"/>
      <c r="GB452" s="3341"/>
      <c r="GC452" s="3341"/>
      <c r="GD452" s="3341"/>
      <c r="GE452" s="3341"/>
      <c r="GF452" s="3341"/>
      <c r="GG452" s="3341"/>
      <c r="GH452" s="3341"/>
      <c r="GI452" s="3341"/>
      <c r="GJ452" s="3341"/>
      <c r="GK452" s="3341"/>
      <c r="GL452" s="3341"/>
      <c r="GM452" s="3341"/>
      <c r="GN452" s="3341"/>
      <c r="GO452" s="3341"/>
      <c r="GP452" s="3341"/>
      <c r="GQ452" s="3341"/>
      <c r="GR452" s="3341"/>
      <c r="GS452" s="3341"/>
      <c r="GT452" s="3341"/>
      <c r="GU452" s="3341"/>
      <c r="GV452" s="3341"/>
      <c r="GW452" s="3341"/>
      <c r="GX452" s="3341"/>
      <c r="GY452" s="3341"/>
      <c r="GZ452" s="3341"/>
      <c r="HA452" s="3341"/>
      <c r="HB452" s="3341"/>
      <c r="HC452" s="3341"/>
      <c r="HD452" s="3341"/>
      <c r="HE452" s="3341"/>
      <c r="HF452" s="3341"/>
      <c r="HG452" s="3341"/>
      <c r="HH452" s="3341"/>
      <c r="HI452" s="3341"/>
      <c r="HJ452" s="3341"/>
      <c r="HK452" s="3341"/>
      <c r="HL452" s="3341"/>
      <c r="HM452" s="3341"/>
      <c r="HN452" s="3341"/>
      <c r="HO452" s="3341"/>
      <c r="HP452" s="3341"/>
      <c r="HQ452" s="3341"/>
      <c r="HR452" s="3341"/>
      <c r="HS452" s="3341"/>
      <c r="HT452" s="3341"/>
      <c r="HU452" s="3341"/>
      <c r="HV452" s="3341"/>
      <c r="HW452" s="3341"/>
      <c r="HX452" s="3341"/>
      <c r="HY452" s="3341"/>
      <c r="HZ452" s="3341"/>
      <c r="IA452" s="3341"/>
      <c r="IB452" s="3341"/>
      <c r="IC452" s="3341"/>
      <c r="ID452" s="3341"/>
      <c r="IE452" s="3341"/>
      <c r="IF452" s="3341"/>
      <c r="IG452" s="3341"/>
      <c r="IH452" s="3341"/>
      <c r="II452" s="3341"/>
    </row>
    <row r="453" spans="1:243" hidden="1">
      <c r="A453" s="3267" t="s">
        <v>6381</v>
      </c>
      <c r="B453" s="3267" t="s">
        <v>6382</v>
      </c>
      <c r="C453" s="3269" t="s">
        <v>6383</v>
      </c>
      <c r="D453" s="3269" t="s">
        <v>6384</v>
      </c>
      <c r="E453" s="3267" t="s">
        <v>2985</v>
      </c>
      <c r="F453" s="3267" t="s">
        <v>4198</v>
      </c>
      <c r="G453" s="3267"/>
      <c r="H453" s="3267" t="s">
        <v>3130</v>
      </c>
      <c r="I453" s="3267"/>
      <c r="J453" s="3269" t="s">
        <v>6385</v>
      </c>
      <c r="K453" s="3267" t="s">
        <v>6382</v>
      </c>
      <c r="L453" s="3286">
        <v>103.45</v>
      </c>
      <c r="M453" s="3267">
        <v>6</v>
      </c>
      <c r="N453" s="3268" t="s">
        <v>3122</v>
      </c>
      <c r="O453" s="3267">
        <v>87.32</v>
      </c>
      <c r="P453" s="3267" t="s">
        <v>2963</v>
      </c>
      <c r="Q453" s="3287">
        <v>825000</v>
      </c>
      <c r="R453" s="3267">
        <v>7975</v>
      </c>
      <c r="S453" s="3272">
        <v>68.13</v>
      </c>
      <c r="T453" s="3273">
        <v>681300</v>
      </c>
      <c r="U453" s="3267">
        <v>6586</v>
      </c>
      <c r="V453" s="3289">
        <v>0.2</v>
      </c>
      <c r="W453" s="3272">
        <v>54.5</v>
      </c>
      <c r="X453" s="3275">
        <v>545000</v>
      </c>
      <c r="Y453" s="3276">
        <v>2006</v>
      </c>
      <c r="Z453" s="3276">
        <v>5</v>
      </c>
      <c r="AA453" s="3276">
        <v>26</v>
      </c>
      <c r="AB453" s="3267">
        <v>1500</v>
      </c>
      <c r="AC453" s="3267" t="s">
        <v>2980</v>
      </c>
      <c r="AD453" s="3267"/>
      <c r="AE453" s="3276" t="s">
        <v>3304</v>
      </c>
      <c r="AF453" s="3267" t="s">
        <v>2966</v>
      </c>
      <c r="AG453" s="3279" t="s">
        <v>2967</v>
      </c>
      <c r="AH453" s="3267"/>
      <c r="AI453" s="3267" t="s">
        <v>3295</v>
      </c>
      <c r="AJ453" s="3284"/>
      <c r="AK453" s="3316" t="s">
        <v>3099</v>
      </c>
      <c r="AL453" s="3267">
        <v>67641700</v>
      </c>
      <c r="AM453" s="3267"/>
      <c r="AN453" s="3279" t="s">
        <v>3114</v>
      </c>
      <c r="AO453" s="3267"/>
      <c r="AP453" s="3267" t="s">
        <v>3342</v>
      </c>
      <c r="AQ453" s="3267" t="s">
        <v>3228</v>
      </c>
      <c r="AR453" s="3276"/>
      <c r="AS453" s="3276"/>
      <c r="AT453" s="3276"/>
      <c r="AU453" s="3276"/>
      <c r="AV453" s="3276"/>
      <c r="AW453" s="3276" t="s">
        <v>2968</v>
      </c>
      <c r="AX453" s="3276"/>
      <c r="AY453" s="3291"/>
      <c r="AZ453" s="3267" t="s">
        <v>6386</v>
      </c>
      <c r="BA453" s="3276"/>
      <c r="BB453" s="3291"/>
      <c r="BC453" s="3276"/>
      <c r="BD453" s="3292"/>
      <c r="BE453" s="3276"/>
      <c r="BF453" s="3281"/>
      <c r="BG453" s="3299">
        <v>38825</v>
      </c>
      <c r="BH453" s="3276"/>
      <c r="BI453" s="3267" t="s">
        <v>3342</v>
      </c>
      <c r="BJ453" s="3283">
        <v>38831</v>
      </c>
      <c r="BK453" s="3283"/>
      <c r="BL453" s="3267" t="s">
        <v>2998</v>
      </c>
      <c r="BM453" s="3276" t="s">
        <v>2879</v>
      </c>
      <c r="BN453" s="3276" t="s">
        <v>2999</v>
      </c>
      <c r="BO453" s="3276" t="s">
        <v>3146</v>
      </c>
      <c r="BP453" s="3276"/>
      <c r="BQ453" s="3276"/>
      <c r="BR453" s="3276"/>
      <c r="BS453" s="3285"/>
      <c r="BT453" s="3285"/>
      <c r="BU453" s="3285"/>
      <c r="BV453" s="3347"/>
      <c r="BW453" s="3347"/>
      <c r="BX453" s="3347"/>
      <c r="BY453" s="3347"/>
      <c r="BZ453" s="3347"/>
      <c r="CA453" s="3347"/>
      <c r="CB453" s="3347"/>
      <c r="CC453" s="3347"/>
      <c r="CD453" s="3347"/>
      <c r="CE453" s="3347"/>
      <c r="CF453" s="3347"/>
      <c r="CG453" s="3347"/>
      <c r="CH453" s="3347"/>
      <c r="CI453" s="3347"/>
      <c r="CJ453" s="3347"/>
      <c r="CK453" s="3347"/>
      <c r="CL453" s="3347"/>
      <c r="CM453" s="3347"/>
      <c r="CN453" s="3347"/>
      <c r="CO453" s="3347"/>
      <c r="CP453" s="3347"/>
      <c r="CQ453" s="3347"/>
      <c r="CR453" s="3347"/>
      <c r="CS453" s="3347"/>
      <c r="CT453" s="3347"/>
      <c r="CU453" s="3347"/>
      <c r="CV453" s="3347"/>
      <c r="CW453" s="3347"/>
      <c r="CX453" s="3347"/>
      <c r="CY453" s="3347"/>
      <c r="CZ453" s="3347"/>
      <c r="DA453" s="3347"/>
      <c r="DB453" s="3347"/>
      <c r="DC453" s="3347"/>
      <c r="DD453" s="3347"/>
      <c r="DE453" s="3347"/>
      <c r="DF453" s="3347"/>
      <c r="DG453" s="3347"/>
      <c r="DH453" s="3347"/>
      <c r="DI453" s="3347"/>
      <c r="DJ453" s="3347"/>
      <c r="DK453" s="3347"/>
      <c r="DL453" s="3347"/>
      <c r="DM453" s="3347"/>
      <c r="DN453" s="3347"/>
      <c r="DO453" s="3347"/>
      <c r="DP453" s="3347"/>
      <c r="DQ453" s="3347"/>
      <c r="DR453" s="3347"/>
      <c r="DS453" s="3347"/>
      <c r="DT453" s="3347"/>
      <c r="DU453" s="3347"/>
      <c r="DV453" s="3347"/>
      <c r="DW453" s="3347"/>
      <c r="DX453" s="3347"/>
      <c r="DY453" s="3347"/>
      <c r="DZ453" s="3347"/>
      <c r="EA453" s="3347"/>
      <c r="EB453" s="3347"/>
      <c r="EC453" s="3347"/>
      <c r="ED453" s="3347"/>
      <c r="EE453" s="3347"/>
      <c r="EF453" s="3347"/>
      <c r="EG453" s="3347"/>
      <c r="EH453" s="3347"/>
      <c r="EI453" s="3347"/>
      <c r="EJ453" s="3347"/>
      <c r="EK453" s="3347"/>
      <c r="EL453" s="3347"/>
      <c r="EM453" s="3347"/>
      <c r="EN453" s="3347"/>
      <c r="EO453" s="3347"/>
      <c r="EP453" s="3347"/>
      <c r="EQ453" s="3347"/>
      <c r="ER453" s="3347"/>
      <c r="ES453" s="3347"/>
      <c r="ET453" s="3347"/>
      <c r="EU453" s="3347"/>
      <c r="EV453" s="3347"/>
      <c r="EW453" s="3347"/>
      <c r="EX453" s="3347"/>
      <c r="EY453" s="3347"/>
      <c r="EZ453" s="3347"/>
      <c r="FA453" s="3347"/>
      <c r="FB453" s="3347"/>
      <c r="FC453" s="3347"/>
      <c r="FD453" s="3347"/>
      <c r="FE453" s="3347"/>
      <c r="FF453" s="3347"/>
      <c r="FG453" s="3347"/>
      <c r="FH453" s="3347"/>
      <c r="FI453" s="3347"/>
      <c r="FJ453" s="3347"/>
      <c r="FK453" s="3347"/>
      <c r="FL453" s="3347"/>
      <c r="FM453" s="3347"/>
      <c r="FN453" s="3347"/>
      <c r="FO453" s="3347"/>
      <c r="FP453" s="3347"/>
      <c r="FQ453" s="3347"/>
      <c r="FR453" s="3347"/>
      <c r="FS453" s="3347"/>
      <c r="FT453" s="3347"/>
      <c r="FU453" s="3347"/>
      <c r="FV453" s="3347"/>
      <c r="FW453" s="3347"/>
      <c r="FX453" s="3347"/>
      <c r="FY453" s="3347"/>
      <c r="FZ453" s="3347"/>
      <c r="GA453" s="3347"/>
      <c r="GB453" s="3347"/>
      <c r="GC453" s="3347"/>
      <c r="GD453" s="3347"/>
      <c r="GE453" s="3347"/>
      <c r="GF453" s="3347"/>
      <c r="GG453" s="3347"/>
      <c r="GH453" s="3347"/>
      <c r="GI453" s="3347"/>
      <c r="GJ453" s="3347"/>
      <c r="GK453" s="3347"/>
      <c r="GL453" s="3347"/>
      <c r="GM453" s="3347"/>
      <c r="GN453" s="3347"/>
      <c r="GO453" s="3347"/>
      <c r="GP453" s="3347"/>
      <c r="GQ453" s="3347"/>
      <c r="GR453" s="3347"/>
      <c r="GS453" s="3347"/>
      <c r="GT453" s="3347"/>
      <c r="GU453" s="3347"/>
      <c r="GV453" s="3347"/>
      <c r="GW453" s="3347"/>
      <c r="GX453" s="3347"/>
      <c r="GY453" s="3347"/>
      <c r="GZ453" s="3347"/>
      <c r="HA453" s="3347"/>
      <c r="HB453" s="3347"/>
      <c r="HC453" s="3347"/>
      <c r="HD453" s="3347"/>
      <c r="HE453" s="3347"/>
      <c r="HF453" s="3347"/>
      <c r="HG453" s="3347"/>
      <c r="HH453" s="3347"/>
      <c r="HI453" s="3347"/>
      <c r="HJ453" s="3347"/>
      <c r="HK453" s="3347"/>
      <c r="HL453" s="3347"/>
      <c r="HM453" s="3347"/>
      <c r="HN453" s="3347"/>
      <c r="HO453" s="3347"/>
      <c r="HP453" s="3347"/>
      <c r="HQ453" s="3347"/>
      <c r="HR453" s="3347"/>
      <c r="HS453" s="3347"/>
      <c r="HT453" s="3347"/>
      <c r="HU453" s="3347"/>
      <c r="HV453" s="3347"/>
      <c r="HW453" s="3347"/>
      <c r="HX453" s="3347"/>
      <c r="HY453" s="3347"/>
      <c r="HZ453" s="3347"/>
      <c r="IA453" s="3347"/>
      <c r="IB453" s="3347"/>
      <c r="IC453" s="3347"/>
      <c r="ID453" s="3347"/>
      <c r="IE453" s="3347"/>
      <c r="IF453" s="3347"/>
      <c r="IG453" s="3347"/>
      <c r="IH453" s="3347"/>
      <c r="II453" s="3347"/>
    </row>
    <row r="454" spans="1:243" hidden="1">
      <c r="A454" s="3268" t="s">
        <v>6387</v>
      </c>
      <c r="B454" s="3268" t="s">
        <v>6388</v>
      </c>
      <c r="C454" s="3269" t="s">
        <v>6389</v>
      </c>
      <c r="D454" s="3268">
        <v>13910127271</v>
      </c>
      <c r="E454" s="3268" t="s">
        <v>2985</v>
      </c>
      <c r="F454" s="3268" t="s">
        <v>4129</v>
      </c>
      <c r="G454" s="3268"/>
      <c r="H454" s="3268" t="s">
        <v>3124</v>
      </c>
      <c r="I454" s="3268" t="s">
        <v>3586</v>
      </c>
      <c r="J454" s="3268">
        <v>102</v>
      </c>
      <c r="K454" s="3268" t="s">
        <v>6388</v>
      </c>
      <c r="L454" s="3270">
        <v>68.44</v>
      </c>
      <c r="M454" s="3270">
        <v>1</v>
      </c>
      <c r="N454" s="3268" t="s">
        <v>3122</v>
      </c>
      <c r="O454" s="3270" t="s">
        <v>2968</v>
      </c>
      <c r="P454" s="3268" t="s">
        <v>2963</v>
      </c>
      <c r="Q454" s="3271">
        <v>345000</v>
      </c>
      <c r="R454" s="3267">
        <v>5041</v>
      </c>
      <c r="S454" s="3272">
        <v>30.86</v>
      </c>
      <c r="T454" s="3273">
        <v>308600</v>
      </c>
      <c r="U454" s="3267">
        <v>4510</v>
      </c>
      <c r="V454" s="3289">
        <v>0.2</v>
      </c>
      <c r="W454" s="3272">
        <v>24.68</v>
      </c>
      <c r="X454" s="3275">
        <v>246800</v>
      </c>
      <c r="Y454" s="3276">
        <v>2006</v>
      </c>
      <c r="Z454" s="3276">
        <v>5</v>
      </c>
      <c r="AA454" s="3276">
        <v>23</v>
      </c>
      <c r="AB454" s="3267">
        <v>925</v>
      </c>
      <c r="AC454" s="3267" t="s">
        <v>2980</v>
      </c>
      <c r="AD454" s="3268"/>
      <c r="AE454" s="3268" t="s">
        <v>3180</v>
      </c>
      <c r="AF454" s="3268" t="s">
        <v>2966</v>
      </c>
      <c r="AG454" s="3268" t="s">
        <v>2967</v>
      </c>
      <c r="AH454" s="3268" t="s">
        <v>2968</v>
      </c>
      <c r="AI454" s="3279" t="s">
        <v>2992</v>
      </c>
      <c r="AJ454" s="3290" t="s">
        <v>2968</v>
      </c>
      <c r="AK454" s="3278">
        <v>5</v>
      </c>
      <c r="AL454" s="3276">
        <v>67641700</v>
      </c>
      <c r="AM454" s="3276"/>
      <c r="AN454" s="3279" t="s">
        <v>3114</v>
      </c>
      <c r="AO454" s="3276"/>
      <c r="AP454" s="3276" t="s">
        <v>6390</v>
      </c>
      <c r="AQ454" s="3267" t="s">
        <v>3228</v>
      </c>
      <c r="AR454" s="3267"/>
      <c r="AS454" s="3267"/>
      <c r="AT454" s="3267"/>
      <c r="AU454" s="3267"/>
      <c r="AV454" s="3277"/>
      <c r="AW454" s="3267" t="s">
        <v>3119</v>
      </c>
      <c r="AX454" s="3268"/>
      <c r="AY454" s="3268"/>
      <c r="AZ454" s="3268" t="s">
        <v>6391</v>
      </c>
      <c r="BA454" s="3268"/>
      <c r="BB454" s="3280"/>
      <c r="BC454" s="3268"/>
      <c r="BD454" s="3268"/>
      <c r="BE454" s="3268">
        <v>13522260125</v>
      </c>
      <c r="BF454" s="3281"/>
      <c r="BG454" s="3307">
        <v>38825</v>
      </c>
      <c r="BH454" s="3268"/>
      <c r="BI454" s="3267" t="s">
        <v>3537</v>
      </c>
      <c r="BJ454" s="3299">
        <v>38831</v>
      </c>
      <c r="BK454" s="3284"/>
      <c r="BL454" s="3267" t="s">
        <v>2998</v>
      </c>
      <c r="BM454" s="3276" t="s">
        <v>2879</v>
      </c>
      <c r="BN454" s="3276" t="s">
        <v>3111</v>
      </c>
      <c r="BO454" s="3276" t="s">
        <v>3146</v>
      </c>
      <c r="BP454" s="3276"/>
      <c r="BQ454" s="3276" t="e">
        <v>#VALUE!</v>
      </c>
      <c r="BR454" s="3276" t="e">
        <v>#VALUE!</v>
      </c>
      <c r="BS454" s="3285"/>
      <c r="BT454" s="3285"/>
      <c r="BU454" s="3285"/>
      <c r="BV454" s="3347"/>
      <c r="BW454" s="3347"/>
      <c r="BX454" s="3347"/>
      <c r="BY454" s="3347"/>
      <c r="BZ454" s="3347"/>
      <c r="CA454" s="3347"/>
      <c r="CB454" s="3347"/>
      <c r="CC454" s="3347"/>
      <c r="CD454" s="3347"/>
      <c r="CE454" s="3347"/>
      <c r="CF454" s="3347"/>
      <c r="CG454" s="3347"/>
      <c r="CH454" s="3347"/>
      <c r="CI454" s="3347"/>
      <c r="CJ454" s="3347"/>
      <c r="CK454" s="3347"/>
      <c r="CL454" s="3347"/>
      <c r="CM454" s="3347"/>
      <c r="CN454" s="3347"/>
      <c r="CO454" s="3347"/>
      <c r="CP454" s="3347"/>
      <c r="CQ454" s="3347"/>
      <c r="CR454" s="3347"/>
      <c r="CS454" s="3347"/>
      <c r="CT454" s="3347"/>
      <c r="CU454" s="3347"/>
      <c r="CV454" s="3347"/>
      <c r="CW454" s="3347"/>
      <c r="CX454" s="3347"/>
      <c r="CY454" s="3347"/>
      <c r="CZ454" s="3347"/>
      <c r="DA454" s="3347"/>
      <c r="DB454" s="3347"/>
      <c r="DC454" s="3347"/>
      <c r="DD454" s="3347"/>
      <c r="DE454" s="3347"/>
      <c r="DF454" s="3347"/>
      <c r="DG454" s="3347"/>
      <c r="DH454" s="3347"/>
      <c r="DI454" s="3347"/>
      <c r="DJ454" s="3347"/>
      <c r="DK454" s="3347"/>
      <c r="DL454" s="3347"/>
      <c r="DM454" s="3347"/>
      <c r="DN454" s="3347"/>
      <c r="DO454" s="3347"/>
      <c r="DP454" s="3347"/>
      <c r="DQ454" s="3347"/>
      <c r="DR454" s="3347"/>
      <c r="DS454" s="3347"/>
      <c r="DT454" s="3347"/>
      <c r="DU454" s="3347"/>
      <c r="DV454" s="3347"/>
      <c r="DW454" s="3347"/>
      <c r="DX454" s="3347"/>
      <c r="DY454" s="3347"/>
      <c r="DZ454" s="3347"/>
      <c r="EA454" s="3347"/>
      <c r="EB454" s="3347"/>
      <c r="EC454" s="3347"/>
      <c r="ED454" s="3347"/>
      <c r="EE454" s="3347"/>
      <c r="EF454" s="3347"/>
      <c r="EG454" s="3347"/>
      <c r="EH454" s="3347"/>
      <c r="EI454" s="3347"/>
      <c r="EJ454" s="3347"/>
      <c r="EK454" s="3347"/>
      <c r="EL454" s="3347"/>
      <c r="EM454" s="3347"/>
      <c r="EN454" s="3347"/>
      <c r="EO454" s="3347"/>
      <c r="EP454" s="3347"/>
      <c r="EQ454" s="3347"/>
      <c r="ER454" s="3347"/>
      <c r="ES454" s="3347"/>
      <c r="ET454" s="3347"/>
      <c r="EU454" s="3347"/>
      <c r="EV454" s="3347"/>
      <c r="EW454" s="3347"/>
      <c r="EX454" s="3347"/>
      <c r="EY454" s="3347"/>
      <c r="EZ454" s="3347"/>
      <c r="FA454" s="3347"/>
      <c r="FB454" s="3347"/>
      <c r="FC454" s="3347"/>
      <c r="FD454" s="3347"/>
      <c r="FE454" s="3347"/>
      <c r="FF454" s="3347"/>
      <c r="FG454" s="3347"/>
      <c r="FH454" s="3347"/>
      <c r="FI454" s="3347"/>
      <c r="FJ454" s="3347"/>
      <c r="FK454" s="3347"/>
      <c r="FL454" s="3347"/>
      <c r="FM454" s="3347"/>
      <c r="FN454" s="3347"/>
      <c r="FO454" s="3347"/>
      <c r="FP454" s="3347"/>
      <c r="FQ454" s="3347"/>
      <c r="FR454" s="3347"/>
      <c r="FS454" s="3347"/>
      <c r="FT454" s="3347"/>
      <c r="FU454" s="3347"/>
      <c r="FV454" s="3347"/>
      <c r="FW454" s="3347"/>
      <c r="FX454" s="3347"/>
      <c r="FY454" s="3347"/>
      <c r="FZ454" s="3347"/>
      <c r="GA454" s="3347"/>
      <c r="GB454" s="3347"/>
      <c r="GC454" s="3347"/>
      <c r="GD454" s="3347"/>
      <c r="GE454" s="3347"/>
      <c r="GF454" s="3347"/>
      <c r="GG454" s="3347"/>
      <c r="GH454" s="3347"/>
      <c r="GI454" s="3347"/>
      <c r="GJ454" s="3347"/>
      <c r="GK454" s="3347"/>
      <c r="GL454" s="3347"/>
      <c r="GM454" s="3347"/>
      <c r="GN454" s="3347"/>
      <c r="GO454" s="3347"/>
      <c r="GP454" s="3347"/>
      <c r="GQ454" s="3347"/>
      <c r="GR454" s="3347"/>
      <c r="GS454" s="3347"/>
      <c r="GT454" s="3347"/>
      <c r="GU454" s="3347"/>
      <c r="GV454" s="3347"/>
      <c r="GW454" s="3347"/>
      <c r="GX454" s="3347"/>
      <c r="GY454" s="3347"/>
      <c r="GZ454" s="3347"/>
      <c r="HA454" s="3347"/>
      <c r="HB454" s="3347"/>
      <c r="HC454" s="3347"/>
      <c r="HD454" s="3347"/>
      <c r="HE454" s="3347"/>
      <c r="HF454" s="3347"/>
      <c r="HG454" s="3347"/>
      <c r="HH454" s="3347"/>
      <c r="HI454" s="3347"/>
      <c r="HJ454" s="3347"/>
      <c r="HK454" s="3347"/>
      <c r="HL454" s="3347"/>
      <c r="HM454" s="3347"/>
      <c r="HN454" s="3347"/>
      <c r="HO454" s="3347"/>
      <c r="HP454" s="3347"/>
      <c r="HQ454" s="3347"/>
      <c r="HR454" s="3347"/>
      <c r="HS454" s="3347"/>
      <c r="HT454" s="3347"/>
      <c r="HU454" s="3347"/>
      <c r="HV454" s="3347"/>
      <c r="HW454" s="3347"/>
      <c r="HX454" s="3347"/>
      <c r="HY454" s="3347"/>
      <c r="HZ454" s="3347"/>
      <c r="IA454" s="3347"/>
      <c r="IB454" s="3347"/>
      <c r="IC454" s="3347"/>
      <c r="ID454" s="3347"/>
      <c r="IE454" s="3347"/>
      <c r="IF454" s="3347"/>
      <c r="IG454" s="3347"/>
      <c r="IH454" s="3347"/>
      <c r="II454" s="3347"/>
    </row>
    <row r="455" spans="1:243" hidden="1">
      <c r="A455" s="3267" t="s">
        <v>6392</v>
      </c>
      <c r="B455" s="3267" t="s">
        <v>6393</v>
      </c>
      <c r="C455" s="3269" t="s">
        <v>6394</v>
      </c>
      <c r="D455" s="3268" t="s">
        <v>6395</v>
      </c>
      <c r="E455" s="3267" t="s">
        <v>2985</v>
      </c>
      <c r="F455" s="3308" t="s">
        <v>6396</v>
      </c>
      <c r="G455" s="3267"/>
      <c r="H455" s="3267" t="s">
        <v>3150</v>
      </c>
      <c r="I455" s="3267"/>
      <c r="J455" s="3267">
        <v>1309</v>
      </c>
      <c r="K455" s="3268" t="s">
        <v>6397</v>
      </c>
      <c r="L455" s="3286">
        <v>63.33</v>
      </c>
      <c r="M455" s="3270">
        <v>13</v>
      </c>
      <c r="N455" s="3267" t="s">
        <v>3122</v>
      </c>
      <c r="O455" s="3267"/>
      <c r="P455" s="3267" t="s">
        <v>2963</v>
      </c>
      <c r="Q455" s="3287">
        <v>460000</v>
      </c>
      <c r="R455" s="3267">
        <v>7264</v>
      </c>
      <c r="S455" s="3286">
        <v>39.33</v>
      </c>
      <c r="T455" s="3273">
        <v>393300</v>
      </c>
      <c r="U455" s="3267">
        <v>6211</v>
      </c>
      <c r="V455" s="3289">
        <v>0.2</v>
      </c>
      <c r="W455" s="3272">
        <v>31.46</v>
      </c>
      <c r="X455" s="3275">
        <v>314600</v>
      </c>
      <c r="Y455" s="3276">
        <v>2006</v>
      </c>
      <c r="Z455" s="3276">
        <v>5</v>
      </c>
      <c r="AA455" s="3276">
        <v>18</v>
      </c>
      <c r="AB455" s="3267">
        <v>1175</v>
      </c>
      <c r="AC455" s="3267" t="s">
        <v>2980</v>
      </c>
      <c r="AD455" s="3267"/>
      <c r="AE455" s="3276" t="s">
        <v>3304</v>
      </c>
      <c r="AF455" s="3267" t="s">
        <v>2966</v>
      </c>
      <c r="AG455" s="3279" t="s">
        <v>2967</v>
      </c>
      <c r="AH455" s="3267"/>
      <c r="AI455" s="3267" t="s">
        <v>3295</v>
      </c>
      <c r="AJ455" s="3290"/>
      <c r="AK455" s="3278">
        <v>5</v>
      </c>
      <c r="AL455" s="3276">
        <v>67641700</v>
      </c>
      <c r="AM455" s="3276"/>
      <c r="AN455" s="3279" t="s">
        <v>3140</v>
      </c>
      <c r="AO455" s="3267" t="s">
        <v>2968</v>
      </c>
      <c r="AP455" s="3267" t="s">
        <v>3305</v>
      </c>
      <c r="AQ455" s="3267" t="s">
        <v>3228</v>
      </c>
      <c r="AR455" s="3276"/>
      <c r="AS455" s="3276"/>
      <c r="AT455" s="3276"/>
      <c r="AU455" s="3276"/>
      <c r="AV455" s="3276"/>
      <c r="AW455" s="3267" t="s">
        <v>3119</v>
      </c>
      <c r="AX455" s="3276"/>
      <c r="AY455" s="3291"/>
      <c r="AZ455" s="3276" t="s">
        <v>6397</v>
      </c>
      <c r="BA455" s="3276"/>
      <c r="BB455" s="3291"/>
      <c r="BC455" s="3276"/>
      <c r="BD455" s="3292"/>
      <c r="BE455" s="3276"/>
      <c r="BF455" s="3281"/>
      <c r="BG455" s="3293">
        <v>38825</v>
      </c>
      <c r="BH455" s="3267" t="s">
        <v>2998</v>
      </c>
      <c r="BI455" s="3314" t="s">
        <v>4230</v>
      </c>
      <c r="BJ455" s="3299">
        <v>38835</v>
      </c>
      <c r="BK455" s="3283"/>
      <c r="BL455" s="3276" t="s">
        <v>2998</v>
      </c>
      <c r="BM455" s="3276" t="s">
        <v>3345</v>
      </c>
      <c r="BN455" s="3267" t="s">
        <v>2999</v>
      </c>
      <c r="BO455" s="3276" t="s">
        <v>3146</v>
      </c>
      <c r="BP455" s="3276"/>
      <c r="BQ455" s="3276" t="e">
        <v>#DIV/0!</v>
      </c>
      <c r="BR455" s="3276" t="e">
        <v>#DIV/0!</v>
      </c>
      <c r="BS455" s="3285"/>
      <c r="BT455" s="3285"/>
      <c r="BU455" s="3285"/>
      <c r="BV455" s="3347"/>
      <c r="BW455" s="3347"/>
      <c r="BX455" s="3347"/>
      <c r="BY455" s="3347"/>
      <c r="BZ455" s="3347"/>
      <c r="CA455" s="3347"/>
      <c r="CB455" s="3347"/>
      <c r="CC455" s="3347"/>
      <c r="CD455" s="3347"/>
      <c r="CE455" s="3347"/>
      <c r="CF455" s="3347"/>
      <c r="CG455" s="3347"/>
      <c r="CH455" s="3347"/>
      <c r="CI455" s="3347"/>
      <c r="CJ455" s="3347"/>
      <c r="CK455" s="3347"/>
      <c r="CL455" s="3347"/>
      <c r="CM455" s="3347"/>
      <c r="CN455" s="3347"/>
      <c r="CO455" s="3347"/>
      <c r="CP455" s="3347"/>
      <c r="CQ455" s="3347"/>
      <c r="CR455" s="3347"/>
      <c r="CS455" s="3347"/>
      <c r="CT455" s="3347"/>
      <c r="CU455" s="3347"/>
      <c r="CV455" s="3347"/>
      <c r="CW455" s="3347"/>
      <c r="CX455" s="3347"/>
      <c r="CY455" s="3347"/>
      <c r="CZ455" s="3347"/>
      <c r="DA455" s="3347"/>
      <c r="DB455" s="3347"/>
      <c r="DC455" s="3347"/>
      <c r="DD455" s="3347"/>
      <c r="DE455" s="3347"/>
      <c r="DF455" s="3347"/>
      <c r="DG455" s="3347"/>
      <c r="DH455" s="3347"/>
      <c r="DI455" s="3347"/>
      <c r="DJ455" s="3347"/>
      <c r="DK455" s="3347"/>
      <c r="DL455" s="3347"/>
      <c r="DM455" s="3347"/>
      <c r="DN455" s="3347"/>
      <c r="DO455" s="3347"/>
      <c r="DP455" s="3347"/>
      <c r="DQ455" s="3347"/>
      <c r="DR455" s="3347"/>
      <c r="DS455" s="3347"/>
      <c r="DT455" s="3347"/>
      <c r="DU455" s="3347"/>
      <c r="DV455" s="3347"/>
      <c r="DW455" s="3347"/>
      <c r="DX455" s="3347"/>
      <c r="DY455" s="3347"/>
      <c r="DZ455" s="3347"/>
      <c r="EA455" s="3347"/>
      <c r="EB455" s="3347"/>
      <c r="EC455" s="3347"/>
      <c r="ED455" s="3347"/>
      <c r="EE455" s="3347"/>
      <c r="EF455" s="3347"/>
      <c r="EG455" s="3347"/>
      <c r="EH455" s="3347"/>
      <c r="EI455" s="3347"/>
      <c r="EJ455" s="3347"/>
      <c r="EK455" s="3347"/>
      <c r="EL455" s="3347"/>
      <c r="EM455" s="3347"/>
      <c r="EN455" s="3347"/>
      <c r="EO455" s="3347"/>
      <c r="EP455" s="3347"/>
      <c r="EQ455" s="3347"/>
      <c r="ER455" s="3347"/>
      <c r="ES455" s="3347"/>
      <c r="ET455" s="3347"/>
      <c r="EU455" s="3347"/>
      <c r="EV455" s="3347"/>
      <c r="EW455" s="3347"/>
      <c r="EX455" s="3347"/>
      <c r="EY455" s="3347"/>
      <c r="EZ455" s="3347"/>
      <c r="FA455" s="3347"/>
      <c r="FB455" s="3347"/>
      <c r="FC455" s="3347"/>
      <c r="FD455" s="3347"/>
      <c r="FE455" s="3347"/>
      <c r="FF455" s="3347"/>
      <c r="FG455" s="3347"/>
      <c r="FH455" s="3347"/>
      <c r="FI455" s="3347"/>
      <c r="FJ455" s="3347"/>
      <c r="FK455" s="3347"/>
      <c r="FL455" s="3347"/>
      <c r="FM455" s="3347"/>
      <c r="FN455" s="3347"/>
      <c r="FO455" s="3347"/>
      <c r="FP455" s="3347"/>
      <c r="FQ455" s="3347"/>
      <c r="FR455" s="3347"/>
      <c r="FS455" s="3347"/>
      <c r="FT455" s="3347"/>
      <c r="FU455" s="3347"/>
      <c r="FV455" s="3347"/>
      <c r="FW455" s="3347"/>
      <c r="FX455" s="3347"/>
      <c r="FY455" s="3347"/>
      <c r="FZ455" s="3347"/>
      <c r="GA455" s="3347"/>
      <c r="GB455" s="3347"/>
      <c r="GC455" s="3347"/>
      <c r="GD455" s="3347"/>
      <c r="GE455" s="3347"/>
      <c r="GF455" s="3347"/>
      <c r="GG455" s="3347"/>
      <c r="GH455" s="3347"/>
      <c r="GI455" s="3347"/>
      <c r="GJ455" s="3347"/>
      <c r="GK455" s="3347"/>
      <c r="GL455" s="3347"/>
      <c r="GM455" s="3347"/>
      <c r="GN455" s="3347"/>
      <c r="GO455" s="3347"/>
      <c r="GP455" s="3347"/>
      <c r="GQ455" s="3347"/>
      <c r="GR455" s="3347"/>
      <c r="GS455" s="3347"/>
      <c r="GT455" s="3347"/>
      <c r="GU455" s="3347"/>
      <c r="GV455" s="3347"/>
      <c r="GW455" s="3347"/>
      <c r="GX455" s="3347"/>
      <c r="GY455" s="3347"/>
      <c r="GZ455" s="3347"/>
      <c r="HA455" s="3347"/>
      <c r="HB455" s="3347"/>
      <c r="HC455" s="3347"/>
      <c r="HD455" s="3347"/>
      <c r="HE455" s="3347"/>
      <c r="HF455" s="3347"/>
      <c r="HG455" s="3347"/>
      <c r="HH455" s="3347"/>
      <c r="HI455" s="3347"/>
      <c r="HJ455" s="3347"/>
      <c r="HK455" s="3347"/>
      <c r="HL455" s="3347"/>
      <c r="HM455" s="3347"/>
      <c r="HN455" s="3347"/>
      <c r="HO455" s="3347"/>
      <c r="HP455" s="3347"/>
      <c r="HQ455" s="3347"/>
      <c r="HR455" s="3347"/>
      <c r="HS455" s="3347"/>
      <c r="HT455" s="3347"/>
      <c r="HU455" s="3347"/>
      <c r="HV455" s="3347"/>
      <c r="HW455" s="3347"/>
      <c r="HX455" s="3347"/>
      <c r="HY455" s="3347"/>
      <c r="HZ455" s="3347"/>
      <c r="IA455" s="3347"/>
      <c r="IB455" s="3347"/>
      <c r="IC455" s="3347"/>
      <c r="ID455" s="3347"/>
      <c r="IE455" s="3347"/>
      <c r="IF455" s="3347"/>
      <c r="IG455" s="3347"/>
      <c r="IH455" s="3347"/>
      <c r="II455" s="3347"/>
    </row>
    <row r="456" spans="1:243" hidden="1">
      <c r="A456" s="3268" t="s">
        <v>6398</v>
      </c>
      <c r="B456" s="3267" t="s">
        <v>6399</v>
      </c>
      <c r="C456" s="3269" t="s">
        <v>6400</v>
      </c>
      <c r="D456" s="3269" t="s">
        <v>6401</v>
      </c>
      <c r="E456" s="3267" t="s">
        <v>2985</v>
      </c>
      <c r="F456" s="3244" t="s">
        <v>3741</v>
      </c>
      <c r="G456" s="3267"/>
      <c r="H456" s="3267" t="s">
        <v>3244</v>
      </c>
      <c r="I456" s="3267"/>
      <c r="J456" s="3269" t="s">
        <v>5168</v>
      </c>
      <c r="K456" s="3267" t="s">
        <v>6402</v>
      </c>
      <c r="L456" s="3267">
        <v>80.599999999999994</v>
      </c>
      <c r="M456" s="3267">
        <v>5</v>
      </c>
      <c r="N456" s="3267" t="s">
        <v>3125</v>
      </c>
      <c r="O456" s="3267"/>
      <c r="P456" s="3267" t="s">
        <v>2963</v>
      </c>
      <c r="Q456" s="3271">
        <v>580000</v>
      </c>
      <c r="R456" s="3267">
        <v>7196</v>
      </c>
      <c r="S456" s="3272">
        <v>55.4</v>
      </c>
      <c r="T456" s="3275" t="s">
        <v>6403</v>
      </c>
      <c r="U456" s="3267">
        <v>6874</v>
      </c>
      <c r="V456" s="3289">
        <v>0.2</v>
      </c>
      <c r="W456" s="3272">
        <v>44.32</v>
      </c>
      <c r="X456" s="3275">
        <v>443200</v>
      </c>
      <c r="Y456" s="3276">
        <v>2006</v>
      </c>
      <c r="Z456" s="3276">
        <v>5</v>
      </c>
      <c r="AA456" s="3276">
        <v>17</v>
      </c>
      <c r="AB456" s="3267">
        <v>1500</v>
      </c>
      <c r="AC456" s="3267" t="s">
        <v>2980</v>
      </c>
      <c r="AD456" s="3267"/>
      <c r="AE456" s="3267" t="s">
        <v>3238</v>
      </c>
      <c r="AF456" s="3267" t="s">
        <v>2966</v>
      </c>
      <c r="AG456" s="3279" t="s">
        <v>2967</v>
      </c>
      <c r="AH456" s="3267"/>
      <c r="AI456" s="3267" t="s">
        <v>2992</v>
      </c>
      <c r="AJ456" s="3284"/>
      <c r="AK456" s="3278">
        <v>5</v>
      </c>
      <c r="AL456" s="3267">
        <v>67641700</v>
      </c>
      <c r="AM456" s="3276"/>
      <c r="AN456" s="3279" t="s">
        <v>3140</v>
      </c>
      <c r="AO456" s="3276"/>
      <c r="AP456" s="3267" t="s">
        <v>4395</v>
      </c>
      <c r="AQ456" s="3267" t="s">
        <v>3228</v>
      </c>
      <c r="AR456" s="3276"/>
      <c r="AS456" s="3276"/>
      <c r="AT456" s="3276"/>
      <c r="AU456" s="3276"/>
      <c r="AV456" s="3276"/>
      <c r="AW456" s="3276" t="s">
        <v>3171</v>
      </c>
      <c r="AX456" s="3276"/>
      <c r="AY456" s="3291"/>
      <c r="AZ456" s="3276" t="s">
        <v>6402</v>
      </c>
      <c r="BA456" s="3276"/>
      <c r="BB456" s="3291"/>
      <c r="BC456" s="3276"/>
      <c r="BD456" s="3292"/>
      <c r="BE456" s="3276">
        <v>64610913</v>
      </c>
      <c r="BF456" s="3281"/>
      <c r="BG456" s="3299">
        <v>38820</v>
      </c>
      <c r="BH456" s="3276"/>
      <c r="BI456" s="3314" t="s">
        <v>3238</v>
      </c>
      <c r="BJ456" s="3283">
        <v>38834</v>
      </c>
      <c r="BK456" s="3283"/>
      <c r="BL456" s="3267" t="s">
        <v>2998</v>
      </c>
      <c r="BM456" s="3276" t="s">
        <v>2879</v>
      </c>
      <c r="BN456" s="3276" t="s">
        <v>2999</v>
      </c>
      <c r="BO456" s="3276" t="s">
        <v>3446</v>
      </c>
      <c r="BP456" s="3276"/>
      <c r="BQ456" s="3276"/>
      <c r="BR456" s="3276"/>
      <c r="BS456" s="3285"/>
      <c r="BT456" s="3285"/>
      <c r="BU456" s="3285"/>
      <c r="BV456" s="3347"/>
      <c r="BW456" s="3347"/>
      <c r="BX456" s="3347"/>
      <c r="BY456" s="3347"/>
      <c r="BZ456" s="3347"/>
      <c r="CA456" s="3347"/>
      <c r="CB456" s="3347"/>
      <c r="CC456" s="3347"/>
      <c r="CD456" s="3347"/>
      <c r="CE456" s="3347"/>
      <c r="CF456" s="3347"/>
      <c r="CG456" s="3347"/>
      <c r="CH456" s="3347"/>
      <c r="CI456" s="3347"/>
      <c r="CJ456" s="3347"/>
      <c r="CK456" s="3347"/>
      <c r="CL456" s="3347"/>
      <c r="CM456" s="3347"/>
      <c r="CN456" s="3347"/>
      <c r="CO456" s="3347"/>
      <c r="CP456" s="3347"/>
      <c r="CQ456" s="3347"/>
      <c r="CR456" s="3347"/>
      <c r="CS456" s="3347"/>
      <c r="CT456" s="3347"/>
      <c r="CU456" s="3347"/>
      <c r="CV456" s="3347"/>
      <c r="CW456" s="3347"/>
      <c r="CX456" s="3347"/>
      <c r="CY456" s="3347"/>
      <c r="CZ456" s="3347"/>
      <c r="DA456" s="3347"/>
      <c r="DB456" s="3347"/>
      <c r="DC456" s="3347"/>
      <c r="DD456" s="3347"/>
      <c r="DE456" s="3347"/>
      <c r="DF456" s="3347"/>
      <c r="DG456" s="3347"/>
      <c r="DH456" s="3347"/>
      <c r="DI456" s="3347"/>
      <c r="DJ456" s="3347"/>
      <c r="DK456" s="3347"/>
      <c r="DL456" s="3347"/>
      <c r="DM456" s="3347"/>
      <c r="DN456" s="3347"/>
      <c r="DO456" s="3347"/>
      <c r="DP456" s="3347"/>
      <c r="DQ456" s="3347"/>
      <c r="DR456" s="3347"/>
      <c r="DS456" s="3347"/>
      <c r="DT456" s="3347"/>
      <c r="DU456" s="3347"/>
      <c r="DV456" s="3347"/>
      <c r="DW456" s="3347"/>
      <c r="DX456" s="3347"/>
      <c r="DY456" s="3347"/>
      <c r="DZ456" s="3347"/>
      <c r="EA456" s="3347"/>
      <c r="EB456" s="3347"/>
      <c r="EC456" s="3347"/>
      <c r="ED456" s="3347"/>
      <c r="EE456" s="3347"/>
      <c r="EF456" s="3347"/>
      <c r="EG456" s="3347"/>
      <c r="EH456" s="3347"/>
      <c r="EI456" s="3347"/>
      <c r="EJ456" s="3347"/>
      <c r="EK456" s="3347"/>
      <c r="EL456" s="3347"/>
      <c r="EM456" s="3347"/>
      <c r="EN456" s="3347"/>
      <c r="EO456" s="3347"/>
      <c r="EP456" s="3347"/>
      <c r="EQ456" s="3347"/>
      <c r="ER456" s="3347"/>
      <c r="ES456" s="3347"/>
      <c r="ET456" s="3347"/>
      <c r="EU456" s="3347"/>
      <c r="EV456" s="3347"/>
      <c r="EW456" s="3347"/>
      <c r="EX456" s="3347"/>
      <c r="EY456" s="3347"/>
      <c r="EZ456" s="3347"/>
      <c r="FA456" s="3347"/>
      <c r="FB456" s="3347"/>
      <c r="FC456" s="3347"/>
      <c r="FD456" s="3347"/>
      <c r="FE456" s="3347"/>
      <c r="FF456" s="3347"/>
      <c r="FG456" s="3347"/>
      <c r="FH456" s="3347"/>
      <c r="FI456" s="3347"/>
      <c r="FJ456" s="3347"/>
      <c r="FK456" s="3347"/>
      <c r="FL456" s="3347"/>
      <c r="FM456" s="3347"/>
      <c r="FN456" s="3347"/>
      <c r="FO456" s="3347"/>
      <c r="FP456" s="3347"/>
      <c r="FQ456" s="3347"/>
      <c r="FR456" s="3347"/>
      <c r="FS456" s="3347"/>
      <c r="FT456" s="3347"/>
      <c r="FU456" s="3347"/>
      <c r="FV456" s="3347"/>
      <c r="FW456" s="3347"/>
      <c r="FX456" s="3347"/>
      <c r="FY456" s="3347"/>
      <c r="FZ456" s="3347"/>
      <c r="GA456" s="3347"/>
      <c r="GB456" s="3347"/>
      <c r="GC456" s="3347"/>
      <c r="GD456" s="3347"/>
      <c r="GE456" s="3347"/>
      <c r="GF456" s="3347"/>
      <c r="GG456" s="3347"/>
      <c r="GH456" s="3347"/>
      <c r="GI456" s="3347"/>
      <c r="GJ456" s="3347"/>
      <c r="GK456" s="3347"/>
      <c r="GL456" s="3347"/>
      <c r="GM456" s="3347"/>
      <c r="GN456" s="3347"/>
      <c r="GO456" s="3347"/>
      <c r="GP456" s="3347"/>
      <c r="GQ456" s="3347"/>
      <c r="GR456" s="3347"/>
      <c r="GS456" s="3347"/>
      <c r="GT456" s="3347"/>
      <c r="GU456" s="3347"/>
      <c r="GV456" s="3347"/>
      <c r="GW456" s="3347"/>
      <c r="GX456" s="3347"/>
      <c r="GY456" s="3347"/>
      <c r="GZ456" s="3347"/>
      <c r="HA456" s="3347"/>
      <c r="HB456" s="3347"/>
      <c r="HC456" s="3347"/>
      <c r="HD456" s="3347"/>
      <c r="HE456" s="3347"/>
      <c r="HF456" s="3347"/>
      <c r="HG456" s="3347"/>
      <c r="HH456" s="3347"/>
      <c r="HI456" s="3347"/>
      <c r="HJ456" s="3347"/>
      <c r="HK456" s="3347"/>
      <c r="HL456" s="3347"/>
      <c r="HM456" s="3347"/>
      <c r="HN456" s="3347"/>
      <c r="HO456" s="3347"/>
      <c r="HP456" s="3347"/>
      <c r="HQ456" s="3347"/>
      <c r="HR456" s="3347"/>
      <c r="HS456" s="3347"/>
      <c r="HT456" s="3347"/>
      <c r="HU456" s="3347"/>
      <c r="HV456" s="3347"/>
      <c r="HW456" s="3347"/>
      <c r="HX456" s="3347"/>
      <c r="HY456" s="3347"/>
      <c r="HZ456" s="3347"/>
      <c r="IA456" s="3347"/>
      <c r="IB456" s="3347"/>
      <c r="IC456" s="3347"/>
      <c r="ID456" s="3347"/>
      <c r="IE456" s="3347"/>
      <c r="IF456" s="3347"/>
      <c r="IG456" s="3347"/>
      <c r="IH456" s="3347"/>
      <c r="II456" s="3347"/>
    </row>
    <row r="457" spans="1:243" ht="14.25" hidden="1">
      <c r="A457" s="3267" t="s">
        <v>6404</v>
      </c>
      <c r="B457" s="3268" t="s">
        <v>6405</v>
      </c>
      <c r="C457" s="3269" t="s">
        <v>6406</v>
      </c>
      <c r="D457" s="3268">
        <v>13501208057</v>
      </c>
      <c r="E457" s="3267" t="s">
        <v>2985</v>
      </c>
      <c r="F457" s="3268" t="s">
        <v>6407</v>
      </c>
      <c r="G457" s="3268"/>
      <c r="H457" s="3268" t="s">
        <v>3182</v>
      </c>
      <c r="I457" s="3268" t="s">
        <v>3191</v>
      </c>
      <c r="J457" s="3268" t="s">
        <v>6408</v>
      </c>
      <c r="K457" s="3268" t="s">
        <v>6409</v>
      </c>
      <c r="L457" s="3270">
        <v>85.46</v>
      </c>
      <c r="M457" s="3270">
        <v>6</v>
      </c>
      <c r="N457" s="3268" t="s">
        <v>3125</v>
      </c>
      <c r="O457" s="3270"/>
      <c r="P457" s="3267" t="s">
        <v>2963</v>
      </c>
      <c r="Q457" s="3271">
        <v>550000</v>
      </c>
      <c r="R457" s="3267">
        <v>6436</v>
      </c>
      <c r="S457" s="3272">
        <v>45.72</v>
      </c>
      <c r="T457" s="3273">
        <v>457200</v>
      </c>
      <c r="U457" s="3267">
        <v>5350</v>
      </c>
      <c r="V457" s="3274">
        <v>0.2</v>
      </c>
      <c r="W457" s="3272">
        <v>36.57</v>
      </c>
      <c r="X457" s="3275">
        <v>365700</v>
      </c>
      <c r="Y457" s="3276">
        <v>2006</v>
      </c>
      <c r="Z457" s="3276">
        <v>5</v>
      </c>
      <c r="AA457" s="3276">
        <v>15</v>
      </c>
      <c r="AB457" s="3267">
        <v>1370</v>
      </c>
      <c r="AC457" s="3267" t="s">
        <v>2980</v>
      </c>
      <c r="AD457" s="3268"/>
      <c r="AE457" s="3267" t="s">
        <v>3304</v>
      </c>
      <c r="AF457" s="3268" t="s">
        <v>2966</v>
      </c>
      <c r="AG457" s="3268" t="s">
        <v>2967</v>
      </c>
      <c r="AH457" s="3268"/>
      <c r="AI457" s="3279" t="s">
        <v>2992</v>
      </c>
      <c r="AJ457" s="3290"/>
      <c r="AK457" s="3278" t="s">
        <v>3099</v>
      </c>
      <c r="AL457" s="3276">
        <v>67641700</v>
      </c>
      <c r="AM457" s="3276"/>
      <c r="AN457" s="3276" t="s">
        <v>3140</v>
      </c>
      <c r="AO457" s="3276"/>
      <c r="AP457" s="3279" t="s">
        <v>3305</v>
      </c>
      <c r="AQ457" s="3267" t="s">
        <v>3228</v>
      </c>
      <c r="AR457" s="3267"/>
      <c r="AS457" s="3267"/>
      <c r="AT457" s="3267"/>
      <c r="AU457" s="3267"/>
      <c r="AV457" s="3277"/>
      <c r="AW457" s="3306" t="s">
        <v>2997</v>
      </c>
      <c r="AX457" s="3268"/>
      <c r="AY457" s="3268"/>
      <c r="AZ457" s="3268" t="s">
        <v>6409</v>
      </c>
      <c r="BA457" s="3268"/>
      <c r="BB457" s="3280"/>
      <c r="BC457" s="3268"/>
      <c r="BD457" s="3268"/>
      <c r="BE457" s="3268" t="s">
        <v>6410</v>
      </c>
      <c r="BF457" s="3281"/>
      <c r="BG457" s="3307">
        <v>38832</v>
      </c>
      <c r="BH457" s="3368"/>
      <c r="BI457" s="3314" t="s">
        <v>4395</v>
      </c>
      <c r="BJ457" s="3299">
        <v>38831</v>
      </c>
      <c r="BK457" s="3284"/>
      <c r="BL457" s="3267" t="s">
        <v>2998</v>
      </c>
      <c r="BM457" s="3267" t="s">
        <v>2879</v>
      </c>
      <c r="BN457" s="3276" t="s">
        <v>2999</v>
      </c>
      <c r="BO457" s="3267" t="s">
        <v>3146</v>
      </c>
      <c r="BP457" s="3276"/>
      <c r="BQ457" s="3276" t="e">
        <v>#DIV/0!</v>
      </c>
      <c r="BR457" s="3276" t="e">
        <v>#DIV/0!</v>
      </c>
      <c r="BS457" s="3285"/>
      <c r="BT457" s="3285"/>
      <c r="BU457" s="3285"/>
      <c r="BV457" s="3341"/>
      <c r="BW457" s="3341"/>
      <c r="BX457" s="3341"/>
      <c r="BY457" s="3341"/>
      <c r="BZ457" s="3341"/>
      <c r="CA457" s="3341"/>
      <c r="CB457" s="3341"/>
      <c r="CC457" s="3341"/>
      <c r="CD457" s="3341"/>
      <c r="CE457" s="3341"/>
      <c r="CF457" s="3341"/>
      <c r="CG457" s="3341"/>
      <c r="CH457" s="3341"/>
      <c r="CI457" s="3341"/>
      <c r="CJ457" s="3341"/>
      <c r="CK457" s="3341"/>
      <c r="CL457" s="3341"/>
      <c r="CM457" s="3341"/>
      <c r="CN457" s="3341"/>
      <c r="CO457" s="3341"/>
      <c r="CP457" s="3341"/>
      <c r="CQ457" s="3341"/>
      <c r="CR457" s="3341"/>
      <c r="CS457" s="3341"/>
      <c r="CT457" s="3341"/>
      <c r="CU457" s="3341"/>
      <c r="CV457" s="3341"/>
      <c r="CW457" s="3341"/>
      <c r="CX457" s="3341"/>
      <c r="CY457" s="3341"/>
      <c r="CZ457" s="3341"/>
      <c r="DA457" s="3341"/>
      <c r="DB457" s="3341"/>
      <c r="DC457" s="3341"/>
      <c r="DD457" s="3341"/>
      <c r="DE457" s="3341"/>
      <c r="DF457" s="3341"/>
      <c r="DG457" s="3341"/>
      <c r="DH457" s="3341"/>
      <c r="DI457" s="3341"/>
      <c r="DJ457" s="3341"/>
      <c r="DK457" s="3341"/>
      <c r="DL457" s="3341"/>
      <c r="DM457" s="3341"/>
      <c r="DN457" s="3341"/>
      <c r="DO457" s="3341"/>
      <c r="DP457" s="3341"/>
      <c r="DQ457" s="3341"/>
      <c r="DR457" s="3341"/>
      <c r="DS457" s="3341"/>
      <c r="DT457" s="3341"/>
      <c r="DU457" s="3341"/>
      <c r="DV457" s="3341"/>
      <c r="DW457" s="3341"/>
      <c r="DX457" s="3341"/>
      <c r="DY457" s="3341"/>
      <c r="DZ457" s="3341"/>
      <c r="EA457" s="3341"/>
      <c r="EB457" s="3341"/>
      <c r="EC457" s="3341"/>
      <c r="ED457" s="3341"/>
      <c r="EE457" s="3341"/>
      <c r="EF457" s="3341"/>
      <c r="EG457" s="3341"/>
      <c r="EH457" s="3341"/>
      <c r="EI457" s="3341"/>
      <c r="EJ457" s="3341"/>
      <c r="EK457" s="3341"/>
      <c r="EL457" s="3341"/>
      <c r="EM457" s="3341"/>
      <c r="EN457" s="3341"/>
      <c r="EO457" s="3341"/>
      <c r="EP457" s="3341"/>
      <c r="EQ457" s="3341"/>
      <c r="ER457" s="3341"/>
      <c r="ES457" s="3341"/>
      <c r="ET457" s="3341"/>
      <c r="EU457" s="3341"/>
      <c r="EV457" s="3341"/>
      <c r="EW457" s="3341"/>
      <c r="EX457" s="3341"/>
      <c r="EY457" s="3341"/>
      <c r="EZ457" s="3341"/>
      <c r="FA457" s="3341"/>
      <c r="FB457" s="3341"/>
      <c r="FC457" s="3341"/>
      <c r="FD457" s="3341"/>
      <c r="FE457" s="3341"/>
      <c r="FF457" s="3341"/>
      <c r="FG457" s="3341"/>
      <c r="FH457" s="3341"/>
      <c r="FI457" s="3341"/>
      <c r="FJ457" s="3341"/>
      <c r="FK457" s="3341"/>
      <c r="FL457" s="3341"/>
      <c r="FM457" s="3341"/>
      <c r="FN457" s="3341"/>
      <c r="FO457" s="3341"/>
      <c r="FP457" s="3341"/>
      <c r="FQ457" s="3341"/>
      <c r="FR457" s="3341"/>
      <c r="FS457" s="3341"/>
      <c r="FT457" s="3341"/>
      <c r="FU457" s="3341"/>
      <c r="FV457" s="3341"/>
      <c r="FW457" s="3341"/>
      <c r="FX457" s="3341"/>
      <c r="FY457" s="3341"/>
      <c r="FZ457" s="3341"/>
      <c r="GA457" s="3341"/>
      <c r="GB457" s="3341"/>
      <c r="GC457" s="3341"/>
      <c r="GD457" s="3341"/>
      <c r="GE457" s="3341"/>
      <c r="GF457" s="3341"/>
      <c r="GG457" s="3341"/>
      <c r="GH457" s="3341"/>
      <c r="GI457" s="3341"/>
      <c r="GJ457" s="3341"/>
      <c r="GK457" s="3341"/>
      <c r="GL457" s="3341"/>
      <c r="GM457" s="3341"/>
      <c r="GN457" s="3341"/>
      <c r="GO457" s="3341"/>
      <c r="GP457" s="3341"/>
      <c r="GQ457" s="3341"/>
      <c r="GR457" s="3341"/>
      <c r="GS457" s="3341"/>
      <c r="GT457" s="3341"/>
      <c r="GU457" s="3341"/>
      <c r="GV457" s="3341"/>
      <c r="GW457" s="3341"/>
      <c r="GX457" s="3341"/>
      <c r="GY457" s="3341"/>
      <c r="GZ457" s="3341"/>
      <c r="HA457" s="3341"/>
      <c r="HB457" s="3341"/>
      <c r="HC457" s="3341"/>
      <c r="HD457" s="3341"/>
      <c r="HE457" s="3341"/>
      <c r="HF457" s="3341"/>
      <c r="HG457" s="3341"/>
      <c r="HH457" s="3341"/>
      <c r="HI457" s="3341"/>
      <c r="HJ457" s="3341"/>
      <c r="HK457" s="3341"/>
      <c r="HL457" s="3341"/>
      <c r="HM457" s="3341"/>
      <c r="HN457" s="3341"/>
      <c r="HO457" s="3341"/>
      <c r="HP457" s="3341"/>
      <c r="HQ457" s="3341"/>
      <c r="HR457" s="3341"/>
      <c r="HS457" s="3341"/>
      <c r="HT457" s="3341"/>
      <c r="HU457" s="3341"/>
      <c r="HV457" s="3341"/>
      <c r="HW457" s="3341"/>
      <c r="HX457" s="3341"/>
      <c r="HY457" s="3341"/>
      <c r="HZ457" s="3341"/>
      <c r="IA457" s="3341"/>
      <c r="IB457" s="3341"/>
      <c r="IC457" s="3341"/>
      <c r="ID457" s="3341"/>
      <c r="IE457" s="3341"/>
      <c r="IF457" s="3341"/>
      <c r="IG457" s="3341"/>
      <c r="IH457" s="3341"/>
      <c r="II457" s="3341"/>
    </row>
    <row r="458" spans="1:243" hidden="1">
      <c r="A458" s="3267" t="s">
        <v>6411</v>
      </c>
      <c r="B458" s="3268" t="s">
        <v>6412</v>
      </c>
      <c r="C458" s="3269" t="s">
        <v>6413</v>
      </c>
      <c r="D458" s="3268">
        <v>13910662680</v>
      </c>
      <c r="E458" s="3267" t="s">
        <v>2985</v>
      </c>
      <c r="F458" s="3268" t="s">
        <v>6414</v>
      </c>
      <c r="G458" s="3268"/>
      <c r="H458" s="3268" t="s">
        <v>3402</v>
      </c>
      <c r="I458" s="3268" t="s">
        <v>3534</v>
      </c>
      <c r="J458" s="3268" t="s">
        <v>4467</v>
      </c>
      <c r="K458" s="3268" t="s">
        <v>6412</v>
      </c>
      <c r="L458" s="3270">
        <v>66.05</v>
      </c>
      <c r="M458" s="3270">
        <v>9</v>
      </c>
      <c r="N458" s="3268" t="s">
        <v>3152</v>
      </c>
      <c r="O458" s="3270">
        <v>53.67</v>
      </c>
      <c r="P458" s="3267" t="s">
        <v>2963</v>
      </c>
      <c r="Q458" s="3271">
        <v>550000</v>
      </c>
      <c r="R458" s="3267">
        <v>8327</v>
      </c>
      <c r="S458" s="3272">
        <v>46.89</v>
      </c>
      <c r="T458" s="3273">
        <v>468900</v>
      </c>
      <c r="U458" s="3267">
        <v>7100</v>
      </c>
      <c r="V458" s="3274">
        <v>0.2</v>
      </c>
      <c r="W458" s="3272">
        <v>37.51</v>
      </c>
      <c r="X458" s="3275">
        <v>375100</v>
      </c>
      <c r="Y458" s="3276">
        <v>2006</v>
      </c>
      <c r="Z458" s="3276">
        <v>5</v>
      </c>
      <c r="AA458" s="3276">
        <v>23</v>
      </c>
      <c r="AB458" s="3267">
        <v>1405</v>
      </c>
      <c r="AC458" s="3267" t="s">
        <v>2980</v>
      </c>
      <c r="AD458" s="3268"/>
      <c r="AE458" s="3267" t="s">
        <v>3304</v>
      </c>
      <c r="AF458" s="3268" t="s">
        <v>2966</v>
      </c>
      <c r="AG458" s="3268" t="s">
        <v>2967</v>
      </c>
      <c r="AH458" s="3268"/>
      <c r="AI458" s="3279" t="s">
        <v>2992</v>
      </c>
      <c r="AJ458" s="3290"/>
      <c r="AK458" s="3278" t="s">
        <v>3099</v>
      </c>
      <c r="AL458" s="3276">
        <v>67641700</v>
      </c>
      <c r="AM458" s="3276"/>
      <c r="AN458" s="3276" t="s">
        <v>3114</v>
      </c>
      <c r="AO458" s="3276"/>
      <c r="AP458" s="3279" t="s">
        <v>3305</v>
      </c>
      <c r="AQ458" s="3267" t="s">
        <v>3228</v>
      </c>
      <c r="AR458" s="3267"/>
      <c r="AS458" s="3267"/>
      <c r="AT458" s="3267"/>
      <c r="AU458" s="3267"/>
      <c r="AV458" s="3277"/>
      <c r="AW458" s="3306" t="s">
        <v>2997</v>
      </c>
      <c r="AX458" s="3268"/>
      <c r="AY458" s="3268"/>
      <c r="AZ458" s="3268" t="s">
        <v>6415</v>
      </c>
      <c r="BA458" s="3268"/>
      <c r="BB458" s="3280"/>
      <c r="BC458" s="3268"/>
      <c r="BD458" s="3268"/>
      <c r="BE458" s="3268" t="s">
        <v>6416</v>
      </c>
      <c r="BF458" s="3281"/>
      <c r="BG458" s="3307">
        <v>38832</v>
      </c>
      <c r="BH458" s="3368"/>
      <c r="BI458" s="3268" t="s">
        <v>4395</v>
      </c>
      <c r="BJ458" s="3299">
        <v>38832</v>
      </c>
      <c r="BK458" s="3284"/>
      <c r="BL458" s="3267" t="s">
        <v>2998</v>
      </c>
      <c r="BM458" s="3267" t="s">
        <v>2879</v>
      </c>
      <c r="BN458" s="3276" t="s">
        <v>2999</v>
      </c>
      <c r="BO458" s="3267" t="s">
        <v>3146</v>
      </c>
      <c r="BP458" s="3276"/>
      <c r="BQ458" s="3276">
        <v>8737</v>
      </c>
      <c r="BR458" s="3276">
        <v>10248</v>
      </c>
      <c r="BS458" s="3285"/>
      <c r="BT458" s="3285"/>
      <c r="BU458" s="3285"/>
      <c r="BV458" s="3347"/>
      <c r="BW458" s="3347"/>
      <c r="BX458" s="3347"/>
      <c r="BY458" s="3347"/>
      <c r="BZ458" s="3347"/>
      <c r="CA458" s="3347"/>
      <c r="CB458" s="3347"/>
      <c r="CC458" s="3347"/>
      <c r="CD458" s="3347"/>
      <c r="CE458" s="3347"/>
      <c r="CF458" s="3347"/>
      <c r="CG458" s="3347"/>
      <c r="CH458" s="3347"/>
      <c r="CI458" s="3347"/>
      <c r="CJ458" s="3347"/>
      <c r="CK458" s="3347"/>
      <c r="CL458" s="3347"/>
      <c r="CM458" s="3347"/>
      <c r="CN458" s="3347"/>
      <c r="CO458" s="3347"/>
      <c r="CP458" s="3347"/>
      <c r="CQ458" s="3347"/>
      <c r="CR458" s="3347"/>
      <c r="CS458" s="3347"/>
      <c r="CT458" s="3347"/>
      <c r="CU458" s="3347"/>
      <c r="CV458" s="3347"/>
      <c r="CW458" s="3347"/>
      <c r="CX458" s="3347"/>
      <c r="CY458" s="3347"/>
      <c r="CZ458" s="3347"/>
      <c r="DA458" s="3347"/>
      <c r="DB458" s="3347"/>
      <c r="DC458" s="3347"/>
      <c r="DD458" s="3347"/>
      <c r="DE458" s="3347"/>
      <c r="DF458" s="3347"/>
      <c r="DG458" s="3347"/>
      <c r="DH458" s="3347"/>
      <c r="DI458" s="3347"/>
      <c r="DJ458" s="3347"/>
      <c r="DK458" s="3347"/>
      <c r="DL458" s="3347"/>
      <c r="DM458" s="3347"/>
      <c r="DN458" s="3347"/>
      <c r="DO458" s="3347"/>
      <c r="DP458" s="3347"/>
      <c r="DQ458" s="3347"/>
      <c r="DR458" s="3347"/>
      <c r="DS458" s="3347"/>
      <c r="DT458" s="3347"/>
      <c r="DU458" s="3347"/>
      <c r="DV458" s="3347"/>
      <c r="DW458" s="3347"/>
      <c r="DX458" s="3347"/>
      <c r="DY458" s="3347"/>
      <c r="DZ458" s="3347"/>
      <c r="EA458" s="3347"/>
      <c r="EB458" s="3347"/>
      <c r="EC458" s="3347"/>
      <c r="ED458" s="3347"/>
      <c r="EE458" s="3347"/>
      <c r="EF458" s="3347"/>
      <c r="EG458" s="3347"/>
      <c r="EH458" s="3347"/>
      <c r="EI458" s="3347"/>
      <c r="EJ458" s="3347"/>
      <c r="EK458" s="3347"/>
      <c r="EL458" s="3347"/>
      <c r="EM458" s="3347"/>
      <c r="EN458" s="3347"/>
      <c r="EO458" s="3347"/>
      <c r="EP458" s="3347"/>
      <c r="EQ458" s="3347"/>
      <c r="ER458" s="3347"/>
      <c r="ES458" s="3347"/>
      <c r="ET458" s="3347"/>
      <c r="EU458" s="3347"/>
      <c r="EV458" s="3347"/>
      <c r="EW458" s="3347"/>
      <c r="EX458" s="3347"/>
      <c r="EY458" s="3347"/>
      <c r="EZ458" s="3347"/>
      <c r="FA458" s="3347"/>
      <c r="FB458" s="3347"/>
      <c r="FC458" s="3347"/>
      <c r="FD458" s="3347"/>
      <c r="FE458" s="3347"/>
      <c r="FF458" s="3347"/>
      <c r="FG458" s="3347"/>
      <c r="FH458" s="3347"/>
      <c r="FI458" s="3347"/>
      <c r="FJ458" s="3347"/>
      <c r="FK458" s="3347"/>
      <c r="FL458" s="3347"/>
      <c r="FM458" s="3347"/>
      <c r="FN458" s="3347"/>
      <c r="FO458" s="3347"/>
      <c r="FP458" s="3347"/>
      <c r="FQ458" s="3347"/>
      <c r="FR458" s="3347"/>
      <c r="FS458" s="3347"/>
      <c r="FT458" s="3347"/>
      <c r="FU458" s="3347"/>
      <c r="FV458" s="3347"/>
      <c r="FW458" s="3347"/>
      <c r="FX458" s="3347"/>
      <c r="FY458" s="3347"/>
      <c r="FZ458" s="3347"/>
      <c r="GA458" s="3347"/>
      <c r="GB458" s="3347"/>
      <c r="GC458" s="3347"/>
      <c r="GD458" s="3347"/>
      <c r="GE458" s="3347"/>
      <c r="GF458" s="3347"/>
      <c r="GG458" s="3347"/>
      <c r="GH458" s="3347"/>
      <c r="GI458" s="3347"/>
      <c r="GJ458" s="3347"/>
      <c r="GK458" s="3347"/>
      <c r="GL458" s="3347"/>
      <c r="GM458" s="3347"/>
      <c r="GN458" s="3347"/>
      <c r="GO458" s="3347"/>
      <c r="GP458" s="3347"/>
      <c r="GQ458" s="3347"/>
      <c r="GR458" s="3347"/>
      <c r="GS458" s="3347"/>
      <c r="GT458" s="3347"/>
      <c r="GU458" s="3347"/>
      <c r="GV458" s="3347"/>
      <c r="GW458" s="3347"/>
      <c r="GX458" s="3347"/>
      <c r="GY458" s="3347"/>
      <c r="GZ458" s="3347"/>
      <c r="HA458" s="3347"/>
      <c r="HB458" s="3347"/>
      <c r="HC458" s="3347"/>
      <c r="HD458" s="3347"/>
      <c r="HE458" s="3347"/>
      <c r="HF458" s="3347"/>
      <c r="HG458" s="3347"/>
      <c r="HH458" s="3347"/>
      <c r="HI458" s="3347"/>
      <c r="HJ458" s="3347"/>
      <c r="HK458" s="3347"/>
      <c r="HL458" s="3347"/>
      <c r="HM458" s="3347"/>
      <c r="HN458" s="3347"/>
      <c r="HO458" s="3347"/>
      <c r="HP458" s="3347"/>
      <c r="HQ458" s="3347"/>
      <c r="HR458" s="3347"/>
      <c r="HS458" s="3347"/>
      <c r="HT458" s="3347"/>
      <c r="HU458" s="3347"/>
      <c r="HV458" s="3347"/>
      <c r="HW458" s="3347"/>
      <c r="HX458" s="3347"/>
      <c r="HY458" s="3347"/>
      <c r="HZ458" s="3347"/>
      <c r="IA458" s="3347"/>
      <c r="IB458" s="3347"/>
      <c r="IC458" s="3347"/>
      <c r="ID458" s="3347"/>
      <c r="IE458" s="3347"/>
      <c r="IF458" s="3347"/>
      <c r="IG458" s="3347"/>
      <c r="IH458" s="3347"/>
      <c r="II458" s="3347"/>
    </row>
    <row r="459" spans="1:243" hidden="1">
      <c r="A459" s="3267" t="s">
        <v>6417</v>
      </c>
      <c r="B459" s="3267" t="s">
        <v>6418</v>
      </c>
      <c r="C459" s="3269" t="s">
        <v>6419</v>
      </c>
      <c r="D459" s="3267">
        <v>13810680200</v>
      </c>
      <c r="E459" s="3267" t="s">
        <v>2985</v>
      </c>
      <c r="F459" s="3267" t="s">
        <v>4198</v>
      </c>
      <c r="G459" s="3267"/>
      <c r="H459" s="3267" t="s">
        <v>3127</v>
      </c>
      <c r="I459" s="3267"/>
      <c r="J459" s="3267" t="s">
        <v>6420</v>
      </c>
      <c r="K459" s="3268" t="s">
        <v>6421</v>
      </c>
      <c r="L459" s="3267">
        <v>107.78</v>
      </c>
      <c r="M459" s="3267">
        <v>4</v>
      </c>
      <c r="N459" s="3267" t="s">
        <v>3116</v>
      </c>
      <c r="O459" s="3267"/>
      <c r="P459" s="3267" t="s">
        <v>2963</v>
      </c>
      <c r="Q459" s="3267">
        <v>850000</v>
      </c>
      <c r="R459" s="3267">
        <v>7886</v>
      </c>
      <c r="S459" s="3272">
        <v>70.319999999999993</v>
      </c>
      <c r="T459" s="3273">
        <v>703200</v>
      </c>
      <c r="U459" s="3267">
        <v>6525</v>
      </c>
      <c r="V459" s="3274">
        <v>0.2</v>
      </c>
      <c r="W459" s="3272">
        <v>56.25</v>
      </c>
      <c r="X459" s="3275">
        <v>562500</v>
      </c>
      <c r="Y459" s="3267">
        <v>2006</v>
      </c>
      <c r="Z459" s="3267">
        <v>5</v>
      </c>
      <c r="AA459" s="3276">
        <v>22</v>
      </c>
      <c r="AB459" s="3267">
        <v>1500</v>
      </c>
      <c r="AC459" s="3267" t="s">
        <v>2980</v>
      </c>
      <c r="AD459" s="3267"/>
      <c r="AE459" s="3276" t="s">
        <v>3304</v>
      </c>
      <c r="AF459" s="3267" t="s">
        <v>2966</v>
      </c>
      <c r="AG459" s="3267" t="s">
        <v>2967</v>
      </c>
      <c r="AH459" s="3267"/>
      <c r="AI459" s="3267" t="s">
        <v>2992</v>
      </c>
      <c r="AJ459" s="3284"/>
      <c r="AK459" s="3267" t="s">
        <v>3099</v>
      </c>
      <c r="AL459" s="3267">
        <v>67641700</v>
      </c>
      <c r="AM459" s="3267"/>
      <c r="AN459" s="3267" t="s">
        <v>3114</v>
      </c>
      <c r="AO459" s="3267" t="s">
        <v>2968</v>
      </c>
      <c r="AP459" s="3267" t="s">
        <v>3342</v>
      </c>
      <c r="AQ459" s="3267" t="s">
        <v>3228</v>
      </c>
      <c r="AR459" s="3267">
        <v>2006</v>
      </c>
      <c r="AS459" s="3267">
        <v>5</v>
      </c>
      <c r="AT459" s="3267">
        <v>22</v>
      </c>
      <c r="AU459" s="3267"/>
      <c r="AV459" s="3267"/>
      <c r="AW459" s="3267" t="s">
        <v>3171</v>
      </c>
      <c r="AX459" s="3267"/>
      <c r="AY459" s="3269"/>
      <c r="AZ459" s="3267" t="s">
        <v>6421</v>
      </c>
      <c r="BA459" s="3267"/>
      <c r="BB459" s="3267"/>
      <c r="BC459" s="3267"/>
      <c r="BD459" s="3267"/>
      <c r="BE459" s="3267"/>
      <c r="BF459" s="3267"/>
      <c r="BG459" s="3307">
        <v>38832</v>
      </c>
      <c r="BH459" s="3267"/>
      <c r="BI459" s="3267" t="s">
        <v>3424</v>
      </c>
      <c r="BJ459" s="3299">
        <v>38833</v>
      </c>
      <c r="BK459" s="3283"/>
      <c r="BL459" s="3267" t="s">
        <v>2998</v>
      </c>
      <c r="BM459" s="3276" t="s">
        <v>3345</v>
      </c>
      <c r="BN459" s="3267" t="s">
        <v>2999</v>
      </c>
      <c r="BO459" s="3267" t="s">
        <v>3146</v>
      </c>
      <c r="BP459" s="3267"/>
      <c r="BQ459" s="3276"/>
      <c r="BR459" s="3276"/>
      <c r="BS459" s="3285"/>
      <c r="BT459" s="3285"/>
      <c r="BU459" s="3285"/>
      <c r="BV459" s="3347"/>
      <c r="BW459" s="3347"/>
      <c r="BX459" s="3347"/>
      <c r="BY459" s="3347"/>
      <c r="BZ459" s="3347"/>
      <c r="CA459" s="3347"/>
      <c r="CB459" s="3347"/>
      <c r="CC459" s="3347"/>
      <c r="CD459" s="3347"/>
      <c r="CE459" s="3347"/>
      <c r="CF459" s="3347"/>
      <c r="CG459" s="3347"/>
      <c r="CH459" s="3347"/>
      <c r="CI459" s="3347"/>
      <c r="CJ459" s="3347"/>
      <c r="CK459" s="3347"/>
      <c r="CL459" s="3347"/>
      <c r="CM459" s="3347"/>
      <c r="CN459" s="3347"/>
      <c r="CO459" s="3347"/>
      <c r="CP459" s="3347"/>
      <c r="CQ459" s="3347"/>
      <c r="CR459" s="3347"/>
      <c r="CS459" s="3347"/>
      <c r="CT459" s="3347"/>
      <c r="CU459" s="3347"/>
      <c r="CV459" s="3347"/>
      <c r="CW459" s="3347"/>
      <c r="CX459" s="3347"/>
      <c r="CY459" s="3347"/>
      <c r="CZ459" s="3347"/>
      <c r="DA459" s="3347"/>
      <c r="DB459" s="3347"/>
      <c r="DC459" s="3347"/>
      <c r="DD459" s="3347"/>
      <c r="DE459" s="3347"/>
      <c r="DF459" s="3347"/>
      <c r="DG459" s="3347"/>
      <c r="DH459" s="3347"/>
      <c r="DI459" s="3347"/>
      <c r="DJ459" s="3347"/>
      <c r="DK459" s="3347"/>
      <c r="DL459" s="3347"/>
      <c r="DM459" s="3347"/>
      <c r="DN459" s="3347"/>
      <c r="DO459" s="3347"/>
      <c r="DP459" s="3347"/>
      <c r="DQ459" s="3347"/>
      <c r="DR459" s="3347"/>
      <c r="DS459" s="3347"/>
      <c r="DT459" s="3347"/>
      <c r="DU459" s="3347"/>
      <c r="DV459" s="3347"/>
      <c r="DW459" s="3347"/>
      <c r="DX459" s="3347"/>
      <c r="DY459" s="3347"/>
      <c r="DZ459" s="3347"/>
      <c r="EA459" s="3347"/>
      <c r="EB459" s="3347"/>
      <c r="EC459" s="3347"/>
      <c r="ED459" s="3347"/>
      <c r="EE459" s="3347"/>
      <c r="EF459" s="3347"/>
      <c r="EG459" s="3347"/>
      <c r="EH459" s="3347"/>
      <c r="EI459" s="3347"/>
      <c r="EJ459" s="3347"/>
      <c r="EK459" s="3347"/>
      <c r="EL459" s="3347"/>
      <c r="EM459" s="3347"/>
      <c r="EN459" s="3347"/>
      <c r="EO459" s="3347"/>
      <c r="EP459" s="3347"/>
      <c r="EQ459" s="3347"/>
      <c r="ER459" s="3347"/>
      <c r="ES459" s="3347"/>
      <c r="ET459" s="3347"/>
      <c r="EU459" s="3347"/>
      <c r="EV459" s="3347"/>
      <c r="EW459" s="3347"/>
      <c r="EX459" s="3347"/>
      <c r="EY459" s="3347"/>
      <c r="EZ459" s="3347"/>
      <c r="FA459" s="3347"/>
      <c r="FB459" s="3347"/>
      <c r="FC459" s="3347"/>
      <c r="FD459" s="3347"/>
      <c r="FE459" s="3347"/>
      <c r="FF459" s="3347"/>
      <c r="FG459" s="3347"/>
      <c r="FH459" s="3347"/>
      <c r="FI459" s="3347"/>
      <c r="FJ459" s="3347"/>
      <c r="FK459" s="3347"/>
      <c r="FL459" s="3347"/>
      <c r="FM459" s="3347"/>
      <c r="FN459" s="3347"/>
      <c r="FO459" s="3347"/>
      <c r="FP459" s="3347"/>
      <c r="FQ459" s="3347"/>
      <c r="FR459" s="3347"/>
      <c r="FS459" s="3347"/>
      <c r="FT459" s="3347"/>
      <c r="FU459" s="3347"/>
      <c r="FV459" s="3347"/>
      <c r="FW459" s="3347"/>
      <c r="FX459" s="3347"/>
      <c r="FY459" s="3347"/>
      <c r="FZ459" s="3347"/>
      <c r="GA459" s="3347"/>
      <c r="GB459" s="3347"/>
      <c r="GC459" s="3347"/>
      <c r="GD459" s="3347"/>
      <c r="GE459" s="3347"/>
      <c r="GF459" s="3347"/>
      <c r="GG459" s="3347"/>
      <c r="GH459" s="3347"/>
      <c r="GI459" s="3347"/>
      <c r="GJ459" s="3347"/>
      <c r="GK459" s="3347"/>
      <c r="GL459" s="3347"/>
      <c r="GM459" s="3347"/>
      <c r="GN459" s="3347"/>
      <c r="GO459" s="3347"/>
      <c r="GP459" s="3347"/>
      <c r="GQ459" s="3347"/>
      <c r="GR459" s="3347"/>
      <c r="GS459" s="3347"/>
      <c r="GT459" s="3347"/>
      <c r="GU459" s="3347"/>
      <c r="GV459" s="3347"/>
      <c r="GW459" s="3347"/>
      <c r="GX459" s="3347"/>
      <c r="GY459" s="3347"/>
      <c r="GZ459" s="3347"/>
      <c r="HA459" s="3347"/>
      <c r="HB459" s="3347"/>
      <c r="HC459" s="3347"/>
      <c r="HD459" s="3347"/>
      <c r="HE459" s="3347"/>
      <c r="HF459" s="3347"/>
      <c r="HG459" s="3347"/>
      <c r="HH459" s="3347"/>
      <c r="HI459" s="3347"/>
      <c r="HJ459" s="3347"/>
      <c r="HK459" s="3347"/>
      <c r="HL459" s="3347"/>
      <c r="HM459" s="3347"/>
      <c r="HN459" s="3347"/>
      <c r="HO459" s="3347"/>
      <c r="HP459" s="3347"/>
      <c r="HQ459" s="3347"/>
      <c r="HR459" s="3347"/>
      <c r="HS459" s="3347"/>
      <c r="HT459" s="3347"/>
      <c r="HU459" s="3347"/>
      <c r="HV459" s="3347"/>
      <c r="HW459" s="3347"/>
      <c r="HX459" s="3347"/>
      <c r="HY459" s="3347"/>
      <c r="HZ459" s="3347"/>
      <c r="IA459" s="3347"/>
      <c r="IB459" s="3347"/>
      <c r="IC459" s="3347"/>
      <c r="ID459" s="3347"/>
      <c r="IE459" s="3347"/>
      <c r="IF459" s="3347"/>
      <c r="IG459" s="3347"/>
      <c r="IH459" s="3347"/>
      <c r="II459" s="3347"/>
    </row>
    <row r="460" spans="1:243" hidden="1">
      <c r="A460" s="3267" t="s">
        <v>6422</v>
      </c>
      <c r="B460" s="3267" t="s">
        <v>6423</v>
      </c>
      <c r="C460" s="3269" t="s">
        <v>6424</v>
      </c>
      <c r="D460" s="3269" t="s">
        <v>6425</v>
      </c>
      <c r="E460" s="3268" t="s">
        <v>2985</v>
      </c>
      <c r="F460" s="3268" t="s">
        <v>3279</v>
      </c>
      <c r="G460" s="3267"/>
      <c r="H460" s="3267" t="s">
        <v>3280</v>
      </c>
      <c r="I460" s="3268" t="s">
        <v>6426</v>
      </c>
      <c r="J460" s="3267" t="s">
        <v>3126</v>
      </c>
      <c r="K460" s="3267" t="s">
        <v>6427</v>
      </c>
      <c r="L460" s="3267">
        <v>65.319999999999993</v>
      </c>
      <c r="M460" s="3267">
        <v>6</v>
      </c>
      <c r="N460" s="3267" t="s">
        <v>3122</v>
      </c>
      <c r="O460" s="3267">
        <v>56.57</v>
      </c>
      <c r="P460" s="3267" t="s">
        <v>2963</v>
      </c>
      <c r="Q460" s="3271">
        <v>395000</v>
      </c>
      <c r="R460" s="3267">
        <v>6047</v>
      </c>
      <c r="S460" s="3272">
        <v>35.01</v>
      </c>
      <c r="T460" s="3273">
        <v>350100</v>
      </c>
      <c r="U460" s="3267">
        <v>5360</v>
      </c>
      <c r="V460" s="3289">
        <v>0.2</v>
      </c>
      <c r="W460" s="3272">
        <v>28</v>
      </c>
      <c r="X460" s="3275">
        <v>280000</v>
      </c>
      <c r="Y460" s="3276">
        <v>2006</v>
      </c>
      <c r="Z460" s="3276">
        <v>5</v>
      </c>
      <c r="AA460" s="3276">
        <v>25</v>
      </c>
      <c r="AB460" s="3267">
        <v>1050</v>
      </c>
      <c r="AC460" s="3267" t="s">
        <v>2980</v>
      </c>
      <c r="AD460" s="3267"/>
      <c r="AE460" s="3279" t="s">
        <v>3245</v>
      </c>
      <c r="AF460" s="3268" t="s">
        <v>2966</v>
      </c>
      <c r="AG460" s="3279" t="s">
        <v>2967</v>
      </c>
      <c r="AH460" s="3267" t="s">
        <v>2968</v>
      </c>
      <c r="AI460" s="3279" t="s">
        <v>2992</v>
      </c>
      <c r="AJ460" s="3284"/>
      <c r="AK460" s="3278">
        <v>5</v>
      </c>
      <c r="AL460" s="3276">
        <v>67641700</v>
      </c>
      <c r="AM460" s="3276"/>
      <c r="AN460" s="3279" t="s">
        <v>3114</v>
      </c>
      <c r="AO460" s="3267"/>
      <c r="AP460" s="3279" t="s">
        <v>3305</v>
      </c>
      <c r="AQ460" s="3267" t="s">
        <v>3228</v>
      </c>
      <c r="AR460" s="3276"/>
      <c r="AS460" s="3276"/>
      <c r="AT460" s="3276"/>
      <c r="AU460" s="3276"/>
      <c r="AV460" s="3276" t="s">
        <v>2968</v>
      </c>
      <c r="AW460" s="3276" t="s">
        <v>2997</v>
      </c>
      <c r="AX460" s="3276"/>
      <c r="AY460" s="3291"/>
      <c r="AZ460" s="3267" t="s">
        <v>6427</v>
      </c>
      <c r="BA460" s="3296"/>
      <c r="BB460" s="3297"/>
      <c r="BC460" s="3296"/>
      <c r="BD460" s="3298"/>
      <c r="BE460" s="3276">
        <v>13051552460</v>
      </c>
      <c r="BF460" s="3281"/>
      <c r="BG460" s="3293">
        <v>38772</v>
      </c>
      <c r="BH460" s="3267" t="s">
        <v>2998</v>
      </c>
      <c r="BI460" s="3314" t="s">
        <v>3305</v>
      </c>
      <c r="BJ460" s="3283">
        <v>38833</v>
      </c>
      <c r="BK460" s="3283"/>
      <c r="BL460" s="3267" t="s">
        <v>3249</v>
      </c>
      <c r="BM460" s="3276" t="s">
        <v>2879</v>
      </c>
      <c r="BN460" s="3276" t="s">
        <v>2999</v>
      </c>
      <c r="BO460" s="3276" t="s">
        <v>3146</v>
      </c>
      <c r="BP460" s="3276"/>
      <c r="BQ460" s="3276">
        <v>6189</v>
      </c>
      <c r="BR460" s="3276">
        <v>6982</v>
      </c>
      <c r="BS460" s="3285"/>
      <c r="BT460" s="3285"/>
      <c r="BU460" s="3285"/>
      <c r="BV460" s="3285"/>
      <c r="BW460" s="3285"/>
      <c r="BX460" s="3285"/>
      <c r="BY460" s="3285"/>
      <c r="BZ460" s="3285"/>
      <c r="CA460" s="3285"/>
      <c r="CB460" s="3285"/>
      <c r="CC460" s="3285"/>
      <c r="CD460" s="3285"/>
      <c r="CE460" s="3285"/>
      <c r="CF460" s="3285"/>
      <c r="CG460" s="3285"/>
      <c r="CH460" s="3285"/>
      <c r="CI460" s="3285"/>
      <c r="CJ460" s="3285"/>
      <c r="CK460" s="3285"/>
      <c r="CL460" s="3285"/>
      <c r="CM460" s="3285"/>
      <c r="CN460" s="3285"/>
      <c r="CO460" s="3285"/>
      <c r="CP460" s="3285"/>
      <c r="CQ460" s="3285"/>
      <c r="CR460" s="3285"/>
      <c r="CS460" s="3285"/>
      <c r="CT460" s="3285"/>
      <c r="CU460" s="3285"/>
      <c r="CV460" s="3285"/>
      <c r="CW460" s="3285"/>
      <c r="CX460" s="3285"/>
      <c r="CY460" s="3285"/>
      <c r="CZ460" s="3285"/>
      <c r="DA460" s="3285"/>
      <c r="DB460" s="3285"/>
      <c r="DC460" s="3285"/>
      <c r="DD460" s="3285"/>
      <c r="DE460" s="3285"/>
      <c r="DF460" s="3285"/>
      <c r="DG460" s="3285"/>
      <c r="DH460" s="3285"/>
      <c r="DI460" s="3285"/>
      <c r="DJ460" s="3285"/>
      <c r="DK460" s="3285"/>
      <c r="DL460" s="3285"/>
      <c r="DM460" s="3285"/>
      <c r="DN460" s="3285"/>
      <c r="DO460" s="3285"/>
      <c r="DP460" s="3285"/>
      <c r="DQ460" s="3285"/>
      <c r="DR460" s="3285"/>
      <c r="DS460" s="3285"/>
      <c r="DT460" s="3285"/>
      <c r="DU460" s="3285"/>
      <c r="DV460" s="3285"/>
      <c r="DW460" s="3285"/>
      <c r="DX460" s="3285"/>
      <c r="DY460" s="3285"/>
      <c r="DZ460" s="3285"/>
      <c r="EA460" s="3285"/>
      <c r="EB460" s="3285"/>
      <c r="EC460" s="3285"/>
      <c r="ED460" s="3285"/>
      <c r="EE460" s="3285"/>
      <c r="EF460" s="3285"/>
      <c r="EG460" s="3285"/>
      <c r="EH460" s="3285"/>
      <c r="EI460" s="3285"/>
      <c r="EJ460" s="3285"/>
      <c r="EK460" s="3285"/>
      <c r="EL460" s="3285"/>
      <c r="EM460" s="3285"/>
      <c r="EN460" s="3285"/>
      <c r="EO460" s="3285"/>
      <c r="EP460" s="3285"/>
      <c r="EQ460" s="3285"/>
      <c r="ER460" s="3285"/>
      <c r="ES460" s="3285"/>
      <c r="ET460" s="3285"/>
      <c r="EU460" s="3285"/>
      <c r="EV460" s="3285"/>
      <c r="EW460" s="3285"/>
      <c r="EX460" s="3285"/>
      <c r="EY460" s="3285"/>
      <c r="EZ460" s="3285"/>
      <c r="FA460" s="3285"/>
      <c r="FB460" s="3285"/>
      <c r="FC460" s="3285"/>
      <c r="FD460" s="3285"/>
      <c r="FE460" s="3285"/>
      <c r="FF460" s="3285"/>
      <c r="FG460" s="3285"/>
      <c r="FH460" s="3285"/>
      <c r="FI460" s="3285"/>
      <c r="FJ460" s="3285"/>
      <c r="FK460" s="3285"/>
      <c r="FL460" s="3285"/>
      <c r="FM460" s="3285"/>
      <c r="FN460" s="3285"/>
      <c r="FO460" s="3285"/>
      <c r="FP460" s="3285"/>
      <c r="FQ460" s="3285"/>
      <c r="FR460" s="3285"/>
      <c r="FS460" s="3285"/>
      <c r="FT460" s="3285"/>
      <c r="FU460" s="3285"/>
      <c r="FV460" s="3285"/>
      <c r="FW460" s="3285"/>
      <c r="FX460" s="3285"/>
      <c r="FY460" s="3285"/>
      <c r="FZ460" s="3285"/>
      <c r="GA460" s="3285"/>
      <c r="GB460" s="3285"/>
      <c r="GC460" s="3285"/>
      <c r="GD460" s="3285"/>
      <c r="GE460" s="3285"/>
      <c r="GF460" s="3285"/>
      <c r="GG460" s="3285"/>
      <c r="GH460" s="3285"/>
      <c r="GI460" s="3285"/>
      <c r="GJ460" s="3285"/>
      <c r="GK460" s="3285"/>
      <c r="GL460" s="3285"/>
      <c r="GM460" s="3285"/>
      <c r="GN460" s="3285"/>
      <c r="GO460" s="3285"/>
      <c r="GP460" s="3285"/>
      <c r="GQ460" s="3285"/>
      <c r="GR460" s="3285"/>
      <c r="GS460" s="3285"/>
      <c r="GT460" s="3285"/>
      <c r="GU460" s="3285"/>
      <c r="GV460" s="3285"/>
      <c r="GW460" s="3285"/>
      <c r="GX460" s="3285"/>
      <c r="GY460" s="3285"/>
      <c r="GZ460" s="3285"/>
      <c r="HA460" s="3285"/>
      <c r="HB460" s="3285"/>
      <c r="HC460" s="3285"/>
      <c r="HD460" s="3285"/>
      <c r="HE460" s="3285"/>
      <c r="HF460" s="3285"/>
      <c r="HG460" s="3285"/>
      <c r="HH460" s="3285"/>
      <c r="HI460" s="3285"/>
      <c r="HJ460" s="3285"/>
      <c r="HK460" s="3285"/>
      <c r="HL460" s="3285"/>
      <c r="HM460" s="3285"/>
      <c r="HN460" s="3285"/>
      <c r="HO460" s="3285"/>
      <c r="HP460" s="3285"/>
      <c r="HQ460" s="3285"/>
      <c r="HR460" s="3285"/>
      <c r="HS460" s="3285"/>
      <c r="HT460" s="3285"/>
      <c r="HU460" s="3285"/>
      <c r="HV460" s="3285"/>
      <c r="HW460" s="3285"/>
      <c r="HX460" s="3285"/>
      <c r="HY460" s="3285"/>
      <c r="HZ460" s="3285"/>
      <c r="IA460" s="3285"/>
      <c r="IB460" s="3285"/>
      <c r="IC460" s="3285"/>
      <c r="ID460" s="3285"/>
      <c r="IE460" s="3285"/>
      <c r="IF460" s="3285"/>
      <c r="IG460" s="3285"/>
      <c r="IH460" s="3285"/>
      <c r="II460" s="3285"/>
    </row>
    <row r="461" spans="1:243" hidden="1">
      <c r="A461" s="3267" t="s">
        <v>6428</v>
      </c>
      <c r="B461" s="3267" t="s">
        <v>6429</v>
      </c>
      <c r="C461" s="3269" t="s">
        <v>6430</v>
      </c>
      <c r="D461" s="3267">
        <v>13716676992</v>
      </c>
      <c r="E461" s="3267" t="s">
        <v>2985</v>
      </c>
      <c r="F461" s="3267" t="s">
        <v>4135</v>
      </c>
      <c r="G461" s="3267"/>
      <c r="H461" s="3267" t="s">
        <v>3806</v>
      </c>
      <c r="I461" s="3267" t="s">
        <v>3188</v>
      </c>
      <c r="J461" s="3267" t="s">
        <v>6431</v>
      </c>
      <c r="K461" s="3267" t="s">
        <v>6429</v>
      </c>
      <c r="L461" s="3267">
        <v>81.62</v>
      </c>
      <c r="M461" s="3267">
        <v>11</v>
      </c>
      <c r="N461" s="3267" t="s">
        <v>3125</v>
      </c>
      <c r="O461" s="3267"/>
      <c r="P461" s="3267" t="s">
        <v>2963</v>
      </c>
      <c r="Q461" s="3267">
        <v>455000</v>
      </c>
      <c r="R461" s="3288">
        <v>5575</v>
      </c>
      <c r="S461" s="3272">
        <v>42</v>
      </c>
      <c r="T461" s="3273">
        <v>420000</v>
      </c>
      <c r="U461" s="3267">
        <v>5146</v>
      </c>
      <c r="V461" s="3289">
        <v>0.2</v>
      </c>
      <c r="W461" s="3272">
        <v>33.6</v>
      </c>
      <c r="X461" s="3273">
        <v>336000</v>
      </c>
      <c r="Y461" s="3267">
        <v>2006</v>
      </c>
      <c r="Z461" s="3267">
        <v>5</v>
      </c>
      <c r="AA461" s="3267">
        <v>18</v>
      </c>
      <c r="AB461" s="3267">
        <v>1260</v>
      </c>
      <c r="AC461" s="3267" t="s">
        <v>2980</v>
      </c>
      <c r="AD461" s="3267"/>
      <c r="AE461" s="3267" t="s">
        <v>3180</v>
      </c>
      <c r="AF461" s="3267" t="s">
        <v>2966</v>
      </c>
      <c r="AG461" s="3267" t="s">
        <v>2967</v>
      </c>
      <c r="AH461" s="3267"/>
      <c r="AI461" s="3279" t="s">
        <v>2992</v>
      </c>
      <c r="AJ461" s="3267"/>
      <c r="AK461" s="3267" t="s">
        <v>3099</v>
      </c>
      <c r="AL461" s="3267">
        <v>67641700</v>
      </c>
      <c r="AM461" s="3267"/>
      <c r="AN461" s="3267" t="s">
        <v>3140</v>
      </c>
      <c r="AO461" s="3267"/>
      <c r="AP461" s="3279" t="s">
        <v>3305</v>
      </c>
      <c r="AQ461" s="3267" t="s">
        <v>3228</v>
      </c>
      <c r="AR461" s="3267"/>
      <c r="AS461" s="3267"/>
      <c r="AT461" s="3267"/>
      <c r="AU461" s="3267"/>
      <c r="AV461" s="3267"/>
      <c r="AW461" s="3267" t="s">
        <v>3119</v>
      </c>
      <c r="AX461" s="3267"/>
      <c r="AY461" s="3267"/>
      <c r="AZ461" s="3267" t="s">
        <v>6432</v>
      </c>
      <c r="BA461" s="3267"/>
      <c r="BB461" s="3267"/>
      <c r="BC461" s="3267"/>
      <c r="BD461" s="3267"/>
      <c r="BE461" s="3267"/>
      <c r="BF461" s="3267"/>
      <c r="BG461" s="3284">
        <v>38803</v>
      </c>
      <c r="BH461" s="3267"/>
      <c r="BI461" s="3267" t="s">
        <v>4395</v>
      </c>
      <c r="BJ461" s="3284">
        <v>38833</v>
      </c>
      <c r="BK461" s="3267"/>
      <c r="BL461" s="3267" t="s">
        <v>2998</v>
      </c>
      <c r="BM461" s="3267" t="s">
        <v>2879</v>
      </c>
      <c r="BN461" s="3267" t="s">
        <v>3111</v>
      </c>
      <c r="BO461" s="3267" t="s">
        <v>3146</v>
      </c>
      <c r="BP461" s="3267"/>
      <c r="BQ461" s="3276" t="e">
        <v>#DIV/0!</v>
      </c>
      <c r="BR461" s="3276" t="e">
        <v>#DIV/0!</v>
      </c>
      <c r="BS461" s="3285"/>
      <c r="BT461" s="3285"/>
      <c r="BU461" s="3285"/>
      <c r="BV461" s="3347"/>
      <c r="BW461" s="3347"/>
      <c r="BX461" s="3347"/>
      <c r="BY461" s="3347"/>
      <c r="BZ461" s="3347"/>
      <c r="CA461" s="3347"/>
      <c r="CB461" s="3347"/>
      <c r="CC461" s="3347"/>
      <c r="CD461" s="3347"/>
      <c r="CE461" s="3347"/>
      <c r="CF461" s="3347"/>
      <c r="CG461" s="3347"/>
      <c r="CH461" s="3347"/>
      <c r="CI461" s="3347"/>
      <c r="CJ461" s="3347"/>
      <c r="CK461" s="3347"/>
      <c r="CL461" s="3347"/>
      <c r="CM461" s="3347"/>
      <c r="CN461" s="3347"/>
      <c r="CO461" s="3347"/>
      <c r="CP461" s="3347"/>
      <c r="CQ461" s="3347"/>
      <c r="CR461" s="3347"/>
      <c r="CS461" s="3347"/>
      <c r="CT461" s="3347"/>
      <c r="CU461" s="3347"/>
      <c r="CV461" s="3347"/>
      <c r="CW461" s="3347"/>
      <c r="CX461" s="3347"/>
      <c r="CY461" s="3347"/>
      <c r="CZ461" s="3347"/>
      <c r="DA461" s="3347"/>
      <c r="DB461" s="3347"/>
      <c r="DC461" s="3347"/>
      <c r="DD461" s="3347"/>
      <c r="DE461" s="3347"/>
      <c r="DF461" s="3347"/>
      <c r="DG461" s="3347"/>
      <c r="DH461" s="3347"/>
      <c r="DI461" s="3347"/>
      <c r="DJ461" s="3347"/>
      <c r="DK461" s="3347"/>
      <c r="DL461" s="3347"/>
      <c r="DM461" s="3347"/>
      <c r="DN461" s="3347"/>
      <c r="DO461" s="3347"/>
      <c r="DP461" s="3347"/>
      <c r="DQ461" s="3347"/>
      <c r="DR461" s="3347"/>
      <c r="DS461" s="3347"/>
      <c r="DT461" s="3347"/>
      <c r="DU461" s="3347"/>
      <c r="DV461" s="3347"/>
      <c r="DW461" s="3347"/>
      <c r="DX461" s="3347"/>
      <c r="DY461" s="3347"/>
      <c r="DZ461" s="3347"/>
      <c r="EA461" s="3347"/>
      <c r="EB461" s="3347"/>
      <c r="EC461" s="3347"/>
      <c r="ED461" s="3347"/>
      <c r="EE461" s="3347"/>
      <c r="EF461" s="3347"/>
      <c r="EG461" s="3347"/>
      <c r="EH461" s="3347"/>
      <c r="EI461" s="3347"/>
      <c r="EJ461" s="3347"/>
      <c r="EK461" s="3347"/>
      <c r="EL461" s="3347"/>
      <c r="EM461" s="3347"/>
      <c r="EN461" s="3347"/>
      <c r="EO461" s="3347"/>
      <c r="EP461" s="3347"/>
      <c r="EQ461" s="3347"/>
      <c r="ER461" s="3347"/>
      <c r="ES461" s="3347"/>
      <c r="ET461" s="3347"/>
      <c r="EU461" s="3347"/>
      <c r="EV461" s="3347"/>
      <c r="EW461" s="3347"/>
      <c r="EX461" s="3347"/>
      <c r="EY461" s="3347"/>
      <c r="EZ461" s="3347"/>
      <c r="FA461" s="3347"/>
      <c r="FB461" s="3347"/>
      <c r="FC461" s="3347"/>
      <c r="FD461" s="3347"/>
      <c r="FE461" s="3347"/>
      <c r="FF461" s="3347"/>
      <c r="FG461" s="3347"/>
      <c r="FH461" s="3347"/>
      <c r="FI461" s="3347"/>
      <c r="FJ461" s="3347"/>
      <c r="FK461" s="3347"/>
      <c r="FL461" s="3347"/>
      <c r="FM461" s="3347"/>
      <c r="FN461" s="3347"/>
      <c r="FO461" s="3347"/>
      <c r="FP461" s="3347"/>
      <c r="FQ461" s="3347"/>
      <c r="FR461" s="3347"/>
      <c r="FS461" s="3347"/>
      <c r="FT461" s="3347"/>
      <c r="FU461" s="3347"/>
      <c r="FV461" s="3347"/>
      <c r="FW461" s="3347"/>
      <c r="FX461" s="3347"/>
      <c r="FY461" s="3347"/>
      <c r="FZ461" s="3347"/>
      <c r="GA461" s="3347"/>
      <c r="GB461" s="3347"/>
      <c r="GC461" s="3347"/>
      <c r="GD461" s="3347"/>
      <c r="GE461" s="3347"/>
      <c r="GF461" s="3347"/>
      <c r="GG461" s="3347"/>
      <c r="GH461" s="3347"/>
      <c r="GI461" s="3347"/>
      <c r="GJ461" s="3347"/>
      <c r="GK461" s="3347"/>
      <c r="GL461" s="3347"/>
      <c r="GM461" s="3347"/>
      <c r="GN461" s="3347"/>
      <c r="GO461" s="3347"/>
      <c r="GP461" s="3347"/>
      <c r="GQ461" s="3347"/>
      <c r="GR461" s="3347"/>
      <c r="GS461" s="3347"/>
      <c r="GT461" s="3347"/>
      <c r="GU461" s="3347"/>
      <c r="GV461" s="3347"/>
      <c r="GW461" s="3347"/>
      <c r="GX461" s="3347"/>
      <c r="GY461" s="3347"/>
      <c r="GZ461" s="3347"/>
      <c r="HA461" s="3347"/>
      <c r="HB461" s="3347"/>
      <c r="HC461" s="3347"/>
      <c r="HD461" s="3347"/>
      <c r="HE461" s="3347"/>
      <c r="HF461" s="3347"/>
      <c r="HG461" s="3347"/>
      <c r="HH461" s="3347"/>
      <c r="HI461" s="3347"/>
      <c r="HJ461" s="3347"/>
      <c r="HK461" s="3347"/>
      <c r="HL461" s="3347"/>
      <c r="HM461" s="3347"/>
      <c r="HN461" s="3347"/>
      <c r="HO461" s="3347"/>
      <c r="HP461" s="3347"/>
      <c r="HQ461" s="3347"/>
      <c r="HR461" s="3347"/>
      <c r="HS461" s="3347"/>
      <c r="HT461" s="3347"/>
      <c r="HU461" s="3347"/>
      <c r="HV461" s="3347"/>
      <c r="HW461" s="3347"/>
      <c r="HX461" s="3347"/>
      <c r="HY461" s="3347"/>
      <c r="HZ461" s="3347"/>
      <c r="IA461" s="3347"/>
      <c r="IB461" s="3347"/>
      <c r="IC461" s="3347"/>
      <c r="ID461" s="3347"/>
      <c r="IE461" s="3347"/>
      <c r="IF461" s="3347"/>
      <c r="IG461" s="3347"/>
      <c r="IH461" s="3347"/>
      <c r="II461" s="3347"/>
    </row>
    <row r="462" spans="1:243" hidden="1">
      <c r="A462" s="3267" t="s">
        <v>6433</v>
      </c>
      <c r="B462" s="3267" t="s">
        <v>6434</v>
      </c>
      <c r="C462" s="3269" t="s">
        <v>6435</v>
      </c>
      <c r="D462" s="3269" t="s">
        <v>6436</v>
      </c>
      <c r="E462" s="3268" t="s">
        <v>2985</v>
      </c>
      <c r="F462" s="3268" t="s">
        <v>3813</v>
      </c>
      <c r="G462" s="3267"/>
      <c r="H462" s="3267" t="s">
        <v>3964</v>
      </c>
      <c r="I462" s="3268"/>
      <c r="J462" s="3267" t="s">
        <v>6437</v>
      </c>
      <c r="K462" s="3267" t="s">
        <v>6438</v>
      </c>
      <c r="L462" s="3267">
        <v>99.5</v>
      </c>
      <c r="M462" s="3267">
        <v>23</v>
      </c>
      <c r="N462" s="3267" t="s">
        <v>3122</v>
      </c>
      <c r="O462" s="3267">
        <v>78.64</v>
      </c>
      <c r="P462" s="3267" t="s">
        <v>2963</v>
      </c>
      <c r="Q462" s="3271">
        <v>600000</v>
      </c>
      <c r="R462" s="3267">
        <v>6030</v>
      </c>
      <c r="S462" s="3272">
        <v>53.73</v>
      </c>
      <c r="T462" s="3273">
        <v>537300</v>
      </c>
      <c r="U462" s="3267">
        <v>5400</v>
      </c>
      <c r="V462" s="3289">
        <v>0.2</v>
      </c>
      <c r="W462" s="3272">
        <v>42.98</v>
      </c>
      <c r="X462" s="3275">
        <v>429800</v>
      </c>
      <c r="Y462" s="3276">
        <v>2006</v>
      </c>
      <c r="Z462" s="3276">
        <v>5</v>
      </c>
      <c r="AA462" s="3276">
        <v>16</v>
      </c>
      <c r="AB462" s="3267">
        <v>1500</v>
      </c>
      <c r="AC462" s="3267" t="s">
        <v>2980</v>
      </c>
      <c r="AD462" s="3267"/>
      <c r="AE462" s="3279" t="s">
        <v>3245</v>
      </c>
      <c r="AF462" s="3268" t="s">
        <v>2966</v>
      </c>
      <c r="AG462" s="3279" t="s">
        <v>2967</v>
      </c>
      <c r="AH462" s="3267" t="s">
        <v>2968</v>
      </c>
      <c r="AI462" s="3279" t="s">
        <v>2992</v>
      </c>
      <c r="AJ462" s="3284"/>
      <c r="AK462" s="3278">
        <v>5</v>
      </c>
      <c r="AL462" s="3276">
        <v>67641700</v>
      </c>
      <c r="AM462" s="3276"/>
      <c r="AN462" s="3279" t="s">
        <v>3140</v>
      </c>
      <c r="AO462" s="3267" t="s">
        <v>6439</v>
      </c>
      <c r="AP462" s="3279" t="s">
        <v>3305</v>
      </c>
      <c r="AQ462" s="3267" t="s">
        <v>3228</v>
      </c>
      <c r="AR462" s="3276"/>
      <c r="AS462" s="3276"/>
      <c r="AT462" s="3276"/>
      <c r="AU462" s="3276"/>
      <c r="AV462" s="3276" t="s">
        <v>2968</v>
      </c>
      <c r="AW462" s="3276" t="s">
        <v>3119</v>
      </c>
      <c r="AX462" s="3276"/>
      <c r="AY462" s="3291"/>
      <c r="AZ462" s="3267" t="s">
        <v>6438</v>
      </c>
      <c r="BA462" s="3296"/>
      <c r="BB462" s="3297"/>
      <c r="BC462" s="3296"/>
      <c r="BD462" s="3298"/>
      <c r="BE462" s="3276"/>
      <c r="BF462" s="3281"/>
      <c r="BG462" s="3293">
        <v>38833</v>
      </c>
      <c r="BH462" s="3267" t="s">
        <v>2998</v>
      </c>
      <c r="BI462" s="3314" t="s">
        <v>3305</v>
      </c>
      <c r="BJ462" s="3283">
        <v>38834</v>
      </c>
      <c r="BK462" s="3283"/>
      <c r="BL462" s="3267" t="s">
        <v>3249</v>
      </c>
      <c r="BM462" s="3276" t="s">
        <v>2879</v>
      </c>
      <c r="BN462" s="3276" t="s">
        <v>3111</v>
      </c>
      <c r="BO462" s="3276" t="s">
        <v>3000</v>
      </c>
      <c r="BP462" s="3276"/>
      <c r="BQ462" s="3276">
        <v>6832</v>
      </c>
      <c r="BR462" s="3276">
        <v>7630</v>
      </c>
      <c r="BS462" s="3285"/>
      <c r="BT462" s="3285"/>
      <c r="BU462" s="3285"/>
      <c r="BV462" s="3347"/>
      <c r="BW462" s="3347"/>
      <c r="BX462" s="3347"/>
      <c r="BY462" s="3347"/>
      <c r="BZ462" s="3347"/>
      <c r="CA462" s="3347"/>
      <c r="CB462" s="3347"/>
      <c r="CC462" s="3347"/>
      <c r="CD462" s="3347"/>
      <c r="CE462" s="3347"/>
      <c r="CF462" s="3347"/>
      <c r="CG462" s="3347"/>
      <c r="CH462" s="3347"/>
      <c r="CI462" s="3347"/>
      <c r="CJ462" s="3347"/>
      <c r="CK462" s="3347"/>
      <c r="CL462" s="3347"/>
      <c r="CM462" s="3347"/>
      <c r="CN462" s="3347"/>
      <c r="CO462" s="3347"/>
      <c r="CP462" s="3347"/>
      <c r="CQ462" s="3347"/>
      <c r="CR462" s="3347"/>
      <c r="CS462" s="3347"/>
      <c r="CT462" s="3347"/>
      <c r="CU462" s="3347"/>
      <c r="CV462" s="3347"/>
      <c r="CW462" s="3347"/>
      <c r="CX462" s="3347"/>
      <c r="CY462" s="3347"/>
      <c r="CZ462" s="3347"/>
      <c r="DA462" s="3347"/>
      <c r="DB462" s="3347"/>
      <c r="DC462" s="3347"/>
      <c r="DD462" s="3347"/>
      <c r="DE462" s="3347"/>
      <c r="DF462" s="3347"/>
      <c r="DG462" s="3347"/>
      <c r="DH462" s="3347"/>
      <c r="DI462" s="3347"/>
      <c r="DJ462" s="3347"/>
      <c r="DK462" s="3347"/>
      <c r="DL462" s="3347"/>
      <c r="DM462" s="3347"/>
      <c r="DN462" s="3347"/>
      <c r="DO462" s="3347"/>
      <c r="DP462" s="3347"/>
      <c r="DQ462" s="3347"/>
      <c r="DR462" s="3347"/>
      <c r="DS462" s="3347"/>
      <c r="DT462" s="3347"/>
      <c r="DU462" s="3347"/>
      <c r="DV462" s="3347"/>
      <c r="DW462" s="3347"/>
      <c r="DX462" s="3347"/>
      <c r="DY462" s="3347"/>
      <c r="DZ462" s="3347"/>
      <c r="EA462" s="3347"/>
      <c r="EB462" s="3347"/>
      <c r="EC462" s="3347"/>
      <c r="ED462" s="3347"/>
      <c r="EE462" s="3347"/>
      <c r="EF462" s="3347"/>
      <c r="EG462" s="3347"/>
      <c r="EH462" s="3347"/>
      <c r="EI462" s="3347"/>
      <c r="EJ462" s="3347"/>
      <c r="EK462" s="3347"/>
      <c r="EL462" s="3347"/>
      <c r="EM462" s="3347"/>
      <c r="EN462" s="3347"/>
      <c r="EO462" s="3347"/>
      <c r="EP462" s="3347"/>
      <c r="EQ462" s="3347"/>
      <c r="ER462" s="3347"/>
      <c r="ES462" s="3347"/>
      <c r="ET462" s="3347"/>
      <c r="EU462" s="3347"/>
      <c r="EV462" s="3347"/>
      <c r="EW462" s="3347"/>
      <c r="EX462" s="3347"/>
      <c r="EY462" s="3347"/>
      <c r="EZ462" s="3347"/>
      <c r="FA462" s="3347"/>
      <c r="FB462" s="3347"/>
      <c r="FC462" s="3347"/>
      <c r="FD462" s="3347"/>
      <c r="FE462" s="3347"/>
      <c r="FF462" s="3347"/>
      <c r="FG462" s="3347"/>
      <c r="FH462" s="3347"/>
      <c r="FI462" s="3347"/>
      <c r="FJ462" s="3347"/>
      <c r="FK462" s="3347"/>
      <c r="FL462" s="3347"/>
      <c r="FM462" s="3347"/>
      <c r="FN462" s="3347"/>
      <c r="FO462" s="3347"/>
      <c r="FP462" s="3347"/>
      <c r="FQ462" s="3347"/>
      <c r="FR462" s="3347"/>
      <c r="FS462" s="3347"/>
      <c r="FT462" s="3347"/>
      <c r="FU462" s="3347"/>
      <c r="FV462" s="3347"/>
      <c r="FW462" s="3347"/>
      <c r="FX462" s="3347"/>
      <c r="FY462" s="3347"/>
      <c r="FZ462" s="3347"/>
      <c r="GA462" s="3347"/>
      <c r="GB462" s="3347"/>
      <c r="GC462" s="3347"/>
      <c r="GD462" s="3347"/>
      <c r="GE462" s="3347"/>
      <c r="GF462" s="3347"/>
      <c r="GG462" s="3347"/>
      <c r="GH462" s="3347"/>
      <c r="GI462" s="3347"/>
      <c r="GJ462" s="3347"/>
      <c r="GK462" s="3347"/>
      <c r="GL462" s="3347"/>
      <c r="GM462" s="3347"/>
      <c r="GN462" s="3347"/>
      <c r="GO462" s="3347"/>
      <c r="GP462" s="3347"/>
      <c r="GQ462" s="3347"/>
      <c r="GR462" s="3347"/>
      <c r="GS462" s="3347"/>
      <c r="GT462" s="3347"/>
      <c r="GU462" s="3347"/>
      <c r="GV462" s="3347"/>
      <c r="GW462" s="3347"/>
      <c r="GX462" s="3347"/>
      <c r="GY462" s="3347"/>
      <c r="GZ462" s="3347"/>
      <c r="HA462" s="3347"/>
      <c r="HB462" s="3347"/>
      <c r="HC462" s="3347"/>
      <c r="HD462" s="3347"/>
      <c r="HE462" s="3347"/>
      <c r="HF462" s="3347"/>
      <c r="HG462" s="3347"/>
      <c r="HH462" s="3347"/>
      <c r="HI462" s="3347"/>
      <c r="HJ462" s="3347"/>
      <c r="HK462" s="3347"/>
      <c r="HL462" s="3347"/>
      <c r="HM462" s="3347"/>
      <c r="HN462" s="3347"/>
      <c r="HO462" s="3347"/>
      <c r="HP462" s="3347"/>
      <c r="HQ462" s="3347"/>
      <c r="HR462" s="3347"/>
      <c r="HS462" s="3347"/>
      <c r="HT462" s="3347"/>
      <c r="HU462" s="3347"/>
      <c r="HV462" s="3347"/>
      <c r="HW462" s="3347"/>
      <c r="HX462" s="3347"/>
      <c r="HY462" s="3347"/>
      <c r="HZ462" s="3347"/>
      <c r="IA462" s="3347"/>
      <c r="IB462" s="3347"/>
      <c r="IC462" s="3347"/>
      <c r="ID462" s="3347"/>
      <c r="IE462" s="3347"/>
      <c r="IF462" s="3347"/>
      <c r="IG462" s="3347"/>
      <c r="IH462" s="3347"/>
      <c r="II462" s="3347"/>
    </row>
    <row r="463" spans="1:243">
      <c r="A463" s="3267" t="s">
        <v>6440</v>
      </c>
      <c r="B463" s="3267" t="s">
        <v>6441</v>
      </c>
      <c r="C463" s="3269" t="s">
        <v>6442</v>
      </c>
      <c r="D463" s="3269" t="s">
        <v>6443</v>
      </c>
      <c r="E463" s="3268" t="s">
        <v>2985</v>
      </c>
      <c r="F463" s="3268" t="s">
        <v>6444</v>
      </c>
      <c r="G463" s="3267"/>
      <c r="H463" s="3267" t="s">
        <v>5123</v>
      </c>
      <c r="I463" s="3268" t="s">
        <v>3254</v>
      </c>
      <c r="J463" s="3267" t="s">
        <v>3301</v>
      </c>
      <c r="K463" s="3267" t="s">
        <v>6441</v>
      </c>
      <c r="L463" s="3267">
        <v>136.25</v>
      </c>
      <c r="M463" s="3267">
        <v>5</v>
      </c>
      <c r="N463" s="3267" t="s">
        <v>3122</v>
      </c>
      <c r="O463" s="3267"/>
      <c r="P463" s="3267" t="s">
        <v>2963</v>
      </c>
      <c r="Q463" s="3271">
        <v>1020000</v>
      </c>
      <c r="R463" s="3267">
        <v>7486</v>
      </c>
      <c r="S463" s="3272">
        <v>81.010000000000005</v>
      </c>
      <c r="T463" s="3273">
        <v>810100</v>
      </c>
      <c r="U463" s="3267">
        <v>5946</v>
      </c>
      <c r="V463" s="3289">
        <v>0.2</v>
      </c>
      <c r="W463" s="3272">
        <v>64.8</v>
      </c>
      <c r="X463" s="3275">
        <v>648000</v>
      </c>
      <c r="Y463" s="3276">
        <v>2006</v>
      </c>
      <c r="Z463" s="3276">
        <v>5</v>
      </c>
      <c r="AA463" s="3294">
        <v>10</v>
      </c>
      <c r="AB463" s="3267">
        <v>1500</v>
      </c>
      <c r="AC463" s="3267" t="s">
        <v>2980</v>
      </c>
      <c r="AD463" s="3267"/>
      <c r="AE463" s="3279" t="s">
        <v>3344</v>
      </c>
      <c r="AF463" s="3268" t="s">
        <v>2966</v>
      </c>
      <c r="AG463" s="3279" t="s">
        <v>2967</v>
      </c>
      <c r="AH463" s="3267" t="s">
        <v>2968</v>
      </c>
      <c r="AI463" s="3279" t="s">
        <v>2992</v>
      </c>
      <c r="AJ463" s="3284"/>
      <c r="AK463" s="3278">
        <v>5</v>
      </c>
      <c r="AL463" s="3276">
        <v>67641700</v>
      </c>
      <c r="AM463" s="3276"/>
      <c r="AN463" s="3279" t="s">
        <v>3131</v>
      </c>
      <c r="AO463" s="3267" t="s">
        <v>2968</v>
      </c>
      <c r="AP463" s="3279" t="s">
        <v>3305</v>
      </c>
      <c r="AQ463" s="3276" t="s">
        <v>3113</v>
      </c>
      <c r="AR463" s="3276"/>
      <c r="AS463" s="3276"/>
      <c r="AT463" s="3276"/>
      <c r="AU463" s="3276"/>
      <c r="AV463" s="3276" t="s">
        <v>2968</v>
      </c>
      <c r="AW463" s="3276" t="s">
        <v>2997</v>
      </c>
      <c r="AX463" s="3276"/>
      <c r="AY463" s="3291"/>
      <c r="AZ463" s="3267" t="s">
        <v>6445</v>
      </c>
      <c r="BA463" s="3296"/>
      <c r="BB463" s="3297"/>
      <c r="BC463" s="3296"/>
      <c r="BD463" s="3298"/>
      <c r="BE463" s="3276">
        <v>13901084455</v>
      </c>
      <c r="BF463" s="3281"/>
      <c r="BG463" s="3293">
        <v>38832</v>
      </c>
      <c r="BH463" s="3267" t="s">
        <v>2998</v>
      </c>
      <c r="BI463" s="3314" t="s">
        <v>3305</v>
      </c>
      <c r="BJ463" s="3283">
        <v>38833</v>
      </c>
      <c r="BK463" s="3283"/>
      <c r="BL463" s="3267" t="s">
        <v>3249</v>
      </c>
      <c r="BM463" s="3276" t="s">
        <v>2879</v>
      </c>
      <c r="BN463" s="3276" t="s">
        <v>2999</v>
      </c>
      <c r="BO463" s="3276" t="s">
        <v>3146</v>
      </c>
      <c r="BP463" s="3276"/>
      <c r="BQ463" s="3276" t="e">
        <v>#DIV/0!</v>
      </c>
      <c r="BR463" s="3276" t="e">
        <v>#DIV/0!</v>
      </c>
      <c r="BS463" s="3285"/>
      <c r="BT463" s="3285"/>
      <c r="BU463" s="3285"/>
      <c r="BV463" s="3347"/>
      <c r="BW463" s="3347"/>
      <c r="BX463" s="3347"/>
      <c r="BY463" s="3347"/>
      <c r="BZ463" s="3347"/>
      <c r="CA463" s="3347"/>
      <c r="CB463" s="3347"/>
      <c r="CC463" s="3347"/>
      <c r="CD463" s="3347"/>
      <c r="CE463" s="3347"/>
      <c r="CF463" s="3347"/>
      <c r="CG463" s="3347"/>
      <c r="CH463" s="3347"/>
      <c r="CI463" s="3347"/>
      <c r="CJ463" s="3347"/>
      <c r="CK463" s="3347"/>
      <c r="CL463" s="3347"/>
      <c r="CM463" s="3347"/>
      <c r="CN463" s="3347"/>
      <c r="CO463" s="3347"/>
      <c r="CP463" s="3347"/>
      <c r="CQ463" s="3347"/>
      <c r="CR463" s="3347"/>
      <c r="CS463" s="3347"/>
      <c r="CT463" s="3347"/>
      <c r="CU463" s="3347"/>
      <c r="CV463" s="3347"/>
      <c r="CW463" s="3347"/>
      <c r="CX463" s="3347"/>
      <c r="CY463" s="3347"/>
      <c r="CZ463" s="3347"/>
      <c r="DA463" s="3347"/>
      <c r="DB463" s="3347"/>
      <c r="DC463" s="3347"/>
      <c r="DD463" s="3347"/>
      <c r="DE463" s="3347"/>
      <c r="DF463" s="3347"/>
      <c r="DG463" s="3347"/>
      <c r="DH463" s="3347"/>
      <c r="DI463" s="3347"/>
      <c r="DJ463" s="3347"/>
      <c r="DK463" s="3347"/>
      <c r="DL463" s="3347"/>
      <c r="DM463" s="3347"/>
      <c r="DN463" s="3347"/>
      <c r="DO463" s="3347"/>
      <c r="DP463" s="3347"/>
      <c r="DQ463" s="3347"/>
      <c r="DR463" s="3347"/>
      <c r="DS463" s="3347"/>
      <c r="DT463" s="3347"/>
      <c r="DU463" s="3347"/>
      <c r="DV463" s="3347"/>
      <c r="DW463" s="3347"/>
      <c r="DX463" s="3347"/>
      <c r="DY463" s="3347"/>
      <c r="DZ463" s="3347"/>
      <c r="EA463" s="3347"/>
      <c r="EB463" s="3347"/>
      <c r="EC463" s="3347"/>
      <c r="ED463" s="3347"/>
      <c r="EE463" s="3347"/>
      <c r="EF463" s="3347"/>
      <c r="EG463" s="3347"/>
      <c r="EH463" s="3347"/>
      <c r="EI463" s="3347"/>
      <c r="EJ463" s="3347"/>
      <c r="EK463" s="3347"/>
      <c r="EL463" s="3347"/>
      <c r="EM463" s="3347"/>
      <c r="EN463" s="3347"/>
      <c r="EO463" s="3347"/>
      <c r="EP463" s="3347"/>
      <c r="EQ463" s="3347"/>
      <c r="ER463" s="3347"/>
      <c r="ES463" s="3347"/>
      <c r="ET463" s="3347"/>
      <c r="EU463" s="3347"/>
      <c r="EV463" s="3347"/>
      <c r="EW463" s="3347"/>
      <c r="EX463" s="3347"/>
      <c r="EY463" s="3347"/>
      <c r="EZ463" s="3347"/>
      <c r="FA463" s="3347"/>
      <c r="FB463" s="3347"/>
      <c r="FC463" s="3347"/>
      <c r="FD463" s="3347"/>
      <c r="FE463" s="3347"/>
      <c r="FF463" s="3347"/>
      <c r="FG463" s="3347"/>
      <c r="FH463" s="3347"/>
      <c r="FI463" s="3347"/>
      <c r="FJ463" s="3347"/>
      <c r="FK463" s="3347"/>
      <c r="FL463" s="3347"/>
      <c r="FM463" s="3347"/>
      <c r="FN463" s="3347"/>
      <c r="FO463" s="3347"/>
      <c r="FP463" s="3347"/>
      <c r="FQ463" s="3347"/>
      <c r="FR463" s="3347"/>
      <c r="FS463" s="3347"/>
      <c r="FT463" s="3347"/>
      <c r="FU463" s="3347"/>
      <c r="FV463" s="3347"/>
      <c r="FW463" s="3347"/>
      <c r="FX463" s="3347"/>
      <c r="FY463" s="3347"/>
      <c r="FZ463" s="3347"/>
      <c r="GA463" s="3347"/>
      <c r="GB463" s="3347"/>
      <c r="GC463" s="3347"/>
      <c r="GD463" s="3347"/>
      <c r="GE463" s="3347"/>
      <c r="GF463" s="3347"/>
      <c r="GG463" s="3347"/>
      <c r="GH463" s="3347"/>
      <c r="GI463" s="3347"/>
      <c r="GJ463" s="3347"/>
      <c r="GK463" s="3347"/>
      <c r="GL463" s="3347"/>
      <c r="GM463" s="3347"/>
      <c r="GN463" s="3347"/>
      <c r="GO463" s="3347"/>
      <c r="GP463" s="3347"/>
      <c r="GQ463" s="3347"/>
      <c r="GR463" s="3347"/>
      <c r="GS463" s="3347"/>
      <c r="GT463" s="3347"/>
      <c r="GU463" s="3347"/>
      <c r="GV463" s="3347"/>
      <c r="GW463" s="3347"/>
      <c r="GX463" s="3347"/>
      <c r="GY463" s="3347"/>
      <c r="GZ463" s="3347"/>
      <c r="HA463" s="3347"/>
      <c r="HB463" s="3347"/>
      <c r="HC463" s="3347"/>
      <c r="HD463" s="3347"/>
      <c r="HE463" s="3347"/>
      <c r="HF463" s="3347"/>
      <c r="HG463" s="3347"/>
      <c r="HH463" s="3347"/>
      <c r="HI463" s="3347"/>
      <c r="HJ463" s="3347"/>
      <c r="HK463" s="3347"/>
      <c r="HL463" s="3347"/>
      <c r="HM463" s="3347"/>
      <c r="HN463" s="3347"/>
      <c r="HO463" s="3347"/>
      <c r="HP463" s="3347"/>
      <c r="HQ463" s="3347"/>
      <c r="HR463" s="3347"/>
      <c r="HS463" s="3347"/>
      <c r="HT463" s="3347"/>
      <c r="HU463" s="3347"/>
      <c r="HV463" s="3347"/>
      <c r="HW463" s="3347"/>
      <c r="HX463" s="3347"/>
      <c r="HY463" s="3347"/>
      <c r="HZ463" s="3347"/>
      <c r="IA463" s="3347"/>
      <c r="IB463" s="3347"/>
      <c r="IC463" s="3347"/>
      <c r="ID463" s="3347"/>
      <c r="IE463" s="3347"/>
      <c r="IF463" s="3347"/>
      <c r="IG463" s="3347"/>
      <c r="IH463" s="3347"/>
      <c r="II463" s="3347"/>
    </row>
    <row r="464" spans="1:243" hidden="1">
      <c r="A464" s="3267" t="s">
        <v>6446</v>
      </c>
      <c r="B464" s="3267" t="s">
        <v>6447</v>
      </c>
      <c r="C464" s="3269" t="s">
        <v>6448</v>
      </c>
      <c r="D464" s="3269" t="s">
        <v>6449</v>
      </c>
      <c r="E464" s="3268" t="s">
        <v>2985</v>
      </c>
      <c r="F464" s="3268" t="s">
        <v>3309</v>
      </c>
      <c r="G464" s="3267"/>
      <c r="H464" s="3267" t="s">
        <v>6450</v>
      </c>
      <c r="I464" s="3268"/>
      <c r="J464" s="3267" t="s">
        <v>3192</v>
      </c>
      <c r="K464" s="3267" t="s">
        <v>6451</v>
      </c>
      <c r="L464" s="3267">
        <v>71.98</v>
      </c>
      <c r="M464" s="3267">
        <v>3</v>
      </c>
      <c r="N464" s="3267" t="s">
        <v>3122</v>
      </c>
      <c r="O464" s="3267">
        <v>71.98</v>
      </c>
      <c r="P464" s="3267" t="s">
        <v>2963</v>
      </c>
      <c r="Q464" s="3271">
        <v>495000</v>
      </c>
      <c r="R464" s="3267">
        <v>6877</v>
      </c>
      <c r="S464" s="3272">
        <v>41.06</v>
      </c>
      <c r="T464" s="3273">
        <v>410600</v>
      </c>
      <c r="U464" s="3267">
        <v>5705</v>
      </c>
      <c r="V464" s="3289">
        <v>0.2</v>
      </c>
      <c r="W464" s="3272">
        <v>32.840000000000003</v>
      </c>
      <c r="X464" s="3275">
        <v>328400</v>
      </c>
      <c r="Y464" s="3276">
        <v>2006</v>
      </c>
      <c r="Z464" s="3276">
        <v>5</v>
      </c>
      <c r="AA464" s="3276">
        <v>19</v>
      </c>
      <c r="AB464" s="3267">
        <v>1230</v>
      </c>
      <c r="AC464" s="3267" t="s">
        <v>2980</v>
      </c>
      <c r="AD464" s="3267"/>
      <c r="AE464" s="3314" t="s">
        <v>3344</v>
      </c>
      <c r="AF464" s="3268" t="s">
        <v>2966</v>
      </c>
      <c r="AG464" s="3279" t="s">
        <v>2967</v>
      </c>
      <c r="AH464" s="3267" t="s">
        <v>2968</v>
      </c>
      <c r="AI464" s="3279" t="s">
        <v>2992</v>
      </c>
      <c r="AJ464" s="3284"/>
      <c r="AK464" s="3278">
        <v>5</v>
      </c>
      <c r="AL464" s="3276">
        <v>67641700</v>
      </c>
      <c r="AM464" s="3276"/>
      <c r="AN464" s="3279" t="s">
        <v>3140</v>
      </c>
      <c r="AO464" s="3267" t="s">
        <v>6452</v>
      </c>
      <c r="AP464" s="3279" t="s">
        <v>3305</v>
      </c>
      <c r="AQ464" s="3267" t="s">
        <v>3228</v>
      </c>
      <c r="AR464" s="3276"/>
      <c r="AS464" s="3276"/>
      <c r="AT464" s="3276"/>
      <c r="AU464" s="3276"/>
      <c r="AV464" s="3276" t="s">
        <v>2968</v>
      </c>
      <c r="AW464" s="3276" t="s">
        <v>2997</v>
      </c>
      <c r="AX464" s="3276"/>
      <c r="AY464" s="3291"/>
      <c r="AZ464" s="3267" t="s">
        <v>6451</v>
      </c>
      <c r="BA464" s="3296"/>
      <c r="BB464" s="3297"/>
      <c r="BC464" s="3296"/>
      <c r="BD464" s="3298"/>
      <c r="BE464" s="3276">
        <v>13801108207</v>
      </c>
      <c r="BF464" s="3281"/>
      <c r="BG464" s="3293">
        <v>38816</v>
      </c>
      <c r="BH464" s="3267" t="s">
        <v>2998</v>
      </c>
      <c r="BI464" s="3314" t="s">
        <v>3305</v>
      </c>
      <c r="BJ464" s="3283">
        <v>38846</v>
      </c>
      <c r="BK464" s="3283"/>
      <c r="BL464" s="3267" t="s">
        <v>3249</v>
      </c>
      <c r="BM464" s="3276" t="s">
        <v>2879</v>
      </c>
      <c r="BN464" s="3276" t="s">
        <v>2999</v>
      </c>
      <c r="BO464" s="3276" t="s">
        <v>3146</v>
      </c>
      <c r="BP464" s="3276"/>
      <c r="BQ464" s="3276">
        <v>5704</v>
      </c>
      <c r="BR464" s="3276">
        <v>6877</v>
      </c>
      <c r="BS464" s="3285"/>
      <c r="BT464" s="3285"/>
      <c r="BU464" s="3285"/>
      <c r="BV464" s="3347"/>
      <c r="BW464" s="3347"/>
      <c r="BX464" s="3347"/>
      <c r="BY464" s="3347"/>
      <c r="BZ464" s="3347"/>
      <c r="CA464" s="3347"/>
      <c r="CB464" s="3347"/>
      <c r="CC464" s="3347"/>
      <c r="CD464" s="3347"/>
      <c r="CE464" s="3347"/>
      <c r="CF464" s="3347"/>
      <c r="CG464" s="3347"/>
      <c r="CH464" s="3347"/>
      <c r="CI464" s="3347"/>
      <c r="CJ464" s="3347"/>
      <c r="CK464" s="3347"/>
      <c r="CL464" s="3347"/>
      <c r="CM464" s="3347"/>
      <c r="CN464" s="3347"/>
      <c r="CO464" s="3347"/>
      <c r="CP464" s="3347"/>
      <c r="CQ464" s="3347"/>
      <c r="CR464" s="3347"/>
      <c r="CS464" s="3347"/>
      <c r="CT464" s="3347"/>
      <c r="CU464" s="3347"/>
      <c r="CV464" s="3347"/>
      <c r="CW464" s="3347"/>
      <c r="CX464" s="3347"/>
      <c r="CY464" s="3347"/>
      <c r="CZ464" s="3347"/>
      <c r="DA464" s="3347"/>
      <c r="DB464" s="3347"/>
      <c r="DC464" s="3347"/>
      <c r="DD464" s="3347"/>
      <c r="DE464" s="3347"/>
      <c r="DF464" s="3347"/>
      <c r="DG464" s="3347"/>
      <c r="DH464" s="3347"/>
      <c r="DI464" s="3347"/>
      <c r="DJ464" s="3347"/>
      <c r="DK464" s="3347"/>
      <c r="DL464" s="3347"/>
      <c r="DM464" s="3347"/>
      <c r="DN464" s="3347"/>
      <c r="DO464" s="3347"/>
      <c r="DP464" s="3347"/>
      <c r="DQ464" s="3347"/>
      <c r="DR464" s="3347"/>
      <c r="DS464" s="3347"/>
      <c r="DT464" s="3347"/>
      <c r="DU464" s="3347"/>
      <c r="DV464" s="3347"/>
      <c r="DW464" s="3347"/>
      <c r="DX464" s="3347"/>
      <c r="DY464" s="3347"/>
      <c r="DZ464" s="3347"/>
      <c r="EA464" s="3347"/>
      <c r="EB464" s="3347"/>
      <c r="EC464" s="3347"/>
      <c r="ED464" s="3347"/>
      <c r="EE464" s="3347"/>
      <c r="EF464" s="3347"/>
      <c r="EG464" s="3347"/>
      <c r="EH464" s="3347"/>
      <c r="EI464" s="3347"/>
      <c r="EJ464" s="3347"/>
      <c r="EK464" s="3347"/>
      <c r="EL464" s="3347"/>
      <c r="EM464" s="3347"/>
      <c r="EN464" s="3347"/>
      <c r="EO464" s="3347"/>
      <c r="EP464" s="3347"/>
      <c r="EQ464" s="3347"/>
      <c r="ER464" s="3347"/>
      <c r="ES464" s="3347"/>
      <c r="ET464" s="3347"/>
      <c r="EU464" s="3347"/>
      <c r="EV464" s="3347"/>
      <c r="EW464" s="3347"/>
      <c r="EX464" s="3347"/>
      <c r="EY464" s="3347"/>
      <c r="EZ464" s="3347"/>
      <c r="FA464" s="3347"/>
      <c r="FB464" s="3347"/>
      <c r="FC464" s="3347"/>
      <c r="FD464" s="3347"/>
      <c r="FE464" s="3347"/>
      <c r="FF464" s="3347"/>
      <c r="FG464" s="3347"/>
      <c r="FH464" s="3347"/>
      <c r="FI464" s="3347"/>
      <c r="FJ464" s="3347"/>
      <c r="FK464" s="3347"/>
      <c r="FL464" s="3347"/>
      <c r="FM464" s="3347"/>
      <c r="FN464" s="3347"/>
      <c r="FO464" s="3347"/>
      <c r="FP464" s="3347"/>
      <c r="FQ464" s="3347"/>
      <c r="FR464" s="3347"/>
      <c r="FS464" s="3347"/>
      <c r="FT464" s="3347"/>
      <c r="FU464" s="3347"/>
      <c r="FV464" s="3347"/>
      <c r="FW464" s="3347"/>
      <c r="FX464" s="3347"/>
      <c r="FY464" s="3347"/>
      <c r="FZ464" s="3347"/>
      <c r="GA464" s="3347"/>
      <c r="GB464" s="3347"/>
      <c r="GC464" s="3347"/>
      <c r="GD464" s="3347"/>
      <c r="GE464" s="3347"/>
      <c r="GF464" s="3347"/>
      <c r="GG464" s="3347"/>
      <c r="GH464" s="3347"/>
      <c r="GI464" s="3347"/>
      <c r="GJ464" s="3347"/>
      <c r="GK464" s="3347"/>
      <c r="GL464" s="3347"/>
      <c r="GM464" s="3347"/>
      <c r="GN464" s="3347"/>
      <c r="GO464" s="3347"/>
      <c r="GP464" s="3347"/>
      <c r="GQ464" s="3347"/>
      <c r="GR464" s="3347"/>
      <c r="GS464" s="3347"/>
      <c r="GT464" s="3347"/>
      <c r="GU464" s="3347"/>
      <c r="GV464" s="3347"/>
      <c r="GW464" s="3347"/>
      <c r="GX464" s="3347"/>
      <c r="GY464" s="3347"/>
      <c r="GZ464" s="3347"/>
      <c r="HA464" s="3347"/>
      <c r="HB464" s="3347"/>
      <c r="HC464" s="3347"/>
      <c r="HD464" s="3347"/>
      <c r="HE464" s="3347"/>
      <c r="HF464" s="3347"/>
      <c r="HG464" s="3347"/>
      <c r="HH464" s="3347"/>
      <c r="HI464" s="3347"/>
      <c r="HJ464" s="3347"/>
      <c r="HK464" s="3347"/>
      <c r="HL464" s="3347"/>
      <c r="HM464" s="3347"/>
      <c r="HN464" s="3347"/>
      <c r="HO464" s="3347"/>
      <c r="HP464" s="3347"/>
      <c r="HQ464" s="3347"/>
      <c r="HR464" s="3347"/>
      <c r="HS464" s="3347"/>
      <c r="HT464" s="3347"/>
      <c r="HU464" s="3347"/>
      <c r="HV464" s="3347"/>
      <c r="HW464" s="3347"/>
      <c r="HX464" s="3347"/>
      <c r="HY464" s="3347"/>
      <c r="HZ464" s="3347"/>
      <c r="IA464" s="3347"/>
      <c r="IB464" s="3347"/>
      <c r="IC464" s="3347"/>
      <c r="ID464" s="3347"/>
      <c r="IE464" s="3347"/>
      <c r="IF464" s="3347"/>
      <c r="IG464" s="3347"/>
      <c r="IH464" s="3347"/>
      <c r="II464" s="3347"/>
    </row>
    <row r="465" spans="1:243" hidden="1">
      <c r="A465" s="3268" t="s">
        <v>6453</v>
      </c>
      <c r="B465" s="3267" t="s">
        <v>6454</v>
      </c>
      <c r="C465" s="3269" t="s">
        <v>6455</v>
      </c>
      <c r="D465" s="3269" t="s">
        <v>6456</v>
      </c>
      <c r="E465" s="3267" t="s">
        <v>2985</v>
      </c>
      <c r="F465" s="3244" t="s">
        <v>4285</v>
      </c>
      <c r="G465" s="3267"/>
      <c r="H465" s="3267" t="s">
        <v>3130</v>
      </c>
      <c r="I465" s="3267"/>
      <c r="J465" s="3269" t="s">
        <v>3713</v>
      </c>
      <c r="K465" s="3267" t="s">
        <v>6454</v>
      </c>
      <c r="L465" s="3267">
        <v>45.32</v>
      </c>
      <c r="M465" s="3267">
        <v>2</v>
      </c>
      <c r="N465" s="3267" t="s">
        <v>3152</v>
      </c>
      <c r="O465" s="3267"/>
      <c r="P465" s="3267" t="s">
        <v>2963</v>
      </c>
      <c r="Q465" s="3271">
        <v>280000</v>
      </c>
      <c r="R465" s="3267">
        <v>6178</v>
      </c>
      <c r="S465" s="3272">
        <v>28.76</v>
      </c>
      <c r="T465" s="3275" t="s">
        <v>6403</v>
      </c>
      <c r="U465" s="3267">
        <v>6348</v>
      </c>
      <c r="V465" s="3289">
        <v>0.2</v>
      </c>
      <c r="W465" s="3272">
        <v>23</v>
      </c>
      <c r="X465" s="3275">
        <v>230000</v>
      </c>
      <c r="Y465" s="3276">
        <v>2006</v>
      </c>
      <c r="Z465" s="3276">
        <v>4</v>
      </c>
      <c r="AA465" s="3276">
        <v>28</v>
      </c>
      <c r="AB465" s="3267">
        <v>860</v>
      </c>
      <c r="AC465" s="3267" t="s">
        <v>2980</v>
      </c>
      <c r="AD465" s="3267"/>
      <c r="AE465" s="3267" t="s">
        <v>3238</v>
      </c>
      <c r="AF465" s="3267" t="s">
        <v>2966</v>
      </c>
      <c r="AG465" s="3279" t="s">
        <v>2967</v>
      </c>
      <c r="AH465" s="3267"/>
      <c r="AI465" s="3267" t="s">
        <v>2992</v>
      </c>
      <c r="AJ465" s="3284"/>
      <c r="AK465" s="3278">
        <v>4</v>
      </c>
      <c r="AL465" s="3267">
        <v>67641700</v>
      </c>
      <c r="AM465" s="3276"/>
      <c r="AN465" s="3279" t="s">
        <v>2994</v>
      </c>
      <c r="AO465" s="3276"/>
      <c r="AP465" s="3267" t="s">
        <v>4395</v>
      </c>
      <c r="AQ465" s="3267" t="s">
        <v>3113</v>
      </c>
      <c r="AR465" s="3276"/>
      <c r="AS465" s="3276"/>
      <c r="AT465" s="3276"/>
      <c r="AU465" s="3276"/>
      <c r="AV465" s="3276"/>
      <c r="AW465" s="3276" t="s">
        <v>3171</v>
      </c>
      <c r="AX465" s="3276"/>
      <c r="AY465" s="3291"/>
      <c r="AZ465" s="3276" t="s">
        <v>6457</v>
      </c>
      <c r="BA465" s="3276"/>
      <c r="BB465" s="3291"/>
      <c r="BC465" s="3276"/>
      <c r="BD465" s="3292"/>
      <c r="BE465" s="3276">
        <v>13051461836</v>
      </c>
      <c r="BF465" s="3281"/>
      <c r="BG465" s="3299">
        <v>38792</v>
      </c>
      <c r="BH465" s="3276"/>
      <c r="BI465" s="3314" t="s">
        <v>3238</v>
      </c>
      <c r="BJ465" s="3283">
        <v>38834</v>
      </c>
      <c r="BK465" s="3283"/>
      <c r="BL465" s="3267" t="s">
        <v>2998</v>
      </c>
      <c r="BM465" s="3276" t="s">
        <v>2879</v>
      </c>
      <c r="BN465" s="3276" t="s">
        <v>2999</v>
      </c>
      <c r="BO465" s="3276" t="s">
        <v>3446</v>
      </c>
      <c r="BP465" s="3276"/>
      <c r="BQ465" s="3276"/>
      <c r="BR465" s="3276"/>
      <c r="BS465" s="3285"/>
      <c r="BT465" s="3285"/>
      <c r="BU465" s="3285"/>
      <c r="BV465" s="3262"/>
      <c r="BW465" s="3262"/>
      <c r="BX465" s="3262"/>
      <c r="BY465" s="3262"/>
      <c r="BZ465" s="3262"/>
      <c r="CA465" s="3262"/>
      <c r="CB465" s="3262"/>
      <c r="CC465" s="3262"/>
      <c r="CD465" s="3262"/>
      <c r="CE465" s="3262"/>
      <c r="CF465" s="3262"/>
      <c r="CG465" s="3262"/>
      <c r="CH465" s="3262"/>
      <c r="CI465" s="3262"/>
      <c r="CJ465" s="3262"/>
      <c r="CK465" s="3262"/>
      <c r="CL465" s="3262"/>
      <c r="CM465" s="3262"/>
      <c r="CN465" s="3262"/>
      <c r="CO465" s="3262"/>
      <c r="CP465" s="3262"/>
      <c r="CQ465" s="3262"/>
      <c r="CR465" s="3262"/>
      <c r="CS465" s="3262"/>
      <c r="CT465" s="3262"/>
      <c r="CU465" s="3262"/>
      <c r="CV465" s="3262"/>
      <c r="CW465" s="3262"/>
      <c r="CX465" s="3262"/>
      <c r="CY465" s="3262"/>
      <c r="CZ465" s="3262"/>
      <c r="DA465" s="3262"/>
      <c r="DB465" s="3262"/>
      <c r="DC465" s="3262"/>
      <c r="DD465" s="3262"/>
      <c r="DE465" s="3262"/>
      <c r="DF465" s="3262"/>
      <c r="DG465" s="3262"/>
      <c r="DH465" s="3262"/>
      <c r="DI465" s="3262"/>
      <c r="DJ465" s="3262"/>
      <c r="DK465" s="3262"/>
      <c r="DL465" s="3262"/>
      <c r="DM465" s="3262"/>
      <c r="DN465" s="3262"/>
      <c r="DO465" s="3262"/>
      <c r="DP465" s="3262"/>
      <c r="DQ465" s="3262"/>
      <c r="DR465" s="3262"/>
      <c r="DS465" s="3262"/>
      <c r="DT465" s="3262"/>
      <c r="DU465" s="3262"/>
      <c r="DV465" s="3262"/>
      <c r="DW465" s="3262"/>
      <c r="DX465" s="3262"/>
      <c r="DY465" s="3262"/>
      <c r="DZ465" s="3262"/>
      <c r="EA465" s="3262"/>
      <c r="EB465" s="3262"/>
      <c r="EC465" s="3262"/>
      <c r="ED465" s="3262"/>
      <c r="EE465" s="3262"/>
      <c r="EF465" s="3262"/>
      <c r="EG465" s="3262"/>
      <c r="EH465" s="3262"/>
      <c r="EI465" s="3262"/>
      <c r="EJ465" s="3262"/>
      <c r="EK465" s="3262"/>
      <c r="EL465" s="3262"/>
      <c r="EM465" s="3262"/>
      <c r="EN465" s="3262"/>
      <c r="EO465" s="3262"/>
      <c r="EP465" s="3262"/>
      <c r="EQ465" s="3262"/>
      <c r="ER465" s="3262"/>
      <c r="ES465" s="3262"/>
      <c r="ET465" s="3262"/>
      <c r="EU465" s="3262"/>
      <c r="EV465" s="3262"/>
      <c r="EW465" s="3262"/>
      <c r="EX465" s="3262"/>
      <c r="EY465" s="3262"/>
      <c r="EZ465" s="3262"/>
      <c r="FA465" s="3262"/>
      <c r="FB465" s="3262"/>
      <c r="FC465" s="3262"/>
      <c r="FD465" s="3262"/>
      <c r="FE465" s="3262"/>
      <c r="FF465" s="3262"/>
      <c r="FG465" s="3262"/>
      <c r="FH465" s="3262"/>
      <c r="FI465" s="3262"/>
      <c r="FJ465" s="3262"/>
      <c r="FK465" s="3262"/>
      <c r="FL465" s="3262"/>
      <c r="FM465" s="3262"/>
      <c r="FN465" s="3262"/>
      <c r="FO465" s="3262"/>
      <c r="FP465" s="3262"/>
      <c r="FQ465" s="3262"/>
      <c r="FR465" s="3262"/>
      <c r="FS465" s="3262"/>
      <c r="FT465" s="3262"/>
      <c r="FU465" s="3262"/>
      <c r="FV465" s="3262"/>
      <c r="FW465" s="3262"/>
      <c r="FX465" s="3262"/>
      <c r="FY465" s="3262"/>
      <c r="FZ465" s="3262"/>
      <c r="GA465" s="3262"/>
      <c r="GB465" s="3262"/>
      <c r="GC465" s="3262"/>
      <c r="GD465" s="3262"/>
      <c r="GE465" s="3262"/>
      <c r="GF465" s="3262"/>
      <c r="GG465" s="3262"/>
      <c r="GH465" s="3262"/>
      <c r="GI465" s="3262"/>
      <c r="GJ465" s="3262"/>
      <c r="GK465" s="3262"/>
      <c r="GL465" s="3262"/>
      <c r="GM465" s="3262"/>
      <c r="GN465" s="3262"/>
      <c r="GO465" s="3262"/>
      <c r="GP465" s="3262"/>
      <c r="GQ465" s="3262"/>
      <c r="GR465" s="3262"/>
      <c r="GS465" s="3262"/>
      <c r="GT465" s="3262"/>
      <c r="GU465" s="3262"/>
      <c r="GV465" s="3262"/>
      <c r="GW465" s="3262"/>
      <c r="GX465" s="3262"/>
      <c r="GY465" s="3262"/>
      <c r="GZ465" s="3262"/>
      <c r="HA465" s="3262"/>
      <c r="HB465" s="3262"/>
      <c r="HC465" s="3262"/>
      <c r="HD465" s="3262"/>
      <c r="HE465" s="3262"/>
      <c r="HF465" s="3262"/>
      <c r="HG465" s="3262"/>
      <c r="HH465" s="3262"/>
      <c r="HI465" s="3262"/>
      <c r="HJ465" s="3262"/>
      <c r="HK465" s="3262"/>
      <c r="HL465" s="3262"/>
      <c r="HM465" s="3262"/>
      <c r="HN465" s="3262"/>
      <c r="HO465" s="3262"/>
      <c r="HP465" s="3262"/>
      <c r="HQ465" s="3262"/>
      <c r="HR465" s="3262"/>
      <c r="HS465" s="3262"/>
      <c r="HT465" s="3262"/>
      <c r="HU465" s="3262"/>
      <c r="HV465" s="3262"/>
      <c r="HW465" s="3262"/>
      <c r="HX465" s="3262"/>
      <c r="HY465" s="3262"/>
      <c r="HZ465" s="3262"/>
      <c r="IA465" s="3262"/>
      <c r="IB465" s="3262"/>
      <c r="IC465" s="3262"/>
      <c r="ID465" s="3262"/>
      <c r="IE465" s="3262"/>
      <c r="IF465" s="3262"/>
      <c r="IG465" s="3262"/>
      <c r="IH465" s="3262"/>
      <c r="II465" s="3262"/>
    </row>
    <row r="466" spans="1:243" hidden="1">
      <c r="A466" s="3267" t="s">
        <v>6458</v>
      </c>
      <c r="B466" s="3267" t="s">
        <v>6459</v>
      </c>
      <c r="C466" s="3269" t="s">
        <v>6460</v>
      </c>
      <c r="D466" s="3267">
        <v>13911156622</v>
      </c>
      <c r="E466" s="3267" t="s">
        <v>2985</v>
      </c>
      <c r="F466" s="3267" t="s">
        <v>3912</v>
      </c>
      <c r="G466" s="3267"/>
      <c r="H466" s="3267" t="s">
        <v>3263</v>
      </c>
      <c r="I466" s="3267"/>
      <c r="J466" s="3267" t="s">
        <v>6461</v>
      </c>
      <c r="K466" s="3268" t="s">
        <v>6462</v>
      </c>
      <c r="L466" s="3267">
        <v>85.02</v>
      </c>
      <c r="M466" s="3267">
        <v>22</v>
      </c>
      <c r="N466" s="3267" t="s">
        <v>3122</v>
      </c>
      <c r="O466" s="3267"/>
      <c r="P466" s="3267" t="s">
        <v>2963</v>
      </c>
      <c r="Q466" s="3267">
        <v>540000</v>
      </c>
      <c r="R466" s="3267">
        <v>6351</v>
      </c>
      <c r="S466" s="3272">
        <v>50.39</v>
      </c>
      <c r="T466" s="3273">
        <v>503900</v>
      </c>
      <c r="U466" s="3267">
        <v>5927</v>
      </c>
      <c r="V466" s="3274">
        <v>0.2</v>
      </c>
      <c r="W466" s="3272">
        <v>40.31</v>
      </c>
      <c r="X466" s="3275">
        <v>403100</v>
      </c>
      <c r="Y466" s="3267">
        <v>2006</v>
      </c>
      <c r="Z466" s="3267">
        <v>5</v>
      </c>
      <c r="AA466" s="3276">
        <v>15</v>
      </c>
      <c r="AB466" s="3267">
        <v>1500</v>
      </c>
      <c r="AC466" s="3267" t="s">
        <v>2980</v>
      </c>
      <c r="AD466" s="3267"/>
      <c r="AE466" s="3276" t="s">
        <v>2991</v>
      </c>
      <c r="AF466" s="3267" t="s">
        <v>2966</v>
      </c>
      <c r="AG466" s="3267" t="s">
        <v>2967</v>
      </c>
      <c r="AH466" s="3267"/>
      <c r="AI466" s="3267" t="s">
        <v>3115</v>
      </c>
      <c r="AJ466" s="3284"/>
      <c r="AK466" s="3267" t="s">
        <v>3099</v>
      </c>
      <c r="AL466" s="3267">
        <v>82253558</v>
      </c>
      <c r="AM466" s="3267"/>
      <c r="AN466" s="3267" t="s">
        <v>3140</v>
      </c>
      <c r="AO466" s="3267" t="s">
        <v>2968</v>
      </c>
      <c r="AP466" s="3267" t="s">
        <v>2991</v>
      </c>
      <c r="AQ466" s="3267" t="s">
        <v>3228</v>
      </c>
      <c r="AR466" s="3267">
        <v>2006</v>
      </c>
      <c r="AS466" s="3267">
        <v>5</v>
      </c>
      <c r="AT466" s="3267">
        <v>15</v>
      </c>
      <c r="AU466" s="3267"/>
      <c r="AV466" s="3267"/>
      <c r="AW466" s="3267" t="s">
        <v>2997</v>
      </c>
      <c r="AX466" s="3267"/>
      <c r="AY466" s="3269"/>
      <c r="AZ466" s="3267" t="s">
        <v>6462</v>
      </c>
      <c r="BA466" s="3267"/>
      <c r="BB466" s="3267"/>
      <c r="BC466" s="3267"/>
      <c r="BD466" s="3267"/>
      <c r="BE466" s="3267"/>
      <c r="BF466" s="3267"/>
      <c r="BG466" s="3307">
        <v>38817</v>
      </c>
      <c r="BH466" s="3267"/>
      <c r="BI466" s="3267" t="s">
        <v>2991</v>
      </c>
      <c r="BJ466" s="3283">
        <v>38834</v>
      </c>
      <c r="BK466" s="3283"/>
      <c r="BL466" s="3267" t="s">
        <v>2998</v>
      </c>
      <c r="BM466" s="3267" t="s">
        <v>2879</v>
      </c>
      <c r="BN466" s="3267" t="s">
        <v>2999</v>
      </c>
      <c r="BO466" s="3267" t="s">
        <v>3000</v>
      </c>
      <c r="BP466" s="3267"/>
      <c r="BQ466" s="3276" t="e">
        <v>#DIV/0!</v>
      </c>
      <c r="BR466" s="3276" t="e">
        <v>#DIV/0!</v>
      </c>
      <c r="BS466" s="3285"/>
      <c r="BT466" s="3285"/>
      <c r="BU466" s="3285"/>
    </row>
    <row r="467" spans="1:243" hidden="1">
      <c r="A467" s="3268" t="s">
        <v>6463</v>
      </c>
      <c r="B467" s="3267" t="s">
        <v>6464</v>
      </c>
      <c r="C467" s="3269" t="s">
        <v>6465</v>
      </c>
      <c r="D467" s="3269" t="s">
        <v>6466</v>
      </c>
      <c r="E467" s="3267" t="s">
        <v>2985</v>
      </c>
      <c r="F467" s="3308" t="s">
        <v>6467</v>
      </c>
      <c r="G467" s="3267" t="s">
        <v>2968</v>
      </c>
      <c r="H467" s="3267" t="s">
        <v>3225</v>
      </c>
      <c r="I467" s="3268" t="s">
        <v>3254</v>
      </c>
      <c r="J467" s="3269" t="s">
        <v>3126</v>
      </c>
      <c r="K467" s="3267" t="s">
        <v>6468</v>
      </c>
      <c r="L467" s="3267">
        <v>152.18</v>
      </c>
      <c r="M467" s="3267">
        <v>6</v>
      </c>
      <c r="N467" s="3267" t="s">
        <v>3129</v>
      </c>
      <c r="O467" s="3267"/>
      <c r="P467" s="3267" t="s">
        <v>6218</v>
      </c>
      <c r="Q467" s="3271">
        <v>532630</v>
      </c>
      <c r="R467" s="3267">
        <v>3500</v>
      </c>
      <c r="S467" s="3272">
        <v>55.07</v>
      </c>
      <c r="T467" s="3273">
        <v>550700</v>
      </c>
      <c r="U467" s="3267">
        <v>3619</v>
      </c>
      <c r="V467" s="3289">
        <v>0.2</v>
      </c>
      <c r="W467" s="3272">
        <v>44.05</v>
      </c>
      <c r="X467" s="3275">
        <v>440500</v>
      </c>
      <c r="Y467" s="3276">
        <v>2006</v>
      </c>
      <c r="Z467" s="3276">
        <v>5</v>
      </c>
      <c r="AA467" s="3276">
        <v>11</v>
      </c>
      <c r="AB467" s="3267">
        <v>1500</v>
      </c>
      <c r="AC467" s="3267" t="s">
        <v>2980</v>
      </c>
      <c r="AD467" s="3267"/>
      <c r="AE467" s="3276" t="s">
        <v>3304</v>
      </c>
      <c r="AF467" s="3267" t="s">
        <v>2966</v>
      </c>
      <c r="AG467" s="3279" t="s">
        <v>2967</v>
      </c>
      <c r="AH467" s="3267" t="s">
        <v>2968</v>
      </c>
      <c r="AI467" s="3267" t="s">
        <v>2992</v>
      </c>
      <c r="AJ467" s="3284"/>
      <c r="AK467" s="3278" t="s">
        <v>3099</v>
      </c>
      <c r="AL467" s="3276">
        <v>67641700</v>
      </c>
      <c r="AM467" s="3276"/>
      <c r="AN467" s="3279" t="s">
        <v>3131</v>
      </c>
      <c r="AO467" s="3276" t="s">
        <v>2968</v>
      </c>
      <c r="AP467" s="3276" t="s">
        <v>3305</v>
      </c>
      <c r="AQ467" s="3267" t="s">
        <v>3228</v>
      </c>
      <c r="AR467" s="3276"/>
      <c r="AS467" s="3276"/>
      <c r="AT467" s="3276"/>
      <c r="AU467" s="3276"/>
      <c r="AV467" s="3276"/>
      <c r="AW467" s="3267"/>
      <c r="AX467" s="3267"/>
      <c r="AY467" s="3309"/>
      <c r="AZ467" s="3267" t="s">
        <v>6468</v>
      </c>
      <c r="BA467" s="3276"/>
      <c r="BB467" s="3291"/>
      <c r="BC467" s="3276"/>
      <c r="BD467" s="3292"/>
      <c r="BE467" s="3276"/>
      <c r="BF467" s="3281"/>
      <c r="BG467" s="3299">
        <v>38832</v>
      </c>
      <c r="BH467" s="3276"/>
      <c r="BI467" s="3267" t="s">
        <v>3396</v>
      </c>
      <c r="BJ467" s="3284">
        <v>38834</v>
      </c>
      <c r="BK467" s="3299"/>
      <c r="BL467" s="3267" t="s">
        <v>4905</v>
      </c>
      <c r="BM467" s="3276" t="s">
        <v>2879</v>
      </c>
      <c r="BN467" s="3276" t="s">
        <v>3111</v>
      </c>
      <c r="BO467" s="3267" t="s">
        <v>3000</v>
      </c>
      <c r="BP467" s="3276"/>
      <c r="BQ467" s="3276" t="e">
        <v>#DIV/0!</v>
      </c>
      <c r="BR467" s="3276" t="e">
        <v>#DIV/0!</v>
      </c>
      <c r="BS467" s="3285"/>
      <c r="BT467" s="3285"/>
      <c r="BU467" s="3285"/>
    </row>
    <row r="468" spans="1:243" hidden="1">
      <c r="A468" s="3267" t="s">
        <v>6469</v>
      </c>
      <c r="B468" s="3267" t="s">
        <v>6470</v>
      </c>
      <c r="C468" s="3269" t="s">
        <v>6471</v>
      </c>
      <c r="D468" s="3267">
        <v>13911675722</v>
      </c>
      <c r="E468" s="3267" t="s">
        <v>2985</v>
      </c>
      <c r="F468" s="3267" t="s">
        <v>6472</v>
      </c>
      <c r="G468" s="3267"/>
      <c r="H468" s="3267" t="s">
        <v>3263</v>
      </c>
      <c r="I468" s="3267"/>
      <c r="J468" s="3267" t="s">
        <v>6473</v>
      </c>
      <c r="K468" s="3268" t="s">
        <v>6474</v>
      </c>
      <c r="L468" s="3267">
        <v>62.59</v>
      </c>
      <c r="M468" s="3267">
        <v>3</v>
      </c>
      <c r="N468" s="3267" t="s">
        <v>3125</v>
      </c>
      <c r="O468" s="3267"/>
      <c r="P468" s="3267" t="s">
        <v>2963</v>
      </c>
      <c r="Q468" s="3267">
        <v>346000</v>
      </c>
      <c r="R468" s="3267">
        <v>5528</v>
      </c>
      <c r="S468" s="3272">
        <v>28.06</v>
      </c>
      <c r="T468" s="3273">
        <v>280600</v>
      </c>
      <c r="U468" s="3267">
        <v>4484</v>
      </c>
      <c r="V468" s="3274">
        <v>0.2</v>
      </c>
      <c r="W468" s="3272">
        <v>22.44</v>
      </c>
      <c r="X468" s="3275">
        <v>224400</v>
      </c>
      <c r="Y468" s="3267">
        <v>2006</v>
      </c>
      <c r="Z468" s="3267">
        <v>5</v>
      </c>
      <c r="AA468" s="3276">
        <v>12</v>
      </c>
      <c r="AB468" s="3267">
        <v>840</v>
      </c>
      <c r="AC468" s="3267" t="s">
        <v>6475</v>
      </c>
      <c r="AD468" s="3267"/>
      <c r="AE468" s="3294" t="s">
        <v>2991</v>
      </c>
      <c r="AF468" s="3267" t="s">
        <v>2966</v>
      </c>
      <c r="AG468" s="3267" t="s">
        <v>2967</v>
      </c>
      <c r="AH468" s="3267"/>
      <c r="AI468" s="3267" t="s">
        <v>3115</v>
      </c>
      <c r="AJ468" s="3315"/>
      <c r="AK468" s="3267" t="s">
        <v>3099</v>
      </c>
      <c r="AL468" s="3267">
        <v>82253558</v>
      </c>
      <c r="AM468" s="3267"/>
      <c r="AN468" s="3267" t="s">
        <v>3131</v>
      </c>
      <c r="AO468" s="3267" t="s">
        <v>2968</v>
      </c>
      <c r="AP468" s="3267" t="s">
        <v>3304</v>
      </c>
      <c r="AQ468" s="3267" t="s">
        <v>3228</v>
      </c>
      <c r="AR468" s="3276">
        <v>2006</v>
      </c>
      <c r="AS468" s="3276">
        <v>5</v>
      </c>
      <c r="AT468" s="3276">
        <v>12</v>
      </c>
      <c r="AU468" s="3267"/>
      <c r="AV468" s="3267"/>
      <c r="AW468" s="3267" t="s">
        <v>2997</v>
      </c>
      <c r="AX468" s="3267"/>
      <c r="AY468" s="3269"/>
      <c r="AZ468" s="3267" t="s">
        <v>6474</v>
      </c>
      <c r="BA468" s="3267"/>
      <c r="BB468" s="3267"/>
      <c r="BC468" s="3267"/>
      <c r="BD468" s="3267"/>
      <c r="BE468" s="3267"/>
      <c r="BF468" s="3267"/>
      <c r="BG468" s="3307">
        <v>38833</v>
      </c>
      <c r="BH468" s="3267"/>
      <c r="BI468" s="3267" t="s">
        <v>2991</v>
      </c>
      <c r="BJ468" s="3283">
        <v>38835</v>
      </c>
      <c r="BK468" s="3283"/>
      <c r="BL468" s="3267" t="s">
        <v>2998</v>
      </c>
      <c r="BM468" s="3267" t="s">
        <v>2879</v>
      </c>
      <c r="BN468" s="3267" t="s">
        <v>2999</v>
      </c>
      <c r="BO468" s="3267" t="s">
        <v>3000</v>
      </c>
      <c r="BP468" s="3267"/>
      <c r="BQ468" s="3276" t="e">
        <v>#DIV/0!</v>
      </c>
      <c r="BR468" s="3276" t="e">
        <v>#DIV/0!</v>
      </c>
      <c r="BS468" s="3285"/>
      <c r="BT468" s="3285"/>
      <c r="BU468" s="3285"/>
    </row>
    <row r="469" spans="1:243" hidden="1">
      <c r="A469" s="3267" t="s">
        <v>6476</v>
      </c>
      <c r="B469" s="3267" t="s">
        <v>6477</v>
      </c>
      <c r="C469" s="3269" t="s">
        <v>6478</v>
      </c>
      <c r="D469" s="3267">
        <v>13522015530</v>
      </c>
      <c r="E469" s="3267" t="s">
        <v>2985</v>
      </c>
      <c r="F469" s="3267" t="s">
        <v>3224</v>
      </c>
      <c r="G469" s="3267"/>
      <c r="H469" s="3267" t="s">
        <v>3225</v>
      </c>
      <c r="I469" s="3267"/>
      <c r="J469" s="3267" t="s">
        <v>6479</v>
      </c>
      <c r="K469" s="3268" t="s">
        <v>6480</v>
      </c>
      <c r="L469" s="3267">
        <v>92.86</v>
      </c>
      <c r="M469" s="3267">
        <v>18</v>
      </c>
      <c r="N469" s="3267" t="s">
        <v>3122</v>
      </c>
      <c r="O469" s="3267"/>
      <c r="P469" s="3267" t="s">
        <v>2963</v>
      </c>
      <c r="Q469" s="3267">
        <v>440000</v>
      </c>
      <c r="R469" s="3267">
        <v>4738</v>
      </c>
      <c r="S469" s="3272">
        <v>37.76</v>
      </c>
      <c r="T469" s="3273">
        <v>377600</v>
      </c>
      <c r="U469" s="3267">
        <v>4067</v>
      </c>
      <c r="V469" s="3274">
        <v>0.2</v>
      </c>
      <c r="W469" s="3272">
        <v>30.2</v>
      </c>
      <c r="X469" s="3275">
        <v>302000</v>
      </c>
      <c r="Y469" s="3267">
        <v>2006</v>
      </c>
      <c r="Z469" s="3267">
        <v>5</v>
      </c>
      <c r="AA469" s="3276">
        <v>12</v>
      </c>
      <c r="AB469" s="3267">
        <v>1130</v>
      </c>
      <c r="AC469" s="3267" t="s">
        <v>6475</v>
      </c>
      <c r="AD469" s="3267"/>
      <c r="AE469" s="3294" t="s">
        <v>2991</v>
      </c>
      <c r="AF469" s="3267" t="s">
        <v>2966</v>
      </c>
      <c r="AG469" s="3267" t="s">
        <v>2967</v>
      </c>
      <c r="AH469" s="3267"/>
      <c r="AI469" s="3267" t="s">
        <v>3115</v>
      </c>
      <c r="AJ469" s="3315"/>
      <c r="AK469" s="3267" t="s">
        <v>3099</v>
      </c>
      <c r="AL469" s="3267">
        <v>82253558</v>
      </c>
      <c r="AM469" s="3267"/>
      <c r="AN469" s="3267" t="s">
        <v>3131</v>
      </c>
      <c r="AO469" s="3267" t="s">
        <v>2968</v>
      </c>
      <c r="AP469" s="3267" t="s">
        <v>3304</v>
      </c>
      <c r="AQ469" s="3267" t="s">
        <v>3228</v>
      </c>
      <c r="AR469" s="3276">
        <v>2006</v>
      </c>
      <c r="AS469" s="3276">
        <v>5</v>
      </c>
      <c r="AT469" s="3276">
        <v>12</v>
      </c>
      <c r="AU469" s="3267"/>
      <c r="AV469" s="3267"/>
      <c r="AW469" s="3267" t="s">
        <v>2997</v>
      </c>
      <c r="AX469" s="3267"/>
      <c r="AY469" s="3269"/>
      <c r="AZ469" s="3267" t="s">
        <v>6480</v>
      </c>
      <c r="BA469" s="3267"/>
      <c r="BB469" s="3267"/>
      <c r="BC469" s="3267"/>
      <c r="BD469" s="3267"/>
      <c r="BE469" s="3267"/>
      <c r="BF469" s="3267"/>
      <c r="BG469" s="3307">
        <v>38826</v>
      </c>
      <c r="BH469" s="3267"/>
      <c r="BI469" s="3267" t="s">
        <v>2991</v>
      </c>
      <c r="BJ469" s="3283">
        <v>38835</v>
      </c>
      <c r="BK469" s="3283"/>
      <c r="BL469" s="3267" t="s">
        <v>2998</v>
      </c>
      <c r="BM469" s="3267" t="s">
        <v>2879</v>
      </c>
      <c r="BN469" s="3267" t="s">
        <v>2999</v>
      </c>
      <c r="BO469" s="3267" t="s">
        <v>3000</v>
      </c>
      <c r="BP469" s="3267"/>
      <c r="BQ469" s="3276" t="e">
        <v>#DIV/0!</v>
      </c>
      <c r="BR469" s="3276" t="e">
        <v>#DIV/0!</v>
      </c>
      <c r="BS469" s="3285"/>
      <c r="BT469" s="3285"/>
      <c r="BU469" s="3285"/>
    </row>
    <row r="470" spans="1:243">
      <c r="A470" s="3267" t="s">
        <v>6481</v>
      </c>
      <c r="B470" s="3267" t="s">
        <v>6482</v>
      </c>
      <c r="C470" s="3269" t="s">
        <v>6483</v>
      </c>
      <c r="D470" s="3269" t="s">
        <v>6484</v>
      </c>
      <c r="E470" s="3268" t="s">
        <v>2985</v>
      </c>
      <c r="F470" s="3268" t="s">
        <v>3273</v>
      </c>
      <c r="G470" s="3267"/>
      <c r="H470" s="3268" t="s">
        <v>3130</v>
      </c>
      <c r="I470" s="3268" t="s">
        <v>6485</v>
      </c>
      <c r="J470" s="3267" t="s">
        <v>3614</v>
      </c>
      <c r="K470" s="3267" t="s">
        <v>6482</v>
      </c>
      <c r="L470" s="3267">
        <v>63.28</v>
      </c>
      <c r="M470" s="3267">
        <v>8</v>
      </c>
      <c r="N470" s="3267" t="s">
        <v>3122</v>
      </c>
      <c r="O470" s="3267"/>
      <c r="P470" s="3267" t="s">
        <v>2963</v>
      </c>
      <c r="Q470" s="3271">
        <v>505000</v>
      </c>
      <c r="R470" s="3267">
        <v>7980</v>
      </c>
      <c r="S470" s="3272">
        <v>41.51</v>
      </c>
      <c r="T470" s="3273">
        <v>415100</v>
      </c>
      <c r="U470" s="3267">
        <v>6560</v>
      </c>
      <c r="V470" s="3289">
        <v>0.2</v>
      </c>
      <c r="W470" s="3272">
        <v>33.200000000000003</v>
      </c>
      <c r="X470" s="3275">
        <v>332000</v>
      </c>
      <c r="Y470" s="3276">
        <v>2006</v>
      </c>
      <c r="Z470" s="3276">
        <v>5</v>
      </c>
      <c r="AA470" s="3276">
        <v>17</v>
      </c>
      <c r="AB470" s="3267">
        <v>1245</v>
      </c>
      <c r="AC470" s="3267" t="s">
        <v>2980</v>
      </c>
      <c r="AD470" s="3267"/>
      <c r="AE470" s="3314" t="s">
        <v>3344</v>
      </c>
      <c r="AF470" s="3268" t="s">
        <v>2966</v>
      </c>
      <c r="AG470" s="3279" t="s">
        <v>2967</v>
      </c>
      <c r="AH470" s="3267" t="s">
        <v>2968</v>
      </c>
      <c r="AI470" s="3279" t="s">
        <v>2992</v>
      </c>
      <c r="AJ470" s="3284"/>
      <c r="AK470" s="3278">
        <v>5</v>
      </c>
      <c r="AL470" s="3276">
        <v>67641700</v>
      </c>
      <c r="AM470" s="3276"/>
      <c r="AN470" s="3279" t="s">
        <v>3140</v>
      </c>
      <c r="AO470" s="3267" t="s">
        <v>2968</v>
      </c>
      <c r="AP470" s="3279" t="s">
        <v>3305</v>
      </c>
      <c r="AQ470" s="3267" t="s">
        <v>3228</v>
      </c>
      <c r="AR470" s="3276"/>
      <c r="AS470" s="3276"/>
      <c r="AT470" s="3276"/>
      <c r="AU470" s="3276"/>
      <c r="AV470" s="3276" t="s">
        <v>2968</v>
      </c>
      <c r="AW470" s="3276" t="s">
        <v>2997</v>
      </c>
      <c r="AX470" s="3276"/>
      <c r="AY470" s="3291"/>
      <c r="AZ470" s="3267" t="s">
        <v>6486</v>
      </c>
      <c r="BA470" s="3296"/>
      <c r="BB470" s="3297"/>
      <c r="BC470" s="3296"/>
      <c r="BD470" s="3298"/>
      <c r="BE470" s="3276">
        <v>13693226189</v>
      </c>
      <c r="BF470" s="3281"/>
      <c r="BG470" s="3293">
        <v>38834</v>
      </c>
      <c r="BH470" s="3267" t="s">
        <v>2998</v>
      </c>
      <c r="BI470" s="3314" t="s">
        <v>3305</v>
      </c>
      <c r="BJ470" s="3283">
        <v>38835</v>
      </c>
      <c r="BK470" s="3283"/>
      <c r="BL470" s="3267" t="s">
        <v>3249</v>
      </c>
      <c r="BM470" s="3276" t="s">
        <v>2879</v>
      </c>
      <c r="BN470" s="3276" t="s">
        <v>2999</v>
      </c>
      <c r="BO470" s="3276" t="s">
        <v>3146</v>
      </c>
      <c r="BP470" s="3276"/>
      <c r="BQ470" s="3276" t="e">
        <v>#DIV/0!</v>
      </c>
      <c r="BR470" s="3276" t="e">
        <v>#DIV/0!</v>
      </c>
      <c r="BS470" s="3285"/>
      <c r="BT470" s="3285"/>
      <c r="BU470" s="3285"/>
    </row>
    <row r="471" spans="1:243" hidden="1">
      <c r="A471" s="3267" t="s">
        <v>6487</v>
      </c>
      <c r="B471" s="3267" t="s">
        <v>6488</v>
      </c>
      <c r="C471" s="3269" t="s">
        <v>6489</v>
      </c>
      <c r="D471" s="3269" t="s">
        <v>6490</v>
      </c>
      <c r="E471" s="3267" t="s">
        <v>2985</v>
      </c>
      <c r="F471" s="3267" t="s">
        <v>3450</v>
      </c>
      <c r="G471" s="3267"/>
      <c r="H471" s="3267" t="s">
        <v>3124</v>
      </c>
      <c r="I471" s="3267"/>
      <c r="J471" s="3269" t="s">
        <v>6491</v>
      </c>
      <c r="K471" s="3267" t="s">
        <v>6492</v>
      </c>
      <c r="L471" s="3286">
        <v>91.06</v>
      </c>
      <c r="M471" s="3267">
        <v>3</v>
      </c>
      <c r="N471" s="3268" t="s">
        <v>3098</v>
      </c>
      <c r="O471" s="3267"/>
      <c r="P471" s="3267" t="s">
        <v>2963</v>
      </c>
      <c r="Q471" s="3287">
        <v>600000</v>
      </c>
      <c r="R471" s="3267">
        <v>6589</v>
      </c>
      <c r="S471" s="3272">
        <v>57.29</v>
      </c>
      <c r="T471" s="3273">
        <v>572900</v>
      </c>
      <c r="U471" s="3267">
        <v>6292</v>
      </c>
      <c r="V471" s="3289">
        <v>0.2</v>
      </c>
      <c r="W471" s="3272">
        <v>45.83</v>
      </c>
      <c r="X471" s="3275">
        <v>458300</v>
      </c>
      <c r="Y471" s="3276">
        <v>2006</v>
      </c>
      <c r="Z471" s="3276">
        <v>5</v>
      </c>
      <c r="AA471" s="3267">
        <v>12</v>
      </c>
      <c r="AB471" s="3267">
        <v>1500</v>
      </c>
      <c r="AC471" s="3267" t="s">
        <v>2980</v>
      </c>
      <c r="AD471" s="3267"/>
      <c r="AE471" s="3267" t="s">
        <v>3304</v>
      </c>
      <c r="AF471" s="3268" t="s">
        <v>2966</v>
      </c>
      <c r="AG471" s="3267" t="s">
        <v>2967</v>
      </c>
      <c r="AH471" s="3267"/>
      <c r="AI471" s="3279" t="s">
        <v>3295</v>
      </c>
      <c r="AJ471" s="3290"/>
      <c r="AK471" s="3316" t="s">
        <v>3099</v>
      </c>
      <c r="AL471" s="3276">
        <v>67641700</v>
      </c>
      <c r="AM471" s="3276"/>
      <c r="AN471" s="3279" t="s">
        <v>3131</v>
      </c>
      <c r="AO471" s="3276"/>
      <c r="AP471" s="3267" t="s">
        <v>3305</v>
      </c>
      <c r="AQ471" s="3267" t="s">
        <v>3228</v>
      </c>
      <c r="AR471" s="3276">
        <v>2006</v>
      </c>
      <c r="AS471" s="3276">
        <v>5</v>
      </c>
      <c r="AT471" s="3276">
        <v>12</v>
      </c>
      <c r="AU471" s="3267"/>
      <c r="AV471" s="3276"/>
      <c r="AW471" s="3276" t="s">
        <v>2997</v>
      </c>
      <c r="AX471" s="3276" t="s">
        <v>2968</v>
      </c>
      <c r="AY471" s="3291"/>
      <c r="AZ471" s="3267" t="s">
        <v>6492</v>
      </c>
      <c r="BA471" s="3276"/>
      <c r="BB471" s="3291"/>
      <c r="BC471" s="3276"/>
      <c r="BD471" s="3292"/>
      <c r="BE471" s="3291"/>
      <c r="BF471" s="3281"/>
      <c r="BG471" s="3293">
        <v>38820</v>
      </c>
      <c r="BH471" s="3276"/>
      <c r="BI471" s="3267" t="s">
        <v>2991</v>
      </c>
      <c r="BJ471" s="3284">
        <v>38835</v>
      </c>
      <c r="BK471" s="3299"/>
      <c r="BL471" s="3276" t="s">
        <v>2998</v>
      </c>
      <c r="BM471" s="3276" t="s">
        <v>2879</v>
      </c>
      <c r="BN471" s="3267" t="s">
        <v>2999</v>
      </c>
      <c r="BO471" s="3276" t="s">
        <v>3146</v>
      </c>
      <c r="BP471" s="3276"/>
      <c r="BQ471" s="3276" t="e">
        <v>#DIV/0!</v>
      </c>
      <c r="BR471" s="3276" t="e">
        <v>#DIV/0!</v>
      </c>
      <c r="BS471" s="3285"/>
      <c r="BT471" s="3285"/>
      <c r="BU471" s="3285"/>
    </row>
    <row r="472" spans="1:243" hidden="1">
      <c r="A472" s="3267" t="s">
        <v>6493</v>
      </c>
      <c r="B472" s="3267" t="s">
        <v>6494</v>
      </c>
      <c r="C472" s="3269" t="s">
        <v>6495</v>
      </c>
      <c r="D472" s="3269" t="s">
        <v>6496</v>
      </c>
      <c r="E472" s="3267" t="s">
        <v>2985</v>
      </c>
      <c r="F472" s="3267" t="s">
        <v>6497</v>
      </c>
      <c r="G472" s="3267"/>
      <c r="H472" s="3267" t="s">
        <v>3263</v>
      </c>
      <c r="I472" s="3267"/>
      <c r="J472" s="3269" t="s">
        <v>6498</v>
      </c>
      <c r="K472" s="3267" t="s">
        <v>6499</v>
      </c>
      <c r="L472" s="3286">
        <v>109.55</v>
      </c>
      <c r="M472" s="3267">
        <v>16</v>
      </c>
      <c r="N472" s="3268" t="s">
        <v>3125</v>
      </c>
      <c r="O472" s="3267"/>
      <c r="P472" s="3267" t="s">
        <v>2963</v>
      </c>
      <c r="Q472" s="3287">
        <v>680000</v>
      </c>
      <c r="R472" s="3267">
        <v>6207</v>
      </c>
      <c r="S472" s="3272">
        <v>66.98</v>
      </c>
      <c r="T472" s="3273">
        <v>669800</v>
      </c>
      <c r="U472" s="3267">
        <v>6115</v>
      </c>
      <c r="V472" s="3289">
        <v>0.2</v>
      </c>
      <c r="W472" s="3272">
        <v>53.58</v>
      </c>
      <c r="X472" s="3275">
        <v>535800</v>
      </c>
      <c r="Y472" s="3276">
        <v>2006</v>
      </c>
      <c r="Z472" s="3276">
        <v>5</v>
      </c>
      <c r="AA472" s="3267">
        <v>23</v>
      </c>
      <c r="AB472" s="3267">
        <v>1500</v>
      </c>
      <c r="AC472" s="3267" t="s">
        <v>2980</v>
      </c>
      <c r="AD472" s="3267"/>
      <c r="AE472" s="3267" t="s">
        <v>3304</v>
      </c>
      <c r="AF472" s="3268" t="s">
        <v>2966</v>
      </c>
      <c r="AG472" s="3267" t="s">
        <v>2967</v>
      </c>
      <c r="AH472" s="3267"/>
      <c r="AI472" s="3279" t="s">
        <v>3295</v>
      </c>
      <c r="AJ472" s="3290"/>
      <c r="AK472" s="3316" t="s">
        <v>3099</v>
      </c>
      <c r="AL472" s="3276">
        <v>67641700</v>
      </c>
      <c r="AM472" s="3276"/>
      <c r="AN472" s="3279" t="s">
        <v>3131</v>
      </c>
      <c r="AO472" s="3276"/>
      <c r="AP472" s="3267" t="s">
        <v>3305</v>
      </c>
      <c r="AQ472" s="3276" t="s">
        <v>2996</v>
      </c>
      <c r="AR472" s="3276"/>
      <c r="AS472" s="3276"/>
      <c r="AT472" s="3276"/>
      <c r="AU472" s="3267"/>
      <c r="AV472" s="3276"/>
      <c r="AW472" s="3276" t="s">
        <v>2997</v>
      </c>
      <c r="AX472" s="3276"/>
      <c r="AY472" s="3291"/>
      <c r="AZ472" s="3267" t="s">
        <v>6499</v>
      </c>
      <c r="BA472" s="3276"/>
      <c r="BB472" s="3291"/>
      <c r="BC472" s="3276"/>
      <c r="BD472" s="3292"/>
      <c r="BE472" s="3291"/>
      <c r="BF472" s="3281"/>
      <c r="BG472" s="3293">
        <v>38819</v>
      </c>
      <c r="BH472" s="3276"/>
      <c r="BI472" s="3267" t="s">
        <v>2991</v>
      </c>
      <c r="BJ472" s="3284">
        <v>38835</v>
      </c>
      <c r="BK472" s="3299"/>
      <c r="BL472" s="3276" t="s">
        <v>2998</v>
      </c>
      <c r="BM472" s="3276" t="s">
        <v>2879</v>
      </c>
      <c r="BN472" s="3267" t="s">
        <v>2999</v>
      </c>
      <c r="BO472" s="3276" t="s">
        <v>3146</v>
      </c>
      <c r="BP472" s="3276"/>
      <c r="BQ472" s="3276" t="e">
        <v>#DIV/0!</v>
      </c>
      <c r="BR472" s="3276" t="e">
        <v>#DIV/0!</v>
      </c>
      <c r="BS472" s="3285"/>
      <c r="BT472" s="3285"/>
      <c r="BU472" s="3285"/>
    </row>
    <row r="473" spans="1:243" hidden="1">
      <c r="A473" s="3267" t="s">
        <v>6500</v>
      </c>
      <c r="B473" s="3267" t="s">
        <v>6501</v>
      </c>
      <c r="C473" s="3269" t="s">
        <v>6502</v>
      </c>
      <c r="D473" s="3269" t="s">
        <v>6503</v>
      </c>
      <c r="E473" s="3268" t="s">
        <v>2985</v>
      </c>
      <c r="F473" s="3268" t="s">
        <v>3292</v>
      </c>
      <c r="G473" s="3267"/>
      <c r="H473" s="3268" t="s">
        <v>3244</v>
      </c>
      <c r="I473" s="3268"/>
      <c r="J473" s="3267" t="s">
        <v>4471</v>
      </c>
      <c r="K473" s="3267" t="s">
        <v>6501</v>
      </c>
      <c r="L473" s="3267">
        <v>127</v>
      </c>
      <c r="M473" s="3267">
        <v>13</v>
      </c>
      <c r="N473" s="3267" t="s">
        <v>3303</v>
      </c>
      <c r="O473" s="3267">
        <v>107.48</v>
      </c>
      <c r="P473" s="3267" t="s">
        <v>2963</v>
      </c>
      <c r="Q473" s="3271">
        <v>700000</v>
      </c>
      <c r="R473" s="3267">
        <v>5512</v>
      </c>
      <c r="S473" s="3272">
        <v>61.68</v>
      </c>
      <c r="T473" s="3273">
        <v>616800</v>
      </c>
      <c r="U473" s="3267">
        <v>4857</v>
      </c>
      <c r="V473" s="3289">
        <v>0.2</v>
      </c>
      <c r="W473" s="3272">
        <v>49.34</v>
      </c>
      <c r="X473" s="3275">
        <v>493400.00000000006</v>
      </c>
      <c r="Y473" s="3276">
        <v>2006</v>
      </c>
      <c r="Z473" s="3276">
        <v>5</v>
      </c>
      <c r="AA473" s="3294">
        <v>9</v>
      </c>
      <c r="AB473" s="3295">
        <v>1500</v>
      </c>
      <c r="AC473" s="3267" t="s">
        <v>2980</v>
      </c>
      <c r="AD473" s="3267"/>
      <c r="AE473" s="3314" t="s">
        <v>3344</v>
      </c>
      <c r="AF473" s="3268" t="s">
        <v>2966</v>
      </c>
      <c r="AG473" s="3279" t="s">
        <v>2967</v>
      </c>
      <c r="AH473" s="3267" t="s">
        <v>2968</v>
      </c>
      <c r="AI473" s="3279" t="s">
        <v>2992</v>
      </c>
      <c r="AJ473" s="3284"/>
      <c r="AK473" s="3278">
        <v>5</v>
      </c>
      <c r="AL473" s="3276">
        <v>67641700</v>
      </c>
      <c r="AM473" s="3276"/>
      <c r="AN473" s="3279" t="s">
        <v>3131</v>
      </c>
      <c r="AO473" s="3267" t="s">
        <v>2968</v>
      </c>
      <c r="AP473" s="3279" t="s">
        <v>3305</v>
      </c>
      <c r="AQ473" s="3276" t="s">
        <v>3113</v>
      </c>
      <c r="AR473" s="3276"/>
      <c r="AS473" s="3276"/>
      <c r="AT473" s="3276"/>
      <c r="AU473" s="3276"/>
      <c r="AV473" s="3276" t="s">
        <v>2968</v>
      </c>
      <c r="AW473" s="3276" t="s">
        <v>2997</v>
      </c>
      <c r="AX473" s="3276"/>
      <c r="AY473" s="3291"/>
      <c r="AZ473" s="3267" t="s">
        <v>6504</v>
      </c>
      <c r="BA473" s="3296"/>
      <c r="BB473" s="3297"/>
      <c r="BC473" s="3296"/>
      <c r="BD473" s="3298"/>
      <c r="BE473" s="3276">
        <v>13718835511</v>
      </c>
      <c r="BF473" s="3281"/>
      <c r="BG473" s="3293">
        <v>38835</v>
      </c>
      <c r="BH473" s="3267" t="s">
        <v>2998</v>
      </c>
      <c r="BI473" s="3314" t="s">
        <v>3305</v>
      </c>
      <c r="BJ473" s="3283">
        <v>38836</v>
      </c>
      <c r="BK473" s="3283"/>
      <c r="BL473" s="3267" t="s">
        <v>3249</v>
      </c>
      <c r="BM473" s="3276" t="s">
        <v>2879</v>
      </c>
      <c r="BN473" s="3276" t="s">
        <v>2999</v>
      </c>
      <c r="BO473" s="3276" t="s">
        <v>3146</v>
      </c>
      <c r="BP473" s="3276"/>
      <c r="BQ473" s="3276">
        <v>5739</v>
      </c>
      <c r="BR473" s="3276">
        <v>6513</v>
      </c>
      <c r="BS473" s="3285"/>
      <c r="BT473" s="3285"/>
      <c r="BU473" s="3285"/>
    </row>
    <row r="474" spans="1:243" hidden="1">
      <c r="A474" s="3267" t="s">
        <v>6505</v>
      </c>
      <c r="B474" s="3267" t="s">
        <v>6506</v>
      </c>
      <c r="C474" s="3269" t="s">
        <v>6507</v>
      </c>
      <c r="D474" s="3269" t="s">
        <v>6508</v>
      </c>
      <c r="E474" s="3267" t="s">
        <v>2985</v>
      </c>
      <c r="F474" s="3267" t="s">
        <v>6509</v>
      </c>
      <c r="G474" s="3267"/>
      <c r="H474" s="3267" t="s">
        <v>3964</v>
      </c>
      <c r="I474" s="3267"/>
      <c r="J474" s="3269" t="s">
        <v>6510</v>
      </c>
      <c r="K474" s="3267" t="s">
        <v>6511</v>
      </c>
      <c r="L474" s="3267">
        <v>95.37</v>
      </c>
      <c r="M474" s="3267">
        <v>7</v>
      </c>
      <c r="N474" s="3267" t="s">
        <v>3122</v>
      </c>
      <c r="O474" s="3267"/>
      <c r="P474" s="3267" t="s">
        <v>2963</v>
      </c>
      <c r="Q474" s="3271">
        <v>653000</v>
      </c>
      <c r="R474" s="3267">
        <v>6847</v>
      </c>
      <c r="S474" s="3272">
        <v>59.07</v>
      </c>
      <c r="T474" s="3273">
        <v>590700</v>
      </c>
      <c r="U474" s="3267">
        <v>6194</v>
      </c>
      <c r="V474" s="3289">
        <v>0.2</v>
      </c>
      <c r="W474" s="3272">
        <v>47.25</v>
      </c>
      <c r="X474" s="3275">
        <v>472500</v>
      </c>
      <c r="Y474" s="3276">
        <v>2006</v>
      </c>
      <c r="Z474" s="3276">
        <v>6</v>
      </c>
      <c r="AA474" s="3276">
        <v>16</v>
      </c>
      <c r="AB474" s="3267">
        <v>1500</v>
      </c>
      <c r="AC474" s="3267" t="s">
        <v>2980</v>
      </c>
      <c r="AD474" s="3267"/>
      <c r="AE474" s="3276" t="s">
        <v>3304</v>
      </c>
      <c r="AF474" s="3267" t="s">
        <v>2966</v>
      </c>
      <c r="AG474" s="3267" t="s">
        <v>2967</v>
      </c>
      <c r="AH474" s="3267"/>
      <c r="AI474" s="3267" t="s">
        <v>2992</v>
      </c>
      <c r="AJ474" s="3284"/>
      <c r="AK474" s="3316" t="s">
        <v>3160</v>
      </c>
      <c r="AL474" s="3267">
        <v>67641700</v>
      </c>
      <c r="AM474" s="3267"/>
      <c r="AN474" s="3279" t="s">
        <v>3114</v>
      </c>
      <c r="AO474" s="3276"/>
      <c r="AP474" s="3276" t="s">
        <v>3342</v>
      </c>
      <c r="AQ474" s="3267" t="s">
        <v>3228</v>
      </c>
      <c r="AR474" s="3276"/>
      <c r="AS474" s="3276"/>
      <c r="AT474" s="3276"/>
      <c r="AU474" s="3276"/>
      <c r="AV474" s="3276"/>
      <c r="AW474" s="3276" t="s">
        <v>2997</v>
      </c>
      <c r="AX474" s="3276"/>
      <c r="AY474" s="3291"/>
      <c r="AZ474" s="3276" t="s">
        <v>6512</v>
      </c>
      <c r="BA474" s="3276"/>
      <c r="BB474" s="3291"/>
      <c r="BC474" s="3276"/>
      <c r="BD474" s="3292"/>
      <c r="BE474" s="3276"/>
      <c r="BF474" s="3281"/>
      <c r="BG474" s="3299">
        <v>38834</v>
      </c>
      <c r="BH474" s="3276"/>
      <c r="BI474" s="3276" t="s">
        <v>3342</v>
      </c>
      <c r="BJ474" s="3299">
        <v>38836</v>
      </c>
      <c r="BK474" s="3283"/>
      <c r="BL474" s="3276" t="s">
        <v>2998</v>
      </c>
      <c r="BM474" s="3276" t="s">
        <v>2879</v>
      </c>
      <c r="BN474" s="3276" t="s">
        <v>2999</v>
      </c>
      <c r="BO474" s="3276" t="s">
        <v>3146</v>
      </c>
      <c r="BP474" s="3276"/>
      <c r="BQ474" s="3276"/>
      <c r="BR474" s="3276"/>
      <c r="BS474" s="3285"/>
      <c r="BT474" s="3285"/>
      <c r="BU474" s="3285"/>
    </row>
    <row r="475" spans="1:243" hidden="1">
      <c r="A475" s="3267" t="s">
        <v>6513</v>
      </c>
      <c r="B475" s="3267" t="s">
        <v>6514</v>
      </c>
      <c r="C475" s="3269" t="s">
        <v>6515</v>
      </c>
      <c r="D475" s="3269" t="s">
        <v>6516</v>
      </c>
      <c r="E475" s="3268" t="s">
        <v>2985</v>
      </c>
      <c r="F475" s="3268" t="s">
        <v>6517</v>
      </c>
      <c r="G475" s="3267"/>
      <c r="H475" s="3267" t="s">
        <v>3182</v>
      </c>
      <c r="I475" s="3268" t="s">
        <v>3608</v>
      </c>
      <c r="J475" s="3267" t="s">
        <v>3778</v>
      </c>
      <c r="K475" s="3267" t="s">
        <v>6514</v>
      </c>
      <c r="L475" s="3267">
        <v>94.3</v>
      </c>
      <c r="M475" s="3267">
        <v>9</v>
      </c>
      <c r="N475" s="3267" t="s">
        <v>3122</v>
      </c>
      <c r="O475" s="3267">
        <v>78.73</v>
      </c>
      <c r="P475" s="3267" t="s">
        <v>2963</v>
      </c>
      <c r="Q475" s="3271">
        <v>549750</v>
      </c>
      <c r="R475" s="3267">
        <v>5830</v>
      </c>
      <c r="S475" s="3272">
        <v>51.3</v>
      </c>
      <c r="T475" s="3273">
        <v>513000</v>
      </c>
      <c r="U475" s="3267">
        <v>5441</v>
      </c>
      <c r="V475" s="3289">
        <v>0.2</v>
      </c>
      <c r="W475" s="3272">
        <v>41.04</v>
      </c>
      <c r="X475" s="3275">
        <v>410400</v>
      </c>
      <c r="Y475" s="3276">
        <v>2006</v>
      </c>
      <c r="Z475" s="3276">
        <v>5</v>
      </c>
      <c r="AA475" s="3294">
        <v>9</v>
      </c>
      <c r="AB475" s="3295">
        <v>1500</v>
      </c>
      <c r="AC475" s="3267" t="s">
        <v>2980</v>
      </c>
      <c r="AD475" s="3267"/>
      <c r="AE475" s="3279" t="s">
        <v>3344</v>
      </c>
      <c r="AF475" s="3268" t="s">
        <v>2966</v>
      </c>
      <c r="AG475" s="3279" t="s">
        <v>2967</v>
      </c>
      <c r="AH475" s="3267" t="s">
        <v>2968</v>
      </c>
      <c r="AI475" s="3279" t="s">
        <v>2992</v>
      </c>
      <c r="AJ475" s="3284"/>
      <c r="AK475" s="3278">
        <v>5</v>
      </c>
      <c r="AL475" s="3276">
        <v>67641700</v>
      </c>
      <c r="AM475" s="3276"/>
      <c r="AN475" s="3279" t="s">
        <v>3131</v>
      </c>
      <c r="AO475" s="3267" t="s">
        <v>2968</v>
      </c>
      <c r="AP475" s="3279" t="s">
        <v>3305</v>
      </c>
      <c r="AQ475" s="3276" t="s">
        <v>3113</v>
      </c>
      <c r="AR475" s="3276"/>
      <c r="AS475" s="3276"/>
      <c r="AT475" s="3276"/>
      <c r="AU475" s="3276"/>
      <c r="AV475" s="3276" t="s">
        <v>2968</v>
      </c>
      <c r="AW475" s="3276" t="s">
        <v>2997</v>
      </c>
      <c r="AX475" s="3276"/>
      <c r="AY475" s="3291"/>
      <c r="AZ475" s="3267" t="s">
        <v>6518</v>
      </c>
      <c r="BA475" s="3296"/>
      <c r="BB475" s="3297"/>
      <c r="BC475" s="3296"/>
      <c r="BD475" s="3298"/>
      <c r="BE475" s="3276">
        <v>80964388</v>
      </c>
      <c r="BF475" s="3281"/>
      <c r="BG475" s="3293">
        <v>38804</v>
      </c>
      <c r="BH475" s="3267" t="s">
        <v>2998</v>
      </c>
      <c r="BI475" s="3314" t="s">
        <v>3305</v>
      </c>
      <c r="BJ475" s="3283">
        <v>38836</v>
      </c>
      <c r="BK475" s="3283"/>
      <c r="BL475" s="3267" t="s">
        <v>3249</v>
      </c>
      <c r="BM475" s="3276" t="s">
        <v>2879</v>
      </c>
      <c r="BN475" s="3276" t="s">
        <v>2999</v>
      </c>
      <c r="BO475" s="3276" t="s">
        <v>3146</v>
      </c>
      <c r="BP475" s="3276"/>
      <c r="BQ475" s="3276">
        <v>6516</v>
      </c>
      <c r="BR475" s="3276">
        <v>6983</v>
      </c>
      <c r="BS475" s="3285"/>
      <c r="BT475" s="3285"/>
      <c r="BU475" s="3285"/>
    </row>
    <row r="476" spans="1:243" hidden="1">
      <c r="A476" s="3267" t="s">
        <v>6519</v>
      </c>
      <c r="B476" s="3267" t="s">
        <v>6520</v>
      </c>
      <c r="C476" s="3269" t="s">
        <v>6521</v>
      </c>
      <c r="D476" s="3268">
        <v>13581810095</v>
      </c>
      <c r="E476" s="3268" t="s">
        <v>2985</v>
      </c>
      <c r="F476" s="3268" t="s">
        <v>5117</v>
      </c>
      <c r="G476" s="3268"/>
      <c r="H476" s="3268" t="s">
        <v>3118</v>
      </c>
      <c r="I476" s="3268" t="s">
        <v>2968</v>
      </c>
      <c r="J476" s="3268" t="s">
        <v>6522</v>
      </c>
      <c r="K476" s="3268" t="s">
        <v>6523</v>
      </c>
      <c r="L476" s="3270">
        <v>74.19</v>
      </c>
      <c r="M476" s="3270">
        <v>13</v>
      </c>
      <c r="N476" s="3267" t="s">
        <v>3122</v>
      </c>
      <c r="O476" s="3270" t="s">
        <v>2968</v>
      </c>
      <c r="P476" s="3268" t="s">
        <v>2963</v>
      </c>
      <c r="Q476" s="3271">
        <v>480000</v>
      </c>
      <c r="R476" s="3267">
        <v>6470</v>
      </c>
      <c r="S476" s="3272">
        <v>48</v>
      </c>
      <c r="T476" s="3273">
        <v>480000</v>
      </c>
      <c r="U476" s="3267">
        <v>6470</v>
      </c>
      <c r="V476" s="3289">
        <v>0.2</v>
      </c>
      <c r="W476" s="3272">
        <v>38.4</v>
      </c>
      <c r="X476" s="3275">
        <v>384000</v>
      </c>
      <c r="Y476" s="3276">
        <v>2006</v>
      </c>
      <c r="Z476" s="3276">
        <v>5</v>
      </c>
      <c r="AA476" s="3276">
        <v>31</v>
      </c>
      <c r="AB476" s="3267">
        <v>1440</v>
      </c>
      <c r="AC476" s="3267" t="s">
        <v>2980</v>
      </c>
      <c r="AD476" s="3268"/>
      <c r="AE476" s="3268" t="s">
        <v>3180</v>
      </c>
      <c r="AF476" s="3268" t="s">
        <v>2966</v>
      </c>
      <c r="AG476" s="3268" t="s">
        <v>2967</v>
      </c>
      <c r="AH476" s="3268" t="s">
        <v>6524</v>
      </c>
      <c r="AI476" s="3268" t="s">
        <v>2992</v>
      </c>
      <c r="AJ476" s="3290"/>
      <c r="AK476" s="3278">
        <v>5</v>
      </c>
      <c r="AL476" s="3276">
        <v>67641700</v>
      </c>
      <c r="AM476" s="3276"/>
      <c r="AN476" s="3279" t="s">
        <v>2994</v>
      </c>
      <c r="AO476" s="3267"/>
      <c r="AP476" s="3276" t="s">
        <v>3305</v>
      </c>
      <c r="AQ476" s="3267" t="s">
        <v>3228</v>
      </c>
      <c r="AR476" s="3267" t="s">
        <v>2968</v>
      </c>
      <c r="AS476" s="3267"/>
      <c r="AT476" s="3267"/>
      <c r="AU476" s="3267"/>
      <c r="AV476" s="3277"/>
      <c r="AW476" s="3276" t="s">
        <v>2997</v>
      </c>
      <c r="AX476" s="3276"/>
      <c r="AY476" s="3291" t="s">
        <v>2968</v>
      </c>
      <c r="AZ476" s="3267" t="s">
        <v>6523</v>
      </c>
      <c r="BA476" s="3296" t="s">
        <v>2968</v>
      </c>
      <c r="BB476" s="3297" t="s">
        <v>2968</v>
      </c>
      <c r="BC476" s="3296" t="s">
        <v>2968</v>
      </c>
      <c r="BD476" s="3298" t="s">
        <v>2968</v>
      </c>
      <c r="BE476" s="3276"/>
      <c r="BF476" s="3281" t="s">
        <v>2968</v>
      </c>
      <c r="BG476" s="3290">
        <v>38825</v>
      </c>
      <c r="BH476" s="3267"/>
      <c r="BI476" s="3276" t="s">
        <v>4230</v>
      </c>
      <c r="BJ476" s="3299">
        <v>38853</v>
      </c>
      <c r="BK476" s="3284"/>
      <c r="BL476" s="3267" t="s">
        <v>2998</v>
      </c>
      <c r="BM476" s="3267" t="s">
        <v>2879</v>
      </c>
      <c r="BN476" s="3267" t="s">
        <v>2999</v>
      </c>
      <c r="BO476" s="3267" t="s">
        <v>3146</v>
      </c>
      <c r="BP476" s="3276"/>
      <c r="BQ476" s="3276" t="e">
        <v>#VALUE!</v>
      </c>
      <c r="BR476" s="3276" t="e">
        <v>#VALUE!</v>
      </c>
      <c r="BS476" s="3285"/>
      <c r="BT476" s="3285"/>
      <c r="BU476" s="3285"/>
    </row>
    <row r="477" spans="1:243" hidden="1">
      <c r="A477" s="3267" t="s">
        <v>6525</v>
      </c>
      <c r="B477" s="3267" t="s">
        <v>6526</v>
      </c>
      <c r="C477" s="3269" t="s">
        <v>6527</v>
      </c>
      <c r="D477" s="3269" t="s">
        <v>6528</v>
      </c>
      <c r="E477" s="3268" t="s">
        <v>2985</v>
      </c>
      <c r="F477" s="3268" t="s">
        <v>3576</v>
      </c>
      <c r="G477" s="3267"/>
      <c r="H477" s="3267" t="s">
        <v>6529</v>
      </c>
      <c r="I477" s="3268"/>
      <c r="J477" s="3267" t="s">
        <v>3512</v>
      </c>
      <c r="K477" s="3267" t="s">
        <v>6526</v>
      </c>
      <c r="L477" s="3267">
        <v>144.19</v>
      </c>
      <c r="M477" s="3267">
        <v>4</v>
      </c>
      <c r="N477" s="3267" t="s">
        <v>3303</v>
      </c>
      <c r="O477" s="3267">
        <v>113.61</v>
      </c>
      <c r="P477" s="3267" t="s">
        <v>2963</v>
      </c>
      <c r="Q477" s="3271">
        <v>850000</v>
      </c>
      <c r="R477" s="3267">
        <v>5895</v>
      </c>
      <c r="S477" s="3272">
        <v>83.63</v>
      </c>
      <c r="T477" s="3273">
        <v>836300</v>
      </c>
      <c r="U477" s="3267">
        <v>5800</v>
      </c>
      <c r="V477" s="3289">
        <v>0.2</v>
      </c>
      <c r="W477" s="3272">
        <v>66.900000000000006</v>
      </c>
      <c r="X477" s="3275">
        <v>669000</v>
      </c>
      <c r="Y477" s="3276">
        <v>2006</v>
      </c>
      <c r="Z477" s="3276">
        <v>5</v>
      </c>
      <c r="AA477" s="3294">
        <v>11</v>
      </c>
      <c r="AB477" s="3295">
        <v>1500</v>
      </c>
      <c r="AC477" s="3267" t="s">
        <v>2980</v>
      </c>
      <c r="AD477" s="3267"/>
      <c r="AE477" s="3279" t="s">
        <v>3245</v>
      </c>
      <c r="AF477" s="3268" t="s">
        <v>2966</v>
      </c>
      <c r="AG477" s="3279" t="s">
        <v>2967</v>
      </c>
      <c r="AH477" s="3267"/>
      <c r="AI477" s="3279" t="s">
        <v>2992</v>
      </c>
      <c r="AJ477" s="3284"/>
      <c r="AK477" s="3278">
        <v>5</v>
      </c>
      <c r="AL477" s="3276">
        <v>67641700</v>
      </c>
      <c r="AM477" s="3276"/>
      <c r="AN477" s="3279" t="s">
        <v>3131</v>
      </c>
      <c r="AO477" s="3267"/>
      <c r="AP477" s="3279" t="s">
        <v>3305</v>
      </c>
      <c r="AQ477" s="3276" t="s">
        <v>3113</v>
      </c>
      <c r="AR477" s="3276"/>
      <c r="AS477" s="3276"/>
      <c r="AT477" s="3276"/>
      <c r="AU477" s="3276"/>
      <c r="AV477" s="3276"/>
      <c r="AW477" s="3276" t="s">
        <v>3112</v>
      </c>
      <c r="AX477" s="3276"/>
      <c r="AY477" s="3291"/>
      <c r="AZ477" s="3267" t="s">
        <v>6530</v>
      </c>
      <c r="BA477" s="3296"/>
      <c r="BB477" s="3297"/>
      <c r="BC477" s="3296"/>
      <c r="BD477" s="3298"/>
      <c r="BE477" s="3276">
        <v>13601226219</v>
      </c>
      <c r="BF477" s="3281"/>
      <c r="BG477" s="3293">
        <v>38826</v>
      </c>
      <c r="BH477" s="3267" t="s">
        <v>2998</v>
      </c>
      <c r="BI477" s="3314" t="s">
        <v>3305</v>
      </c>
      <c r="BJ477" s="3283">
        <v>38836</v>
      </c>
      <c r="BK477" s="3283"/>
      <c r="BL477" s="3267" t="s">
        <v>3249</v>
      </c>
      <c r="BM477" s="3276" t="s">
        <v>2879</v>
      </c>
      <c r="BN477" s="3276" t="s">
        <v>3111</v>
      </c>
      <c r="BO477" s="3276" t="s">
        <v>3000</v>
      </c>
      <c r="BP477" s="3276"/>
      <c r="BQ477" s="3276">
        <v>7361</v>
      </c>
      <c r="BR477" s="3276">
        <v>7482</v>
      </c>
      <c r="BS477" s="3285"/>
      <c r="BT477" s="3285"/>
      <c r="BU477" s="3285"/>
    </row>
    <row r="478" spans="1:243" hidden="1">
      <c r="A478" s="3267" t="s">
        <v>6531</v>
      </c>
      <c r="B478" s="3267" t="s">
        <v>6532</v>
      </c>
      <c r="C478" s="3269" t="s">
        <v>6533</v>
      </c>
      <c r="D478" s="3269">
        <v>13683038400</v>
      </c>
      <c r="E478" s="3268" t="s">
        <v>2985</v>
      </c>
      <c r="F478" s="3268" t="s">
        <v>4449</v>
      </c>
      <c r="G478" s="3267"/>
      <c r="H478" s="3268" t="s">
        <v>3244</v>
      </c>
      <c r="I478" s="3268"/>
      <c r="J478" s="3267" t="s">
        <v>6534</v>
      </c>
      <c r="K478" s="3267" t="s">
        <v>6535</v>
      </c>
      <c r="L478" s="3267">
        <v>55</v>
      </c>
      <c r="M478" s="3267">
        <v>6</v>
      </c>
      <c r="N478" s="3267" t="s">
        <v>3122</v>
      </c>
      <c r="O478" s="3267"/>
      <c r="P478" s="3267" t="s">
        <v>2963</v>
      </c>
      <c r="Q478" s="3271">
        <v>375000</v>
      </c>
      <c r="R478" s="3267">
        <v>6818</v>
      </c>
      <c r="S478" s="3272">
        <v>30.42</v>
      </c>
      <c r="T478" s="3273">
        <v>304200</v>
      </c>
      <c r="U478" s="3267">
        <v>5532</v>
      </c>
      <c r="V478" s="3289">
        <v>0.2</v>
      </c>
      <c r="W478" s="3272">
        <v>24.33</v>
      </c>
      <c r="X478" s="3275">
        <v>243300</v>
      </c>
      <c r="Y478" s="3276">
        <v>2006</v>
      </c>
      <c r="Z478" s="3276">
        <v>6</v>
      </c>
      <c r="AA478" s="3276">
        <v>6</v>
      </c>
      <c r="AB478" s="3267">
        <v>910</v>
      </c>
      <c r="AC478" s="3267" t="s">
        <v>2980</v>
      </c>
      <c r="AD478" s="3267"/>
      <c r="AE478" s="3314" t="s">
        <v>3344</v>
      </c>
      <c r="AF478" s="3268" t="s">
        <v>2966</v>
      </c>
      <c r="AG478" s="3279" t="s">
        <v>2967</v>
      </c>
      <c r="AH478" s="3267"/>
      <c r="AI478" s="3279" t="s">
        <v>2992</v>
      </c>
      <c r="AJ478" s="3284"/>
      <c r="AK478" s="3278">
        <v>6</v>
      </c>
      <c r="AL478" s="3276">
        <v>67641700</v>
      </c>
      <c r="AM478" s="3276"/>
      <c r="AN478" s="3279" t="s">
        <v>3140</v>
      </c>
      <c r="AO478" s="3267" t="s">
        <v>6536</v>
      </c>
      <c r="AP478" s="3279" t="s">
        <v>3305</v>
      </c>
      <c r="AQ478" s="3267" t="s">
        <v>3228</v>
      </c>
      <c r="AR478" s="3276"/>
      <c r="AS478" s="3276"/>
      <c r="AT478" s="3276"/>
      <c r="AU478" s="3276"/>
      <c r="AV478" s="3276"/>
      <c r="AW478" s="3276" t="s">
        <v>2997</v>
      </c>
      <c r="AX478" s="3276"/>
      <c r="AY478" s="3291"/>
      <c r="AZ478" s="3267" t="s">
        <v>6535</v>
      </c>
      <c r="BA478" s="3296"/>
      <c r="BB478" s="3297"/>
      <c r="BC478" s="3296"/>
      <c r="BD478" s="3298"/>
      <c r="BE478" s="3276">
        <v>13126633119</v>
      </c>
      <c r="BF478" s="3281"/>
      <c r="BG478" s="3293">
        <v>38846</v>
      </c>
      <c r="BH478" s="3267" t="s">
        <v>2998</v>
      </c>
      <c r="BI478" s="3314" t="s">
        <v>3305</v>
      </c>
      <c r="BJ478" s="3283">
        <v>38861</v>
      </c>
      <c r="BK478" s="3283"/>
      <c r="BL478" s="3267" t="s">
        <v>3249</v>
      </c>
      <c r="BM478" s="3276" t="s">
        <v>2879</v>
      </c>
      <c r="BN478" s="3276" t="s">
        <v>2999</v>
      </c>
      <c r="BO478" s="3276" t="s">
        <v>3146</v>
      </c>
      <c r="BP478" s="3276"/>
      <c r="BQ478" s="3276" t="e">
        <v>#DIV/0!</v>
      </c>
      <c r="BR478" s="3276" t="e">
        <v>#DIV/0!</v>
      </c>
      <c r="BS478" s="3285"/>
      <c r="BT478" s="3285"/>
      <c r="BU478" s="3285"/>
    </row>
    <row r="479" spans="1:243" hidden="1">
      <c r="A479" s="3267" t="s">
        <v>6537</v>
      </c>
      <c r="B479" s="3267" t="s">
        <v>6538</v>
      </c>
      <c r="C479" s="3269" t="s">
        <v>6539</v>
      </c>
      <c r="D479" s="3269">
        <v>13701060496</v>
      </c>
      <c r="E479" s="3268" t="s">
        <v>2985</v>
      </c>
      <c r="F479" s="3268" t="s">
        <v>6540</v>
      </c>
      <c r="G479" s="3267"/>
      <c r="H479" s="3267" t="s">
        <v>6541</v>
      </c>
      <c r="I479" s="3268"/>
      <c r="J479" s="3267" t="s">
        <v>6542</v>
      </c>
      <c r="K479" s="3267" t="s">
        <v>6543</v>
      </c>
      <c r="L479" s="3267">
        <v>78.459999999999994</v>
      </c>
      <c r="M479" s="3267">
        <v>4</v>
      </c>
      <c r="N479" s="3267" t="s">
        <v>3125</v>
      </c>
      <c r="O479" s="3267"/>
      <c r="P479" s="3267" t="s">
        <v>2963</v>
      </c>
      <c r="Q479" s="3271">
        <v>400000</v>
      </c>
      <c r="R479" s="3267">
        <v>5098</v>
      </c>
      <c r="S479" s="3272">
        <v>35.04</v>
      </c>
      <c r="T479" s="3273">
        <v>350400</v>
      </c>
      <c r="U479" s="3267">
        <v>4466</v>
      </c>
      <c r="V479" s="3289">
        <v>0.2</v>
      </c>
      <c r="W479" s="3272">
        <v>28.03</v>
      </c>
      <c r="X479" s="3275">
        <v>280300</v>
      </c>
      <c r="Y479" s="3276">
        <v>2006</v>
      </c>
      <c r="Z479" s="3276">
        <v>5</v>
      </c>
      <c r="AA479" s="3276">
        <v>23</v>
      </c>
      <c r="AB479" s="3267">
        <v>1050</v>
      </c>
      <c r="AC479" s="3267" t="s">
        <v>2980</v>
      </c>
      <c r="AD479" s="3267"/>
      <c r="AE479" s="3279" t="s">
        <v>2979</v>
      </c>
      <c r="AF479" s="3268" t="s">
        <v>2966</v>
      </c>
      <c r="AG479" s="3279" t="s">
        <v>2967</v>
      </c>
      <c r="AH479" s="3267" t="s">
        <v>2968</v>
      </c>
      <c r="AI479" s="3279" t="s">
        <v>3295</v>
      </c>
      <c r="AJ479" s="3284"/>
      <c r="AK479" s="3278">
        <v>5</v>
      </c>
      <c r="AL479" s="3276">
        <v>67641700</v>
      </c>
      <c r="AM479" s="3276"/>
      <c r="AN479" s="3279" t="s">
        <v>3114</v>
      </c>
      <c r="AO479" s="3267" t="s">
        <v>2968</v>
      </c>
      <c r="AP479" s="3279" t="s">
        <v>3305</v>
      </c>
      <c r="AQ479" s="3267" t="s">
        <v>3228</v>
      </c>
      <c r="AR479" s="3276"/>
      <c r="AS479" s="3276"/>
      <c r="AT479" s="3276"/>
      <c r="AU479" s="3276"/>
      <c r="AV479" s="3276"/>
      <c r="AW479" s="3276" t="s">
        <v>3171</v>
      </c>
      <c r="AX479" s="3276"/>
      <c r="AY479" s="3291"/>
      <c r="AZ479" s="3267" t="s">
        <v>6543</v>
      </c>
      <c r="BA479" s="3296" t="s">
        <v>2968</v>
      </c>
      <c r="BB479" s="3297"/>
      <c r="BC479" s="3296" t="s">
        <v>2968</v>
      </c>
      <c r="BD479" s="3298" t="s">
        <v>2968</v>
      </c>
      <c r="BE479" s="3276" t="s">
        <v>2968</v>
      </c>
      <c r="BF479" s="3281" t="s">
        <v>6544</v>
      </c>
      <c r="BG479" s="3293">
        <v>38828</v>
      </c>
      <c r="BH479" s="3267" t="s">
        <v>2998</v>
      </c>
      <c r="BI479" s="3314" t="s">
        <v>3305</v>
      </c>
      <c r="BJ479" s="3283">
        <v>38837</v>
      </c>
      <c r="BK479" s="3283"/>
      <c r="BL479" s="3267" t="s">
        <v>3249</v>
      </c>
      <c r="BM479" s="3276" t="s">
        <v>2879</v>
      </c>
      <c r="BN479" s="3276" t="s">
        <v>2999</v>
      </c>
      <c r="BO479" s="3276" t="s">
        <v>3616</v>
      </c>
      <c r="BP479" s="3276"/>
      <c r="BQ479" s="3276" t="e">
        <v>#DIV/0!</v>
      </c>
      <c r="BR479" s="3276" t="e">
        <v>#DIV/0!</v>
      </c>
      <c r="BS479" s="3285"/>
      <c r="BT479" s="3285"/>
      <c r="BU479" s="3285"/>
    </row>
    <row r="480" spans="1:243" hidden="1">
      <c r="A480" s="3267" t="s">
        <v>6545</v>
      </c>
      <c r="B480" s="3267" t="s">
        <v>6546</v>
      </c>
      <c r="C480" s="3269" t="s">
        <v>6547</v>
      </c>
      <c r="D480" s="3269" t="s">
        <v>6548</v>
      </c>
      <c r="E480" s="3268" t="s">
        <v>2985</v>
      </c>
      <c r="F480" s="3268" t="s">
        <v>4826</v>
      </c>
      <c r="G480" s="3267"/>
      <c r="H480" s="3267" t="s">
        <v>3159</v>
      </c>
      <c r="I480" s="3268" t="s">
        <v>4038</v>
      </c>
      <c r="J480" s="3267" t="s">
        <v>3126</v>
      </c>
      <c r="K480" s="3267" t="s">
        <v>6549</v>
      </c>
      <c r="L480" s="3267">
        <v>81.22</v>
      </c>
      <c r="M480" s="3267">
        <v>6</v>
      </c>
      <c r="N480" s="3267" t="s">
        <v>3122</v>
      </c>
      <c r="O480" s="3267"/>
      <c r="P480" s="3267" t="s">
        <v>2963</v>
      </c>
      <c r="Q480" s="3271">
        <v>525000</v>
      </c>
      <c r="R480" s="3267">
        <v>6464</v>
      </c>
      <c r="S480" s="3272">
        <v>47.57</v>
      </c>
      <c r="T480" s="3273">
        <v>475700</v>
      </c>
      <c r="U480" s="3267">
        <v>5858</v>
      </c>
      <c r="V480" s="3289">
        <v>0.2</v>
      </c>
      <c r="W480" s="3272">
        <v>38.049999999999997</v>
      </c>
      <c r="X480" s="3275">
        <v>380500</v>
      </c>
      <c r="Y480" s="3276">
        <v>2006</v>
      </c>
      <c r="Z480" s="3276">
        <v>5</v>
      </c>
      <c r="AA480" s="3276">
        <v>18</v>
      </c>
      <c r="AB480" s="3267">
        <v>1425</v>
      </c>
      <c r="AC480" s="3267" t="s">
        <v>2980</v>
      </c>
      <c r="AD480" s="3267"/>
      <c r="AE480" s="3279" t="s">
        <v>3344</v>
      </c>
      <c r="AF480" s="3268" t="s">
        <v>2966</v>
      </c>
      <c r="AG480" s="3279" t="s">
        <v>2967</v>
      </c>
      <c r="AH480" s="3267" t="s">
        <v>2968</v>
      </c>
      <c r="AI480" s="3279" t="s">
        <v>2992</v>
      </c>
      <c r="AJ480" s="3284"/>
      <c r="AK480" s="3278">
        <v>5</v>
      </c>
      <c r="AL480" s="3276">
        <v>67641700</v>
      </c>
      <c r="AM480" s="3276"/>
      <c r="AN480" s="3279" t="s">
        <v>3140</v>
      </c>
      <c r="AO480" s="3267" t="s">
        <v>2968</v>
      </c>
      <c r="AP480" s="3279" t="s">
        <v>3305</v>
      </c>
      <c r="AQ480" s="3267" t="s">
        <v>3228</v>
      </c>
      <c r="AR480" s="3276"/>
      <c r="AS480" s="3276"/>
      <c r="AT480" s="3276"/>
      <c r="AU480" s="3276"/>
      <c r="AV480" s="3276" t="s">
        <v>2968</v>
      </c>
      <c r="AW480" s="3276" t="s">
        <v>2997</v>
      </c>
      <c r="AX480" s="3276"/>
      <c r="AY480" s="3291"/>
      <c r="AZ480" s="3267" t="s">
        <v>6549</v>
      </c>
      <c r="BA480" s="3296"/>
      <c r="BB480" s="3297"/>
      <c r="BC480" s="3296"/>
      <c r="BD480" s="3298"/>
      <c r="BE480" s="3276">
        <v>13366238935</v>
      </c>
      <c r="BF480" s="3281"/>
      <c r="BG480" s="3293">
        <v>38834</v>
      </c>
      <c r="BH480" s="3267" t="s">
        <v>2998</v>
      </c>
      <c r="BI480" s="3314" t="s">
        <v>3305</v>
      </c>
      <c r="BJ480" s="3283">
        <v>38837</v>
      </c>
      <c r="BK480" s="3283"/>
      <c r="BL480" s="3267" t="s">
        <v>3249</v>
      </c>
      <c r="BM480" s="3276" t="s">
        <v>2879</v>
      </c>
      <c r="BN480" s="3276" t="s">
        <v>2999</v>
      </c>
      <c r="BO480" s="3276" t="s">
        <v>3146</v>
      </c>
      <c r="BP480" s="3276"/>
      <c r="BQ480" s="3276" t="e">
        <v>#DIV/0!</v>
      </c>
      <c r="BR480" s="3276" t="e">
        <v>#DIV/0!</v>
      </c>
      <c r="BS480" s="3285"/>
      <c r="BT480" s="3285"/>
      <c r="BU480" s="3285"/>
    </row>
    <row r="481" spans="1:73">
      <c r="A481" s="3267" t="s">
        <v>6550</v>
      </c>
      <c r="B481" s="3267" t="s">
        <v>6551</v>
      </c>
      <c r="C481" s="3269" t="s">
        <v>6552</v>
      </c>
      <c r="D481" s="3269" t="s">
        <v>6553</v>
      </c>
      <c r="E481" s="3268" t="s">
        <v>2985</v>
      </c>
      <c r="F481" s="3268" t="s">
        <v>6554</v>
      </c>
      <c r="G481" s="3267"/>
      <c r="H481" s="3267" t="s">
        <v>3244</v>
      </c>
      <c r="I481" s="3268"/>
      <c r="J481" s="3267" t="s">
        <v>6555</v>
      </c>
      <c r="K481" s="3267" t="s">
        <v>6556</v>
      </c>
      <c r="L481" s="3267">
        <v>64.040000000000006</v>
      </c>
      <c r="M481" s="3267">
        <v>14</v>
      </c>
      <c r="N481" s="3267" t="s">
        <v>3122</v>
      </c>
      <c r="O481" s="3267"/>
      <c r="P481" s="3267" t="s">
        <v>2963</v>
      </c>
      <c r="Q481" s="3271">
        <v>500000</v>
      </c>
      <c r="R481" s="3267">
        <v>7808</v>
      </c>
      <c r="S481" s="3272">
        <v>40.85</v>
      </c>
      <c r="T481" s="3273">
        <v>408500</v>
      </c>
      <c r="U481" s="3267">
        <v>6380</v>
      </c>
      <c r="V481" s="3289">
        <v>0.2</v>
      </c>
      <c r="W481" s="3272">
        <v>32.68</v>
      </c>
      <c r="X481" s="3275">
        <v>326800</v>
      </c>
      <c r="Y481" s="3276">
        <v>2006</v>
      </c>
      <c r="Z481" s="3276">
        <v>5</v>
      </c>
      <c r="AA481" s="3276">
        <v>23</v>
      </c>
      <c r="AB481" s="3267">
        <v>1225</v>
      </c>
      <c r="AC481" s="3267" t="s">
        <v>2980</v>
      </c>
      <c r="AD481" s="3267"/>
      <c r="AE481" s="3279" t="s">
        <v>3344</v>
      </c>
      <c r="AF481" s="3268" t="s">
        <v>2966</v>
      </c>
      <c r="AG481" s="3279" t="s">
        <v>2967</v>
      </c>
      <c r="AH481" s="3267" t="s">
        <v>6557</v>
      </c>
      <c r="AI481" s="3279" t="s">
        <v>2992</v>
      </c>
      <c r="AJ481" s="3284"/>
      <c r="AK481" s="3278">
        <v>5</v>
      </c>
      <c r="AL481" s="3276">
        <v>67641700</v>
      </c>
      <c r="AM481" s="3276"/>
      <c r="AN481" s="3279" t="s">
        <v>3114</v>
      </c>
      <c r="AO481" s="3267" t="s">
        <v>2968</v>
      </c>
      <c r="AP481" s="3279" t="s">
        <v>3305</v>
      </c>
      <c r="AQ481" s="3267" t="s">
        <v>3228</v>
      </c>
      <c r="AR481" s="3276"/>
      <c r="AS481" s="3276"/>
      <c r="AT481" s="3276"/>
      <c r="AU481" s="3276"/>
      <c r="AV481" s="3276" t="s">
        <v>2968</v>
      </c>
      <c r="AW481" s="3276" t="s">
        <v>2997</v>
      </c>
      <c r="AX481" s="3276"/>
      <c r="AY481" s="3291"/>
      <c r="AZ481" s="3267" t="s">
        <v>6556</v>
      </c>
      <c r="BA481" s="3296"/>
      <c r="BB481" s="3297"/>
      <c r="BC481" s="3296"/>
      <c r="BD481" s="3298"/>
      <c r="BE481" s="3276">
        <v>13011046130</v>
      </c>
      <c r="BF481" s="3281"/>
      <c r="BG481" s="3293">
        <v>38823</v>
      </c>
      <c r="BH481" s="3267" t="s">
        <v>2998</v>
      </c>
      <c r="BI481" s="3314" t="s">
        <v>3305</v>
      </c>
      <c r="BJ481" s="3283">
        <v>38837</v>
      </c>
      <c r="BK481" s="3283"/>
      <c r="BL481" s="3267" t="s">
        <v>3249</v>
      </c>
      <c r="BM481" s="3276" t="s">
        <v>2879</v>
      </c>
      <c r="BN481" s="3276" t="s">
        <v>2999</v>
      </c>
      <c r="BO481" s="3276" t="s">
        <v>3146</v>
      </c>
      <c r="BP481" s="3276"/>
      <c r="BQ481" s="3276" t="e">
        <v>#DIV/0!</v>
      </c>
      <c r="BR481" s="3276" t="e">
        <v>#DIV/0!</v>
      </c>
      <c r="BS481" s="3285"/>
      <c r="BT481" s="3285"/>
      <c r="BU481" s="3285"/>
    </row>
    <row r="482" spans="1:73" hidden="1">
      <c r="A482" s="3267" t="s">
        <v>6558</v>
      </c>
      <c r="B482" s="3267" t="s">
        <v>6559</v>
      </c>
      <c r="C482" s="3269" t="s">
        <v>6560</v>
      </c>
      <c r="D482" s="3269" t="s">
        <v>6561</v>
      </c>
      <c r="E482" s="3267" t="s">
        <v>2985</v>
      </c>
      <c r="F482" s="3308" t="s">
        <v>6562</v>
      </c>
      <c r="G482" s="3267"/>
      <c r="H482" s="3267" t="s">
        <v>6563</v>
      </c>
      <c r="I482" s="3267" t="s">
        <v>2968</v>
      </c>
      <c r="J482" s="3267" t="s">
        <v>4483</v>
      </c>
      <c r="K482" s="3267" t="s">
        <v>2968</v>
      </c>
      <c r="L482" s="3286">
        <v>58.57</v>
      </c>
      <c r="M482" s="3267">
        <v>7</v>
      </c>
      <c r="N482" s="3267" t="s">
        <v>3122</v>
      </c>
      <c r="O482" s="3267"/>
      <c r="P482" s="3267" t="s">
        <v>2963</v>
      </c>
      <c r="Q482" s="3287">
        <v>320000</v>
      </c>
      <c r="R482" s="3267">
        <v>5464</v>
      </c>
      <c r="S482" s="3272">
        <v>31.82</v>
      </c>
      <c r="T482" s="3273">
        <v>318200</v>
      </c>
      <c r="U482" s="3267">
        <v>5434</v>
      </c>
      <c r="V482" s="3274">
        <v>0.2</v>
      </c>
      <c r="W482" s="3272">
        <v>25.45</v>
      </c>
      <c r="X482" s="3275">
        <v>254500</v>
      </c>
      <c r="Y482" s="3276">
        <v>2006</v>
      </c>
      <c r="Z482" s="3276">
        <v>5</v>
      </c>
      <c r="AA482" s="3276">
        <v>9</v>
      </c>
      <c r="AB482" s="3267">
        <v>950</v>
      </c>
      <c r="AC482" s="3267" t="s">
        <v>2980</v>
      </c>
      <c r="AD482" s="3267"/>
      <c r="AE482" s="3276" t="s">
        <v>3304</v>
      </c>
      <c r="AF482" s="3268" t="s">
        <v>2966</v>
      </c>
      <c r="AG482" s="3279" t="s">
        <v>2967</v>
      </c>
      <c r="AH482" s="3267"/>
      <c r="AI482" s="3267" t="s">
        <v>3295</v>
      </c>
      <c r="AJ482" s="3290" t="s">
        <v>2968</v>
      </c>
      <c r="AK482" s="3278" t="s">
        <v>3099</v>
      </c>
      <c r="AL482" s="3276">
        <v>67641700</v>
      </c>
      <c r="AM482" s="3276"/>
      <c r="AN482" s="3279" t="s">
        <v>3131</v>
      </c>
      <c r="AO482" s="3267" t="s">
        <v>2968</v>
      </c>
      <c r="AP482" s="3267" t="s">
        <v>3305</v>
      </c>
      <c r="AQ482" s="3267" t="s">
        <v>3113</v>
      </c>
      <c r="AR482" s="3276" t="s">
        <v>2968</v>
      </c>
      <c r="AS482" s="3276" t="s">
        <v>2968</v>
      </c>
      <c r="AT482" s="3276" t="s">
        <v>2968</v>
      </c>
      <c r="AU482" s="3276"/>
      <c r="AV482" s="3276"/>
      <c r="AW482" s="3276" t="s">
        <v>3112</v>
      </c>
      <c r="AX482" s="3276"/>
      <c r="AY482" s="3291"/>
      <c r="AZ482" s="3267" t="s">
        <v>2968</v>
      </c>
      <c r="BA482" s="3276"/>
      <c r="BB482" s="3291"/>
      <c r="BC482" s="3276"/>
      <c r="BD482" s="3292"/>
      <c r="BE482" s="3276"/>
      <c r="BF482" s="3281"/>
      <c r="BG482" s="3293">
        <v>38797</v>
      </c>
      <c r="BH482" s="3276" t="s">
        <v>2968</v>
      </c>
      <c r="BI482" s="3267" t="s">
        <v>2979</v>
      </c>
      <c r="BJ482" s="3299">
        <v>38837</v>
      </c>
      <c r="BK482" s="3283"/>
      <c r="BL482" s="3267" t="s">
        <v>2998</v>
      </c>
      <c r="BM482" s="3276" t="s">
        <v>2879</v>
      </c>
      <c r="BN482" s="3276" t="s">
        <v>3111</v>
      </c>
      <c r="BO482" s="3267" t="s">
        <v>6261</v>
      </c>
      <c r="BP482" s="3276"/>
      <c r="BQ482" s="3276" t="e">
        <v>#DIV/0!</v>
      </c>
      <c r="BR482" s="3276" t="e">
        <v>#DIV/0!</v>
      </c>
      <c r="BS482" s="3285"/>
      <c r="BT482" s="3285"/>
      <c r="BU482" s="3285"/>
    </row>
    <row r="483" spans="1:73" hidden="1">
      <c r="A483" s="3267" t="s">
        <v>6564</v>
      </c>
      <c r="B483" s="3267" t="s">
        <v>6565</v>
      </c>
      <c r="C483" s="3269" t="s">
        <v>6566</v>
      </c>
      <c r="D483" s="3267">
        <v>13521533913</v>
      </c>
      <c r="E483" s="3267" t="s">
        <v>2985</v>
      </c>
      <c r="F483" s="3267" t="s">
        <v>6567</v>
      </c>
      <c r="G483" s="3267"/>
      <c r="H483" s="3267" t="s">
        <v>6568</v>
      </c>
      <c r="I483" s="3267" t="s">
        <v>3608</v>
      </c>
      <c r="J483" s="3267" t="s">
        <v>3614</v>
      </c>
      <c r="K483" s="3267" t="s">
        <v>6565</v>
      </c>
      <c r="L483" s="3267">
        <v>59.62</v>
      </c>
      <c r="M483" s="3267">
        <v>8</v>
      </c>
      <c r="N483" s="3267" t="s">
        <v>3122</v>
      </c>
      <c r="O483" s="3267"/>
      <c r="P483" s="3267" t="s">
        <v>2963</v>
      </c>
      <c r="Q483" s="3267">
        <v>250000</v>
      </c>
      <c r="R483" s="3267">
        <v>4193</v>
      </c>
      <c r="S483" s="3272">
        <v>35.4</v>
      </c>
      <c r="T483" s="3273">
        <v>354000</v>
      </c>
      <c r="U483" s="3267">
        <v>5939</v>
      </c>
      <c r="V483" s="3274">
        <v>0.2</v>
      </c>
      <c r="W483" s="3272">
        <v>28.32</v>
      </c>
      <c r="X483" s="3275">
        <v>283200</v>
      </c>
      <c r="Y483" s="3267">
        <v>2006</v>
      </c>
      <c r="Z483" s="3267">
        <v>6</v>
      </c>
      <c r="AA483" s="3276">
        <v>27</v>
      </c>
      <c r="AB483" s="3267">
        <v>1060</v>
      </c>
      <c r="AC483" s="3267" t="s">
        <v>2980</v>
      </c>
      <c r="AD483" s="3267"/>
      <c r="AE483" s="3276" t="s">
        <v>3304</v>
      </c>
      <c r="AF483" s="3267" t="s">
        <v>2966</v>
      </c>
      <c r="AG483" s="3267" t="s">
        <v>2967</v>
      </c>
      <c r="AH483" s="3267"/>
      <c r="AI483" s="3267" t="s">
        <v>2992</v>
      </c>
      <c r="AJ483" s="3284"/>
      <c r="AK483" s="3267" t="s">
        <v>3160</v>
      </c>
      <c r="AL483" s="3267">
        <v>67641700</v>
      </c>
      <c r="AM483" s="3267"/>
      <c r="AN483" s="3267" t="s">
        <v>3114</v>
      </c>
      <c r="AO483" s="3267"/>
      <c r="AP483" s="3267" t="s">
        <v>4806</v>
      </c>
      <c r="AQ483" s="3267" t="s">
        <v>3228</v>
      </c>
      <c r="AR483" s="3267"/>
      <c r="AS483" s="3267"/>
      <c r="AT483" s="3267"/>
      <c r="AU483" s="3267"/>
      <c r="AV483" s="3267"/>
      <c r="AW483" s="3267" t="s">
        <v>3171</v>
      </c>
      <c r="AX483" s="3267"/>
      <c r="AY483" s="3269"/>
      <c r="AZ483" s="3267"/>
      <c r="BA483" s="3267"/>
      <c r="BB483" s="3267"/>
      <c r="BC483" s="3267"/>
      <c r="BD483" s="3267"/>
      <c r="BE483" s="3267"/>
      <c r="BF483" s="3267"/>
      <c r="BG483" s="3307">
        <v>38845</v>
      </c>
      <c r="BH483" s="3267"/>
      <c r="BI483" s="3267" t="s">
        <v>4806</v>
      </c>
      <c r="BJ483" s="3283">
        <v>38846</v>
      </c>
      <c r="BK483" s="3283"/>
      <c r="BL483" s="3267" t="s">
        <v>3249</v>
      </c>
      <c r="BM483" s="3267"/>
      <c r="BN483" s="3267"/>
      <c r="BO483" s="3267"/>
      <c r="BP483" s="3267"/>
      <c r="BQ483" s="3276" t="e">
        <v>#DIV/0!</v>
      </c>
      <c r="BR483" s="3276" t="e">
        <v>#DIV/0!</v>
      </c>
      <c r="BS483" s="3285"/>
      <c r="BT483" s="3285"/>
      <c r="BU483" s="3285"/>
    </row>
    <row r="484" spans="1:73" hidden="1">
      <c r="A484" s="3267" t="s">
        <v>6569</v>
      </c>
      <c r="B484" s="3267" t="s">
        <v>6570</v>
      </c>
      <c r="C484" s="3269" t="s">
        <v>6571</v>
      </c>
      <c r="D484" s="3269">
        <v>13681281178</v>
      </c>
      <c r="E484" s="3268" t="s">
        <v>2985</v>
      </c>
      <c r="F484" s="3268" t="s">
        <v>3557</v>
      </c>
      <c r="G484" s="3267"/>
      <c r="H484" s="3267" t="s">
        <v>3139</v>
      </c>
      <c r="I484" s="3268"/>
      <c r="J484" s="3267" t="s">
        <v>6103</v>
      </c>
      <c r="K484" s="3267" t="s">
        <v>6572</v>
      </c>
      <c r="L484" s="3267">
        <v>89.6</v>
      </c>
      <c r="M484" s="3267">
        <v>24</v>
      </c>
      <c r="N484" s="3267" t="s">
        <v>3122</v>
      </c>
      <c r="O484" s="3267"/>
      <c r="P484" s="3267" t="s">
        <v>2963</v>
      </c>
      <c r="Q484" s="3271">
        <v>659000</v>
      </c>
      <c r="R484" s="3267">
        <v>7355</v>
      </c>
      <c r="S484" s="3272">
        <v>50.98</v>
      </c>
      <c r="T484" s="3273">
        <v>509800</v>
      </c>
      <c r="U484" s="3267">
        <v>5690</v>
      </c>
      <c r="V484" s="3289">
        <v>0.2</v>
      </c>
      <c r="W484" s="3272">
        <v>40.78</v>
      </c>
      <c r="X484" s="3275">
        <v>407800</v>
      </c>
      <c r="Y484" s="3276">
        <v>2006</v>
      </c>
      <c r="Z484" s="3276">
        <v>6</v>
      </c>
      <c r="AA484" s="3276">
        <v>8</v>
      </c>
      <c r="AB484" s="3267">
        <v>1500</v>
      </c>
      <c r="AC484" s="3267" t="s">
        <v>2980</v>
      </c>
      <c r="AD484" s="3267"/>
      <c r="AE484" s="3314" t="s">
        <v>3245</v>
      </c>
      <c r="AF484" s="3268" t="s">
        <v>2966</v>
      </c>
      <c r="AG484" s="3279" t="s">
        <v>2967</v>
      </c>
      <c r="AH484" s="3267"/>
      <c r="AI484" s="3279" t="s">
        <v>2992</v>
      </c>
      <c r="AJ484" s="3284"/>
      <c r="AK484" s="3278">
        <v>6</v>
      </c>
      <c r="AL484" s="3276">
        <v>67641700</v>
      </c>
      <c r="AM484" s="3276"/>
      <c r="AN484" s="3279" t="s">
        <v>3140</v>
      </c>
      <c r="AO484" s="3267" t="s">
        <v>6573</v>
      </c>
      <c r="AP484" s="3279" t="s">
        <v>3305</v>
      </c>
      <c r="AQ484" s="3267" t="s">
        <v>3228</v>
      </c>
      <c r="AR484" s="3276"/>
      <c r="AS484" s="3276"/>
      <c r="AT484" s="3276"/>
      <c r="AU484" s="3276"/>
      <c r="AV484" s="3276"/>
      <c r="AW484" s="3276" t="s">
        <v>2997</v>
      </c>
      <c r="AX484" s="3276"/>
      <c r="AY484" s="3291"/>
      <c r="AZ484" s="3267" t="s">
        <v>6572</v>
      </c>
      <c r="BA484" s="3296"/>
      <c r="BB484" s="3297"/>
      <c r="BC484" s="3296"/>
      <c r="BD484" s="3298"/>
      <c r="BE484" s="3276"/>
      <c r="BF484" s="3281"/>
      <c r="BG484" s="3293">
        <v>38846</v>
      </c>
      <c r="BH484" s="3267" t="s">
        <v>2998</v>
      </c>
      <c r="BI484" s="3314" t="s">
        <v>3305</v>
      </c>
      <c r="BJ484" s="3283">
        <v>38860</v>
      </c>
      <c r="BK484" s="3283"/>
      <c r="BL484" s="3267" t="s">
        <v>3249</v>
      </c>
      <c r="BM484" s="3276" t="s">
        <v>2879</v>
      </c>
      <c r="BN484" s="3276" t="s">
        <v>3111</v>
      </c>
      <c r="BO484" s="3276" t="s">
        <v>3146</v>
      </c>
      <c r="BP484" s="3276"/>
      <c r="BQ484" s="3276" t="e">
        <v>#DIV/0!</v>
      </c>
      <c r="BR484" s="3276" t="e">
        <v>#DIV/0!</v>
      </c>
      <c r="BS484" s="3285"/>
      <c r="BT484" s="3285"/>
      <c r="BU484" s="3285"/>
    </row>
    <row r="485" spans="1:73" hidden="1">
      <c r="A485" s="3268" t="s">
        <v>6574</v>
      </c>
      <c r="B485" s="3268" t="s">
        <v>6575</v>
      </c>
      <c r="C485" s="3269" t="s">
        <v>6576</v>
      </c>
      <c r="D485" s="3268">
        <v>13661285530</v>
      </c>
      <c r="E485" s="3267" t="s">
        <v>2985</v>
      </c>
      <c r="F485" s="3268" t="s">
        <v>6577</v>
      </c>
      <c r="G485" s="3267"/>
      <c r="H485" s="3267" t="s">
        <v>3668</v>
      </c>
      <c r="I485" s="3267" t="s">
        <v>6578</v>
      </c>
      <c r="J485" s="3269" t="s">
        <v>3163</v>
      </c>
      <c r="K485" s="3267" t="s">
        <v>6575</v>
      </c>
      <c r="L485" s="3267">
        <v>65.239999999999995</v>
      </c>
      <c r="M485" s="3267">
        <v>5</v>
      </c>
      <c r="N485" s="3268" t="s">
        <v>3122</v>
      </c>
      <c r="O485" s="3267"/>
      <c r="P485" s="3267" t="s">
        <v>2963</v>
      </c>
      <c r="Q485" s="3271">
        <v>445000</v>
      </c>
      <c r="R485" s="3288">
        <v>6821</v>
      </c>
      <c r="S485" s="3272">
        <v>45.26</v>
      </c>
      <c r="T485" s="3273">
        <v>452600</v>
      </c>
      <c r="U485" s="3267">
        <v>6938</v>
      </c>
      <c r="V485" s="3274">
        <v>0.2</v>
      </c>
      <c r="W485" s="3272">
        <v>36.200000000000003</v>
      </c>
      <c r="X485" s="3273">
        <v>362000</v>
      </c>
      <c r="Y485" s="3276">
        <v>2006</v>
      </c>
      <c r="Z485" s="3276">
        <v>5</v>
      </c>
      <c r="AA485" s="3276">
        <v>11</v>
      </c>
      <c r="AB485" s="3267">
        <v>1355</v>
      </c>
      <c r="AC485" s="3267" t="s">
        <v>2980</v>
      </c>
      <c r="AD485" s="3267"/>
      <c r="AE485" s="3279" t="s">
        <v>3238</v>
      </c>
      <c r="AF485" s="3267" t="s">
        <v>2966</v>
      </c>
      <c r="AG485" s="3267" t="s">
        <v>2967</v>
      </c>
      <c r="AH485" s="3267" t="s">
        <v>2968</v>
      </c>
      <c r="AI485" s="3268" t="s">
        <v>2992</v>
      </c>
      <c r="AJ485" s="3290"/>
      <c r="AK485" s="3278">
        <v>5</v>
      </c>
      <c r="AL485" s="3267">
        <v>67641700</v>
      </c>
      <c r="AM485" s="3276"/>
      <c r="AN485" s="3279" t="s">
        <v>3131</v>
      </c>
      <c r="AO485" s="3276"/>
      <c r="AP485" s="3268" t="s">
        <v>4395</v>
      </c>
      <c r="AQ485" s="3267" t="s">
        <v>3113</v>
      </c>
      <c r="AR485" s="3267"/>
      <c r="AS485" s="3267"/>
      <c r="AT485" s="3267"/>
      <c r="AU485" s="3267" t="s">
        <v>2968</v>
      </c>
      <c r="AV485" s="3277"/>
      <c r="AW485" s="3276" t="s">
        <v>3171</v>
      </c>
      <c r="AX485" s="3276"/>
      <c r="AY485" s="3291"/>
      <c r="AZ485" s="3267" t="s">
        <v>6579</v>
      </c>
      <c r="BA485" s="3296"/>
      <c r="BB485" s="3297"/>
      <c r="BC485" s="3296"/>
      <c r="BD485" s="3298"/>
      <c r="BE485" s="3276">
        <v>13641083343</v>
      </c>
      <c r="BF485" s="3281"/>
      <c r="BG485" s="3293">
        <v>38806</v>
      </c>
      <c r="BH485" s="3267"/>
      <c r="BI485" s="3268" t="s">
        <v>3238</v>
      </c>
      <c r="BJ485" s="3283">
        <v>38846</v>
      </c>
      <c r="BK485" s="3284"/>
      <c r="BL485" s="3267" t="s">
        <v>2998</v>
      </c>
      <c r="BM485" s="3276" t="s">
        <v>2879</v>
      </c>
      <c r="BN485" s="3276" t="s">
        <v>2999</v>
      </c>
      <c r="BO485" s="3276" t="s">
        <v>3146</v>
      </c>
      <c r="BP485" s="3268"/>
      <c r="BQ485" s="3267" t="e">
        <v>#DIV/0!</v>
      </c>
      <c r="BR485" s="3267" t="e">
        <v>#DIV/0!</v>
      </c>
      <c r="BS485" s="3285"/>
      <c r="BT485" s="3285"/>
      <c r="BU485" s="3285"/>
    </row>
    <row r="486" spans="1:73" hidden="1">
      <c r="A486" s="3267" t="s">
        <v>6580</v>
      </c>
      <c r="B486" s="3267" t="s">
        <v>6581</v>
      </c>
      <c r="C486" s="3269" t="s">
        <v>6582</v>
      </c>
      <c r="D486" s="3269" t="s">
        <v>6583</v>
      </c>
      <c r="E486" s="3268" t="s">
        <v>2985</v>
      </c>
      <c r="F486" s="3268" t="s">
        <v>3919</v>
      </c>
      <c r="G486" s="3267"/>
      <c r="H486" s="3267" t="s">
        <v>3178</v>
      </c>
      <c r="I486" s="3268"/>
      <c r="J486" s="3267" t="s">
        <v>6584</v>
      </c>
      <c r="K486" s="3267" t="s">
        <v>6581</v>
      </c>
      <c r="L486" s="3267">
        <v>97.11</v>
      </c>
      <c r="M486" s="3267">
        <v>4</v>
      </c>
      <c r="N486" s="3267" t="s">
        <v>3122</v>
      </c>
      <c r="O486" s="3267">
        <v>79.38</v>
      </c>
      <c r="P486" s="3267" t="s">
        <v>2963</v>
      </c>
      <c r="Q486" s="3271">
        <v>675000</v>
      </c>
      <c r="R486" s="3288">
        <v>6951</v>
      </c>
      <c r="S486" s="3272">
        <v>57.43</v>
      </c>
      <c r="T486" s="3273">
        <v>574300</v>
      </c>
      <c r="U486" s="3267">
        <v>5914</v>
      </c>
      <c r="V486" s="3289">
        <v>0.2</v>
      </c>
      <c r="W486" s="3272">
        <v>45.94</v>
      </c>
      <c r="X486" s="3273">
        <v>459400</v>
      </c>
      <c r="Y486" s="3267">
        <v>2006</v>
      </c>
      <c r="Z486" s="3276">
        <v>7</v>
      </c>
      <c r="AA486" s="3276">
        <v>11</v>
      </c>
      <c r="AB486" s="3267">
        <v>1500</v>
      </c>
      <c r="AC486" s="3267" t="s">
        <v>2980</v>
      </c>
      <c r="AD486" s="3267"/>
      <c r="AE486" s="3279" t="s">
        <v>3304</v>
      </c>
      <c r="AF486" s="3268" t="s">
        <v>2966</v>
      </c>
      <c r="AG486" s="3279" t="s">
        <v>2967</v>
      </c>
      <c r="AH486" s="3268" t="s">
        <v>2968</v>
      </c>
      <c r="AI486" s="3279" t="s">
        <v>2992</v>
      </c>
      <c r="AJ486" s="3284"/>
      <c r="AK486" s="3278">
        <v>7</v>
      </c>
      <c r="AL486" s="3276">
        <v>57</v>
      </c>
      <c r="AM486" s="3267" t="s">
        <v>6585</v>
      </c>
      <c r="AN486" s="3279" t="s">
        <v>3140</v>
      </c>
      <c r="AO486" s="3267"/>
      <c r="AP486" s="3279" t="s">
        <v>3305</v>
      </c>
      <c r="AQ486" s="3267" t="s">
        <v>3228</v>
      </c>
      <c r="AR486" s="3276"/>
      <c r="AS486" s="3276"/>
      <c r="AT486" s="3276"/>
      <c r="AU486" s="3276" t="s">
        <v>2968</v>
      </c>
      <c r="AV486" s="3276" t="s">
        <v>2968</v>
      </c>
      <c r="AW486" s="3276" t="s">
        <v>3171</v>
      </c>
      <c r="AX486" s="3276"/>
      <c r="AY486" s="3291"/>
      <c r="AZ486" s="3267" t="s">
        <v>3142</v>
      </c>
      <c r="BA486" s="3296"/>
      <c r="BB486" s="3297"/>
      <c r="BC486" s="3296"/>
      <c r="BD486" s="3298"/>
      <c r="BE486" s="3276">
        <v>13681560677</v>
      </c>
      <c r="BF486" s="3281"/>
      <c r="BG486" s="3293">
        <v>38834</v>
      </c>
      <c r="BH486" s="3267" t="s">
        <v>2998</v>
      </c>
      <c r="BI486" s="3314" t="s">
        <v>3305</v>
      </c>
      <c r="BJ486" s="3283">
        <v>38846</v>
      </c>
      <c r="BK486" s="3283" t="s">
        <v>2968</v>
      </c>
      <c r="BL486" s="3267" t="s">
        <v>3249</v>
      </c>
      <c r="BM486" s="3276" t="s">
        <v>2879</v>
      </c>
      <c r="BN486" s="3276" t="s">
        <v>2999</v>
      </c>
      <c r="BO486" s="3276" t="s">
        <v>3590</v>
      </c>
      <c r="BP486" s="3276"/>
      <c r="BQ486" s="3276">
        <v>7235</v>
      </c>
      <c r="BR486" s="3276">
        <v>8503</v>
      </c>
      <c r="BS486" s="3285"/>
      <c r="BT486" s="3285"/>
      <c r="BU486" s="3285"/>
    </row>
    <row r="487" spans="1:73" hidden="1">
      <c r="A487" s="3267" t="s">
        <v>6586</v>
      </c>
      <c r="B487" s="3267" t="s">
        <v>6587</v>
      </c>
      <c r="C487" s="3269" t="s">
        <v>6588</v>
      </c>
      <c r="D487" s="3269" t="s">
        <v>6589</v>
      </c>
      <c r="E487" s="3267" t="s">
        <v>2985</v>
      </c>
      <c r="F487" s="3308" t="s">
        <v>6590</v>
      </c>
      <c r="G487" s="3267"/>
      <c r="H487" s="3267" t="s">
        <v>6591</v>
      </c>
      <c r="I487" s="3267" t="s">
        <v>2968</v>
      </c>
      <c r="J487" s="3267" t="s">
        <v>3173</v>
      </c>
      <c r="K487" s="3267" t="s">
        <v>2968</v>
      </c>
      <c r="L487" s="3286">
        <v>70.2</v>
      </c>
      <c r="M487" s="3267">
        <v>2</v>
      </c>
      <c r="N487" s="3267" t="s">
        <v>3122</v>
      </c>
      <c r="O487" s="3267"/>
      <c r="P487" s="3267" t="s">
        <v>2963</v>
      </c>
      <c r="Q487" s="3287">
        <v>580000</v>
      </c>
      <c r="R487" s="3267">
        <v>8262</v>
      </c>
      <c r="S487" s="3272">
        <v>49.62</v>
      </c>
      <c r="T487" s="3273">
        <v>496200</v>
      </c>
      <c r="U487" s="3267">
        <v>7069</v>
      </c>
      <c r="V487" s="3274">
        <v>0.2</v>
      </c>
      <c r="W487" s="3272">
        <v>39.69</v>
      </c>
      <c r="X487" s="3275">
        <v>396900</v>
      </c>
      <c r="Y487" s="3276">
        <v>2006</v>
      </c>
      <c r="Z487" s="3276">
        <v>5</v>
      </c>
      <c r="AA487" s="3276">
        <v>11</v>
      </c>
      <c r="AB487" s="3267">
        <v>1485</v>
      </c>
      <c r="AC487" s="3267" t="s">
        <v>2980</v>
      </c>
      <c r="AD487" s="3267"/>
      <c r="AE487" s="3276" t="s">
        <v>3304</v>
      </c>
      <c r="AF487" s="3268" t="s">
        <v>2966</v>
      </c>
      <c r="AG487" s="3279" t="s">
        <v>2967</v>
      </c>
      <c r="AH487" s="3267"/>
      <c r="AI487" s="3267" t="s">
        <v>3295</v>
      </c>
      <c r="AJ487" s="3290" t="s">
        <v>2968</v>
      </c>
      <c r="AK487" s="3278" t="s">
        <v>3099</v>
      </c>
      <c r="AL487" s="3276">
        <v>67641700</v>
      </c>
      <c r="AM487" s="3276"/>
      <c r="AN487" s="3279" t="s">
        <v>3131</v>
      </c>
      <c r="AO487" s="3267" t="s">
        <v>2968</v>
      </c>
      <c r="AP487" s="3267" t="s">
        <v>3305</v>
      </c>
      <c r="AQ487" s="3267" t="s">
        <v>3113</v>
      </c>
      <c r="AR487" s="3276" t="s">
        <v>2968</v>
      </c>
      <c r="AS487" s="3276" t="s">
        <v>2968</v>
      </c>
      <c r="AT487" s="3276" t="s">
        <v>2968</v>
      </c>
      <c r="AU487" s="3276"/>
      <c r="AV487" s="3276"/>
      <c r="AW487" s="3267" t="s">
        <v>3171</v>
      </c>
      <c r="AX487" s="3276"/>
      <c r="AY487" s="3291"/>
      <c r="AZ487" s="3267" t="s">
        <v>2968</v>
      </c>
      <c r="BA487" s="3276"/>
      <c r="BB487" s="3291"/>
      <c r="BC487" s="3276"/>
      <c r="BD487" s="3292"/>
      <c r="BE487" s="3276"/>
      <c r="BF487" s="3281"/>
      <c r="BG487" s="3293">
        <v>38832</v>
      </c>
      <c r="BH487" s="3276" t="s">
        <v>2968</v>
      </c>
      <c r="BI487" s="3267" t="s">
        <v>2979</v>
      </c>
      <c r="BJ487" s="3299">
        <v>38846</v>
      </c>
      <c r="BK487" s="3283"/>
      <c r="BL487" s="3267" t="s">
        <v>2998</v>
      </c>
      <c r="BM487" s="3276" t="s">
        <v>2879</v>
      </c>
      <c r="BN487" s="3276" t="s">
        <v>3111</v>
      </c>
      <c r="BO487" s="3267" t="s">
        <v>6261</v>
      </c>
      <c r="BP487" s="3276"/>
      <c r="BQ487" s="3276" t="e">
        <v>#DIV/0!</v>
      </c>
      <c r="BR487" s="3276" t="e">
        <v>#DIV/0!</v>
      </c>
      <c r="BS487" s="3285"/>
      <c r="BT487" s="3285"/>
      <c r="BU487" s="3285"/>
    </row>
    <row r="488" spans="1:73" hidden="1">
      <c r="A488" s="3267" t="s">
        <v>6592</v>
      </c>
      <c r="B488" s="3267" t="s">
        <v>6593</v>
      </c>
      <c r="C488" s="3269" t="s">
        <v>6594</v>
      </c>
      <c r="D488" s="3267" t="s">
        <v>6595</v>
      </c>
      <c r="E488" s="3267" t="s">
        <v>2985</v>
      </c>
      <c r="F488" s="3267" t="s">
        <v>4412</v>
      </c>
      <c r="G488" s="3267"/>
      <c r="H488" s="3267" t="s">
        <v>6596</v>
      </c>
      <c r="I488" s="3267" t="s">
        <v>3586</v>
      </c>
      <c r="J488" s="3267" t="s">
        <v>5784</v>
      </c>
      <c r="K488" s="3268" t="s">
        <v>6597</v>
      </c>
      <c r="L488" s="3267">
        <v>69.25</v>
      </c>
      <c r="M488" s="3267">
        <v>12</v>
      </c>
      <c r="N488" s="3267" t="s">
        <v>3122</v>
      </c>
      <c r="O488" s="3267">
        <v>53.23</v>
      </c>
      <c r="P488" s="3267" t="s">
        <v>2963</v>
      </c>
      <c r="Q488" s="3267">
        <v>500000</v>
      </c>
      <c r="R488" s="3267">
        <v>7220</v>
      </c>
      <c r="S488" s="3272">
        <v>45.84</v>
      </c>
      <c r="T488" s="3273">
        <v>458400</v>
      </c>
      <c r="U488" s="3267">
        <v>6620</v>
      </c>
      <c r="V488" s="3274">
        <v>0.2</v>
      </c>
      <c r="W488" s="3272">
        <v>36.67</v>
      </c>
      <c r="X488" s="3275">
        <v>366700</v>
      </c>
      <c r="Y488" s="3267">
        <v>2006</v>
      </c>
      <c r="Z488" s="3267">
        <v>6</v>
      </c>
      <c r="AA488" s="3276">
        <v>23</v>
      </c>
      <c r="AB488" s="3267">
        <v>1375</v>
      </c>
      <c r="AC488" s="3267" t="s">
        <v>2980</v>
      </c>
      <c r="AD488" s="3267"/>
      <c r="AE488" s="3276" t="s">
        <v>3304</v>
      </c>
      <c r="AF488" s="3267" t="s">
        <v>2966</v>
      </c>
      <c r="AG488" s="3267" t="s">
        <v>2967</v>
      </c>
      <c r="AH488" s="3267"/>
      <c r="AI488" s="3267" t="s">
        <v>2992</v>
      </c>
      <c r="AJ488" s="3284"/>
      <c r="AK488" s="3267" t="s">
        <v>3160</v>
      </c>
      <c r="AL488" s="3276">
        <v>67641700</v>
      </c>
      <c r="AM488" s="3267"/>
      <c r="AN488" s="3267" t="s">
        <v>2994</v>
      </c>
      <c r="AO488" s="3267" t="s">
        <v>2968</v>
      </c>
      <c r="AP488" s="3267" t="s">
        <v>3342</v>
      </c>
      <c r="AQ488" s="3267" t="s">
        <v>3228</v>
      </c>
      <c r="AR488" s="3267"/>
      <c r="AS488" s="3267"/>
      <c r="AT488" s="3267"/>
      <c r="AU488" s="3267"/>
      <c r="AV488" s="3267"/>
      <c r="AW488" s="3267" t="s">
        <v>2997</v>
      </c>
      <c r="AX488" s="3267"/>
      <c r="AY488" s="3269"/>
      <c r="AZ488" s="3268" t="s">
        <v>6597</v>
      </c>
      <c r="BA488" s="3267"/>
      <c r="BB488" s="3267"/>
      <c r="BC488" s="3267"/>
      <c r="BD488" s="3267"/>
      <c r="BE488" s="3267"/>
      <c r="BF488" s="3267"/>
      <c r="BG488" s="3307">
        <v>38797</v>
      </c>
      <c r="BH488" s="3267"/>
      <c r="BI488" s="3267" t="s">
        <v>3342</v>
      </c>
      <c r="BJ488" s="3299">
        <v>38849</v>
      </c>
      <c r="BK488" s="3283"/>
      <c r="BL488" s="3267" t="s">
        <v>2998</v>
      </c>
      <c r="BM488" s="3267" t="s">
        <v>2879</v>
      </c>
      <c r="BN488" s="3267" t="s">
        <v>2999</v>
      </c>
      <c r="BO488" s="3267" t="s">
        <v>3146</v>
      </c>
      <c r="BP488" s="3267"/>
      <c r="BQ488" s="3276"/>
      <c r="BR488" s="3276"/>
      <c r="BS488" s="3285"/>
      <c r="BT488" s="3285"/>
      <c r="BU488" s="3285"/>
    </row>
    <row r="489" spans="1:73" hidden="1">
      <c r="A489" s="3267" t="s">
        <v>6598</v>
      </c>
      <c r="B489" s="3267" t="s">
        <v>6599</v>
      </c>
      <c r="C489" s="3269" t="s">
        <v>6600</v>
      </c>
      <c r="D489" s="3269" t="s">
        <v>6601</v>
      </c>
      <c r="E489" s="3268" t="s">
        <v>2985</v>
      </c>
      <c r="F489" s="3268" t="s">
        <v>6602</v>
      </c>
      <c r="G489" s="3267"/>
      <c r="H489" s="3267" t="s">
        <v>3225</v>
      </c>
      <c r="I489" s="3268" t="s">
        <v>4622</v>
      </c>
      <c r="J489" s="3267" t="s">
        <v>3815</v>
      </c>
      <c r="K489" s="3267" t="s">
        <v>6603</v>
      </c>
      <c r="L489" s="3267">
        <v>77.31</v>
      </c>
      <c r="M489" s="3267">
        <v>3</v>
      </c>
      <c r="N489" s="3267" t="s">
        <v>3125</v>
      </c>
      <c r="O489" s="3267"/>
      <c r="P489" s="3267" t="s">
        <v>2963</v>
      </c>
      <c r="Q489" s="3271">
        <v>650000</v>
      </c>
      <c r="R489" s="3267">
        <v>8408</v>
      </c>
      <c r="S489" s="3272">
        <v>49.24</v>
      </c>
      <c r="T489" s="3273">
        <v>492400</v>
      </c>
      <c r="U489" s="3267">
        <v>6370</v>
      </c>
      <c r="V489" s="3289">
        <v>0.2</v>
      </c>
      <c r="W489" s="3272">
        <v>39.39</v>
      </c>
      <c r="X489" s="3275">
        <v>393900</v>
      </c>
      <c r="Y489" s="3276">
        <v>2006</v>
      </c>
      <c r="Z489" s="3276">
        <v>5</v>
      </c>
      <c r="AA489" s="3276">
        <v>22</v>
      </c>
      <c r="AB489" s="3267">
        <v>1475</v>
      </c>
      <c r="AC489" s="3267" t="s">
        <v>2980</v>
      </c>
      <c r="AD489" s="3267"/>
      <c r="AE489" s="3314" t="s">
        <v>3344</v>
      </c>
      <c r="AF489" s="3268" t="s">
        <v>2966</v>
      </c>
      <c r="AG489" s="3279" t="s">
        <v>2967</v>
      </c>
      <c r="AH489" s="3267" t="s">
        <v>2968</v>
      </c>
      <c r="AI489" s="3279" t="s">
        <v>2992</v>
      </c>
      <c r="AJ489" s="3284"/>
      <c r="AK489" s="3278">
        <v>5</v>
      </c>
      <c r="AL489" s="3276">
        <v>67641700</v>
      </c>
      <c r="AM489" s="3276"/>
      <c r="AN489" s="3279" t="s">
        <v>3114</v>
      </c>
      <c r="AO489" s="3267" t="s">
        <v>6604</v>
      </c>
      <c r="AP489" s="3279" t="s">
        <v>3305</v>
      </c>
      <c r="AQ489" s="3267" t="s">
        <v>3228</v>
      </c>
      <c r="AR489" s="3276"/>
      <c r="AS489" s="3276"/>
      <c r="AT489" s="3276"/>
      <c r="AU489" s="3276"/>
      <c r="AV489" s="3276" t="s">
        <v>2968</v>
      </c>
      <c r="AW489" s="3276" t="s">
        <v>2997</v>
      </c>
      <c r="AX489" s="3276"/>
      <c r="AY489" s="3291"/>
      <c r="AZ489" s="3267" t="s">
        <v>6603</v>
      </c>
      <c r="BA489" s="3296"/>
      <c r="BB489" s="3297"/>
      <c r="BC489" s="3296"/>
      <c r="BD489" s="3298"/>
      <c r="BE489" s="3276"/>
      <c r="BF489" s="3281"/>
      <c r="BG489" s="3293">
        <v>38846</v>
      </c>
      <c r="BH489" s="3267" t="s">
        <v>2998</v>
      </c>
      <c r="BI489" s="3314" t="s">
        <v>3305</v>
      </c>
      <c r="BJ489" s="3283">
        <v>38846</v>
      </c>
      <c r="BK489" s="3283"/>
      <c r="BL489" s="3267" t="s">
        <v>3249</v>
      </c>
      <c r="BM489" s="3276" t="s">
        <v>2879</v>
      </c>
      <c r="BN489" s="3276" t="s">
        <v>2999</v>
      </c>
      <c r="BO489" s="3276" t="s">
        <v>3146</v>
      </c>
      <c r="BP489" s="3276"/>
      <c r="BQ489" s="3276" t="e">
        <v>#DIV/0!</v>
      </c>
      <c r="BR489" s="3276" t="e">
        <v>#DIV/0!</v>
      </c>
      <c r="BS489" s="3285"/>
      <c r="BT489" s="3285"/>
      <c r="BU489" s="3285"/>
    </row>
    <row r="490" spans="1:73" hidden="1">
      <c r="A490" s="3268" t="s">
        <v>6605</v>
      </c>
      <c r="B490" s="3268" t="s">
        <v>6606</v>
      </c>
      <c r="C490" s="3269" t="s">
        <v>6607</v>
      </c>
      <c r="D490" s="3268">
        <v>13651328134</v>
      </c>
      <c r="E490" s="3268" t="s">
        <v>2985</v>
      </c>
      <c r="F490" s="3268" t="s">
        <v>6608</v>
      </c>
      <c r="G490" s="3268"/>
      <c r="H490" s="3268" t="s">
        <v>3178</v>
      </c>
      <c r="I490" s="3268" t="s">
        <v>6609</v>
      </c>
      <c r="J490" s="3268" t="s">
        <v>4490</v>
      </c>
      <c r="K490" s="3268" t="s">
        <v>6610</v>
      </c>
      <c r="L490" s="3270">
        <v>64.790000000000006</v>
      </c>
      <c r="M490" s="3270">
        <v>11</v>
      </c>
      <c r="N490" s="3267" t="s">
        <v>3125</v>
      </c>
      <c r="O490" s="3270"/>
      <c r="P490" s="3268" t="s">
        <v>2963</v>
      </c>
      <c r="Q490" s="3271">
        <v>388740</v>
      </c>
      <c r="R490" s="3267">
        <v>6000</v>
      </c>
      <c r="S490" s="3272">
        <v>40.99</v>
      </c>
      <c r="T490" s="3273">
        <v>409900</v>
      </c>
      <c r="U490" s="3267">
        <v>6328</v>
      </c>
      <c r="V490" s="3289">
        <v>0.2</v>
      </c>
      <c r="W490" s="3272">
        <v>32.79</v>
      </c>
      <c r="X490" s="3275">
        <v>327900</v>
      </c>
      <c r="Y490" s="3267">
        <v>2006</v>
      </c>
      <c r="Z490" s="3276">
        <v>5</v>
      </c>
      <c r="AA490" s="3276">
        <v>31</v>
      </c>
      <c r="AB490" s="3276">
        <v>1225</v>
      </c>
      <c r="AC490" s="3267" t="s">
        <v>2980</v>
      </c>
      <c r="AD490" s="3268"/>
      <c r="AE490" s="3268" t="s">
        <v>3238</v>
      </c>
      <c r="AF490" s="3268" t="s">
        <v>2966</v>
      </c>
      <c r="AG490" s="3268" t="s">
        <v>2967</v>
      </c>
      <c r="AH490" s="3268"/>
      <c r="AI490" s="3267" t="s">
        <v>2992</v>
      </c>
      <c r="AJ490" s="3290"/>
      <c r="AK490" s="3278">
        <v>5</v>
      </c>
      <c r="AL490" s="3276">
        <v>67641700</v>
      </c>
      <c r="AM490" s="3276"/>
      <c r="AN490" s="3279" t="s">
        <v>2994</v>
      </c>
      <c r="AO490" s="3267" t="s">
        <v>6611</v>
      </c>
      <c r="AP490" s="3279" t="s">
        <v>3305</v>
      </c>
      <c r="AQ490" s="3267" t="s">
        <v>3228</v>
      </c>
      <c r="AR490" s="3267"/>
      <c r="AS490" s="3267"/>
      <c r="AT490" s="3267"/>
      <c r="AU490" s="3267"/>
      <c r="AV490" s="3277"/>
      <c r="AW490" s="3267" t="s">
        <v>2997</v>
      </c>
      <c r="AX490" s="3276"/>
      <c r="AY490" s="3291"/>
      <c r="AZ490" s="3268" t="s">
        <v>6610</v>
      </c>
      <c r="BA490" s="3296"/>
      <c r="BB490" s="3297"/>
      <c r="BC490" s="3296"/>
      <c r="BD490" s="3298"/>
      <c r="BE490" s="3276"/>
      <c r="BF490" s="3281"/>
      <c r="BG490" s="3293">
        <v>38817</v>
      </c>
      <c r="BH490" s="3267"/>
      <c r="BI490" s="3267" t="s">
        <v>3238</v>
      </c>
      <c r="BJ490" s="3299">
        <v>38856</v>
      </c>
      <c r="BK490" s="3284"/>
      <c r="BL490" s="3276" t="s">
        <v>2998</v>
      </c>
      <c r="BM490" s="3267" t="s">
        <v>2879</v>
      </c>
      <c r="BN490" s="3276" t="s">
        <v>3111</v>
      </c>
      <c r="BO490" s="3267" t="s">
        <v>3446</v>
      </c>
      <c r="BP490" s="3276"/>
      <c r="BQ490" s="3276" t="e">
        <v>#DIV/0!</v>
      </c>
      <c r="BR490" s="3276" t="e">
        <v>#DIV/0!</v>
      </c>
      <c r="BS490" s="3285"/>
      <c r="BT490" s="3285"/>
      <c r="BU490" s="3285"/>
    </row>
    <row r="491" spans="1:73">
      <c r="A491" s="3267" t="s">
        <v>6612</v>
      </c>
      <c r="B491" s="3267" t="s">
        <v>6613</v>
      </c>
      <c r="C491" s="3269" t="s">
        <v>6614</v>
      </c>
      <c r="D491" s="3269" t="s">
        <v>6615</v>
      </c>
      <c r="E491" s="3268" t="s">
        <v>2985</v>
      </c>
      <c r="F491" s="3268" t="s">
        <v>4334</v>
      </c>
      <c r="G491" s="3267"/>
      <c r="H491" s="3268" t="s">
        <v>3164</v>
      </c>
      <c r="I491" s="3268"/>
      <c r="J491" s="3267" t="s">
        <v>6616</v>
      </c>
      <c r="K491" s="3267" t="s">
        <v>6617</v>
      </c>
      <c r="L491" s="3267">
        <v>96.18</v>
      </c>
      <c r="M491" s="3267" t="s">
        <v>6618</v>
      </c>
      <c r="N491" s="3267" t="s">
        <v>3122</v>
      </c>
      <c r="O491" s="3267">
        <v>79.05</v>
      </c>
      <c r="P491" s="3267" t="s">
        <v>2963</v>
      </c>
      <c r="Q491" s="3271">
        <v>650000</v>
      </c>
      <c r="R491" s="3267">
        <v>6758</v>
      </c>
      <c r="S491" s="3272">
        <v>56.66</v>
      </c>
      <c r="T491" s="3273">
        <v>566600</v>
      </c>
      <c r="U491" s="3267">
        <v>5892</v>
      </c>
      <c r="V491" s="3289">
        <v>0.2</v>
      </c>
      <c r="W491" s="3272">
        <v>45.32</v>
      </c>
      <c r="X491" s="3275">
        <v>453200</v>
      </c>
      <c r="Y491" s="3276">
        <v>2006</v>
      </c>
      <c r="Z491" s="3276">
        <v>6</v>
      </c>
      <c r="AA491" s="3276">
        <v>1</v>
      </c>
      <c r="AB491" s="3267">
        <v>1500</v>
      </c>
      <c r="AC491" s="3267" t="s">
        <v>2980</v>
      </c>
      <c r="AD491" s="3267"/>
      <c r="AE491" s="3279" t="s">
        <v>3295</v>
      </c>
      <c r="AF491" s="3268" t="s">
        <v>2966</v>
      </c>
      <c r="AG491" s="3279" t="s">
        <v>2967</v>
      </c>
      <c r="AH491" s="3267" t="s">
        <v>2968</v>
      </c>
      <c r="AI491" s="3279" t="s">
        <v>2992</v>
      </c>
      <c r="AJ491" s="3284"/>
      <c r="AK491" s="3278">
        <v>6</v>
      </c>
      <c r="AL491" s="3276">
        <v>67641700</v>
      </c>
      <c r="AM491" s="3276"/>
      <c r="AN491" s="3279" t="s">
        <v>3131</v>
      </c>
      <c r="AO491" s="3267" t="s">
        <v>6619</v>
      </c>
      <c r="AP491" s="3279" t="s">
        <v>3305</v>
      </c>
      <c r="AQ491" s="3267" t="s">
        <v>3228</v>
      </c>
      <c r="AR491" s="3276"/>
      <c r="AS491" s="3276"/>
      <c r="AT491" s="3276"/>
      <c r="AU491" s="3276"/>
      <c r="AV491" s="3276"/>
      <c r="AW491" s="3276" t="s">
        <v>3171</v>
      </c>
      <c r="AX491" s="3276"/>
      <c r="AY491" s="3291"/>
      <c r="AZ491" s="3267" t="s">
        <v>6617</v>
      </c>
      <c r="BA491" s="3296"/>
      <c r="BB491" s="3297"/>
      <c r="BC491" s="3296"/>
      <c r="BD491" s="3298"/>
      <c r="BE491" s="3276">
        <v>82725217</v>
      </c>
      <c r="BF491" s="3281"/>
      <c r="BG491" s="3293">
        <v>38817</v>
      </c>
      <c r="BH491" s="3267" t="s">
        <v>2998</v>
      </c>
      <c r="BI491" s="3314" t="s">
        <v>3305</v>
      </c>
      <c r="BJ491" s="3283">
        <v>38855</v>
      </c>
      <c r="BK491" s="3283"/>
      <c r="BL491" s="3267" t="s">
        <v>3249</v>
      </c>
      <c r="BM491" s="3276" t="s">
        <v>2879</v>
      </c>
      <c r="BN491" s="3276" t="s">
        <v>2999</v>
      </c>
      <c r="BO491" s="3276" t="s">
        <v>3000</v>
      </c>
      <c r="BP491" s="3276"/>
      <c r="BQ491" s="3276">
        <v>7168</v>
      </c>
      <c r="BR491" s="3276">
        <v>8223</v>
      </c>
      <c r="BS491" s="3285"/>
      <c r="BT491" s="3285"/>
      <c r="BU491" s="3285"/>
    </row>
    <row r="492" spans="1:73" hidden="1">
      <c r="A492" s="3267" t="s">
        <v>6620</v>
      </c>
      <c r="B492" s="3268" t="s">
        <v>6621</v>
      </c>
      <c r="C492" s="3269" t="s">
        <v>6622</v>
      </c>
      <c r="D492" s="3268" t="s">
        <v>6623</v>
      </c>
      <c r="E492" s="3268" t="s">
        <v>2985</v>
      </c>
      <c r="F492" s="3268" t="s">
        <v>6624</v>
      </c>
      <c r="G492" s="3268"/>
      <c r="H492" s="3268" t="s">
        <v>6625</v>
      </c>
      <c r="I492" s="3268"/>
      <c r="J492" s="3268" t="s">
        <v>3512</v>
      </c>
      <c r="K492" s="3268" t="s">
        <v>6626</v>
      </c>
      <c r="L492" s="3270">
        <v>64.2</v>
      </c>
      <c r="M492" s="3270">
        <v>5</v>
      </c>
      <c r="N492" s="3267" t="s">
        <v>3122</v>
      </c>
      <c r="O492" s="3270"/>
      <c r="P492" s="3267" t="s">
        <v>2963</v>
      </c>
      <c r="Q492" s="3271">
        <v>585000</v>
      </c>
      <c r="R492" s="3267">
        <v>9112</v>
      </c>
      <c r="S492" s="3272">
        <v>50.04</v>
      </c>
      <c r="T492" s="3273">
        <v>500400</v>
      </c>
      <c r="U492" s="3267">
        <v>7795</v>
      </c>
      <c r="V492" s="3289">
        <v>0.2</v>
      </c>
      <c r="W492" s="3272">
        <v>40.03</v>
      </c>
      <c r="X492" s="3275">
        <v>400300</v>
      </c>
      <c r="Y492" s="3276">
        <v>2006</v>
      </c>
      <c r="Z492" s="3276">
        <v>5</v>
      </c>
      <c r="AA492" s="3276">
        <v>30</v>
      </c>
      <c r="AB492" s="3267">
        <v>1500</v>
      </c>
      <c r="AC492" s="3267" t="s">
        <v>2980</v>
      </c>
      <c r="AD492" s="3268"/>
      <c r="AE492" s="3279" t="s">
        <v>3537</v>
      </c>
      <c r="AF492" s="3267" t="s">
        <v>2966</v>
      </c>
      <c r="AG492" s="3268" t="s">
        <v>2967</v>
      </c>
      <c r="AH492" s="3268"/>
      <c r="AI492" s="3267" t="s">
        <v>2992</v>
      </c>
      <c r="AJ492" s="3290"/>
      <c r="AK492" s="3278">
        <v>5</v>
      </c>
      <c r="AL492" s="3276">
        <v>67641700</v>
      </c>
      <c r="AM492" s="3276"/>
      <c r="AN492" s="3279" t="s">
        <v>2994</v>
      </c>
      <c r="AO492" s="3267"/>
      <c r="AP492" s="3279" t="s">
        <v>3305</v>
      </c>
      <c r="AQ492" s="3267" t="s">
        <v>3228</v>
      </c>
      <c r="AR492" s="3267"/>
      <c r="AS492" s="3267"/>
      <c r="AT492" s="3267"/>
      <c r="AU492" s="3267"/>
      <c r="AV492" s="3277"/>
      <c r="AW492" s="3276" t="s">
        <v>2997</v>
      </c>
      <c r="AX492" s="3276"/>
      <c r="AY492" s="3276"/>
      <c r="AZ492" s="3267" t="s">
        <v>6626</v>
      </c>
      <c r="BA492" s="3296"/>
      <c r="BB492" s="3297"/>
      <c r="BC492" s="3296"/>
      <c r="BD492" s="3298"/>
      <c r="BE492" s="3276">
        <v>67767561</v>
      </c>
      <c r="BF492" s="3281"/>
      <c r="BG492" s="3293">
        <v>38820</v>
      </c>
      <c r="BH492" s="3267" t="s">
        <v>2998</v>
      </c>
      <c r="BI492" s="3314" t="s">
        <v>3305</v>
      </c>
      <c r="BJ492" s="3283">
        <v>38847</v>
      </c>
      <c r="BK492" s="3284"/>
      <c r="BL492" s="3267" t="s">
        <v>3249</v>
      </c>
      <c r="BM492" s="3267" t="s">
        <v>2879</v>
      </c>
      <c r="BN492" s="3267" t="s">
        <v>3111</v>
      </c>
      <c r="BO492" s="3267" t="s">
        <v>3146</v>
      </c>
      <c r="BP492" s="3276"/>
      <c r="BQ492" s="3276" t="e">
        <v>#DIV/0!</v>
      </c>
      <c r="BR492" s="3276" t="e">
        <v>#DIV/0!</v>
      </c>
      <c r="BS492" s="3285"/>
      <c r="BT492" s="3285"/>
      <c r="BU492" s="3285"/>
    </row>
    <row r="493" spans="1:73" hidden="1">
      <c r="A493" s="3267" t="s">
        <v>6627</v>
      </c>
      <c r="B493" s="3267" t="s">
        <v>6628</v>
      </c>
      <c r="C493" s="3269" t="s">
        <v>6629</v>
      </c>
      <c r="D493" s="3269" t="s">
        <v>6630</v>
      </c>
      <c r="E493" s="3267" t="s">
        <v>2985</v>
      </c>
      <c r="F493" s="3244" t="s">
        <v>4151</v>
      </c>
      <c r="G493" s="3267" t="s">
        <v>6631</v>
      </c>
      <c r="H493" s="3267" t="s">
        <v>3130</v>
      </c>
      <c r="I493" s="3267"/>
      <c r="J493" s="3269" t="s">
        <v>3189</v>
      </c>
      <c r="K493" s="3267" t="s">
        <v>6632</v>
      </c>
      <c r="L493" s="3267">
        <v>76.5</v>
      </c>
      <c r="M493" s="3267">
        <v>1</v>
      </c>
      <c r="N493" s="3267" t="s">
        <v>3122</v>
      </c>
      <c r="O493" s="3267"/>
      <c r="P493" s="3267" t="s">
        <v>2963</v>
      </c>
      <c r="Q493" s="3271">
        <v>450000</v>
      </c>
      <c r="R493" s="3267">
        <v>5882</v>
      </c>
      <c r="S493" s="3272">
        <v>43.81</v>
      </c>
      <c r="T493" s="3273">
        <v>438100</v>
      </c>
      <c r="U493" s="3267">
        <v>5728</v>
      </c>
      <c r="V493" s="3289">
        <v>0.2</v>
      </c>
      <c r="W493" s="3272">
        <v>35.04</v>
      </c>
      <c r="X493" s="3275">
        <v>350400</v>
      </c>
      <c r="Y493" s="3276">
        <v>2006</v>
      </c>
      <c r="Z493" s="3276">
        <v>5</v>
      </c>
      <c r="AA493" s="3276">
        <v>31</v>
      </c>
      <c r="AB493" s="3267">
        <v>1310</v>
      </c>
      <c r="AC493" s="3267" t="s">
        <v>2980</v>
      </c>
      <c r="AD493" s="3267"/>
      <c r="AE493" s="3276" t="s">
        <v>3304</v>
      </c>
      <c r="AF493" s="3267" t="s">
        <v>2966</v>
      </c>
      <c r="AG493" s="3279" t="s">
        <v>2967</v>
      </c>
      <c r="AH493" s="3267"/>
      <c r="AI493" s="3267" t="s">
        <v>2992</v>
      </c>
      <c r="AJ493" s="3284"/>
      <c r="AK493" s="3316" t="s">
        <v>3099</v>
      </c>
      <c r="AL493" s="3267">
        <v>67641700</v>
      </c>
      <c r="AM493" s="3276"/>
      <c r="AN493" s="3276" t="s">
        <v>2994</v>
      </c>
      <c r="AO493" s="3276"/>
      <c r="AP493" s="3276" t="s">
        <v>3305</v>
      </c>
      <c r="AQ493" s="3267" t="s">
        <v>3228</v>
      </c>
      <c r="AR493" s="3276"/>
      <c r="AS493" s="3276"/>
      <c r="AT493" s="3276"/>
      <c r="AU493" s="3276"/>
      <c r="AV493" s="3276"/>
      <c r="AW493" s="3276" t="s">
        <v>2997</v>
      </c>
      <c r="AX493" s="3276"/>
      <c r="AY493" s="3291"/>
      <c r="AZ493" s="3276" t="s">
        <v>6632</v>
      </c>
      <c r="BA493" s="3276"/>
      <c r="BB493" s="3291"/>
      <c r="BC493" s="3276"/>
      <c r="BD493" s="3292"/>
      <c r="BE493" s="3276"/>
      <c r="BF493" s="3281"/>
      <c r="BG493" s="3299">
        <v>38848</v>
      </c>
      <c r="BH493" s="3276"/>
      <c r="BI493" s="3276" t="s">
        <v>4230</v>
      </c>
      <c r="BJ493" s="3283">
        <v>38852</v>
      </c>
      <c r="BK493" s="3283"/>
      <c r="BL493" s="3267" t="s">
        <v>2998</v>
      </c>
      <c r="BM493" s="3276" t="s">
        <v>2879</v>
      </c>
      <c r="BN493" s="3276" t="s">
        <v>3111</v>
      </c>
      <c r="BO493" s="3276" t="s">
        <v>6261</v>
      </c>
      <c r="BP493" s="3276"/>
      <c r="BQ493" s="3276" t="e">
        <v>#DIV/0!</v>
      </c>
      <c r="BR493" s="3276" t="e">
        <v>#DIV/0!</v>
      </c>
      <c r="BS493" s="3285"/>
      <c r="BT493" s="3285"/>
      <c r="BU493" s="3285"/>
    </row>
    <row r="494" spans="1:73" hidden="1">
      <c r="A494" s="3267" t="s">
        <v>6633</v>
      </c>
      <c r="B494" s="3267" t="s">
        <v>6634</v>
      </c>
      <c r="C494" s="3269" t="s">
        <v>6635</v>
      </c>
      <c r="D494" s="3269">
        <v>13910978761</v>
      </c>
      <c r="E494" s="3268" t="s">
        <v>2985</v>
      </c>
      <c r="F494" s="3268" t="s">
        <v>6636</v>
      </c>
      <c r="G494" s="3267"/>
      <c r="H494" s="3267" t="s">
        <v>3366</v>
      </c>
      <c r="I494" s="3268" t="s">
        <v>4347</v>
      </c>
      <c r="J494" s="3267" t="s">
        <v>3380</v>
      </c>
      <c r="K494" s="3267" t="s">
        <v>6637</v>
      </c>
      <c r="L494" s="3267">
        <v>92.51</v>
      </c>
      <c r="M494" s="3267">
        <v>3</v>
      </c>
      <c r="N494" s="3267" t="s">
        <v>3098</v>
      </c>
      <c r="O494" s="3267">
        <v>92.51</v>
      </c>
      <c r="P494" s="3267" t="s">
        <v>2963</v>
      </c>
      <c r="Q494" s="3271">
        <v>600000</v>
      </c>
      <c r="R494" s="3267">
        <v>6486</v>
      </c>
      <c r="S494" s="3272">
        <v>50.88</v>
      </c>
      <c r="T494" s="3273">
        <v>508800</v>
      </c>
      <c r="U494" s="3267">
        <v>5500</v>
      </c>
      <c r="V494" s="3289">
        <v>0.2</v>
      </c>
      <c r="W494" s="3272">
        <v>40.700000000000003</v>
      </c>
      <c r="X494" s="3275">
        <v>407000</v>
      </c>
      <c r="Y494" s="3276">
        <v>2006</v>
      </c>
      <c r="Z494" s="3276">
        <v>6</v>
      </c>
      <c r="AA494" s="3276">
        <v>7</v>
      </c>
      <c r="AB494" s="3267">
        <v>1500</v>
      </c>
      <c r="AC494" s="3267" t="s">
        <v>2980</v>
      </c>
      <c r="AD494" s="3267"/>
      <c r="AE494" s="3314" t="s">
        <v>3245</v>
      </c>
      <c r="AF494" s="3268" t="s">
        <v>2966</v>
      </c>
      <c r="AG494" s="3279" t="s">
        <v>2967</v>
      </c>
      <c r="AH494" s="3267"/>
      <c r="AI494" s="3279" t="s">
        <v>2992</v>
      </c>
      <c r="AJ494" s="3284"/>
      <c r="AK494" s="3278">
        <v>6</v>
      </c>
      <c r="AL494" s="3276">
        <v>67641700</v>
      </c>
      <c r="AM494" s="3276"/>
      <c r="AN494" s="3279" t="s">
        <v>3140</v>
      </c>
      <c r="AO494" s="3267" t="s">
        <v>2968</v>
      </c>
      <c r="AP494" s="3279" t="s">
        <v>3305</v>
      </c>
      <c r="AQ494" s="3267" t="s">
        <v>3228</v>
      </c>
      <c r="AR494" s="3276"/>
      <c r="AS494" s="3276"/>
      <c r="AT494" s="3276"/>
      <c r="AU494" s="3276"/>
      <c r="AV494" s="3276"/>
      <c r="AW494" s="3276" t="s">
        <v>2997</v>
      </c>
      <c r="AX494" s="3276"/>
      <c r="AY494" s="3291"/>
      <c r="AZ494" s="3267" t="s">
        <v>6637</v>
      </c>
      <c r="BA494" s="3296"/>
      <c r="BB494" s="3297"/>
      <c r="BC494" s="3296"/>
      <c r="BD494" s="3298"/>
      <c r="BE494" s="3276" t="s">
        <v>6638</v>
      </c>
      <c r="BF494" s="3281"/>
      <c r="BG494" s="3293">
        <v>38830</v>
      </c>
      <c r="BH494" s="3267" t="s">
        <v>2998</v>
      </c>
      <c r="BI494" s="3314" t="s">
        <v>3305</v>
      </c>
      <c r="BJ494" s="3283">
        <v>38848</v>
      </c>
      <c r="BK494" s="3283"/>
      <c r="BL494" s="3267" t="s">
        <v>3249</v>
      </c>
      <c r="BM494" s="3276" t="s">
        <v>2879</v>
      </c>
      <c r="BN494" s="3276" t="s">
        <v>2999</v>
      </c>
      <c r="BO494" s="3276" t="s">
        <v>3146</v>
      </c>
      <c r="BP494" s="3276"/>
      <c r="BQ494" s="3276">
        <v>5500</v>
      </c>
      <c r="BR494" s="3276">
        <v>6486</v>
      </c>
      <c r="BS494" s="3285"/>
      <c r="BT494" s="3285"/>
      <c r="BU494" s="3285"/>
    </row>
    <row r="495" spans="1:73">
      <c r="A495" s="3267" t="s">
        <v>6639</v>
      </c>
      <c r="B495" s="3267" t="s">
        <v>6640</v>
      </c>
      <c r="C495" s="3269" t="s">
        <v>6641</v>
      </c>
      <c r="D495" s="3269" t="s">
        <v>6642</v>
      </c>
      <c r="E495" s="3268" t="s">
        <v>2985</v>
      </c>
      <c r="F495" s="3268" t="s">
        <v>3620</v>
      </c>
      <c r="G495" s="3267"/>
      <c r="H495" s="3268" t="s">
        <v>3225</v>
      </c>
      <c r="I495" s="3268" t="s">
        <v>3318</v>
      </c>
      <c r="J495" s="3267" t="s">
        <v>3165</v>
      </c>
      <c r="K495" s="3267" t="s">
        <v>6643</v>
      </c>
      <c r="L495" s="3267">
        <v>72.14</v>
      </c>
      <c r="M495" s="3267">
        <v>6</v>
      </c>
      <c r="N495" s="3267" t="s">
        <v>3122</v>
      </c>
      <c r="O495" s="3267"/>
      <c r="P495" s="3267" t="s">
        <v>2963</v>
      </c>
      <c r="Q495" s="3271">
        <v>535000</v>
      </c>
      <c r="R495" s="3267">
        <v>7416</v>
      </c>
      <c r="S495" s="3272">
        <v>41.24</v>
      </c>
      <c r="T495" s="3273">
        <v>412400</v>
      </c>
      <c r="U495" s="3267">
        <v>5717</v>
      </c>
      <c r="V495" s="3289">
        <v>0.2</v>
      </c>
      <c r="W495" s="3272">
        <v>32.99</v>
      </c>
      <c r="X495" s="3275">
        <v>329900</v>
      </c>
      <c r="Y495" s="3276">
        <v>2006</v>
      </c>
      <c r="Z495" s="3276">
        <v>6</v>
      </c>
      <c r="AA495" s="3276">
        <v>8</v>
      </c>
      <c r="AB495" s="3267">
        <v>1235</v>
      </c>
      <c r="AC495" s="3267" t="s">
        <v>2980</v>
      </c>
      <c r="AD495" s="3267"/>
      <c r="AE495" s="3314" t="s">
        <v>3344</v>
      </c>
      <c r="AF495" s="3268" t="s">
        <v>2966</v>
      </c>
      <c r="AG495" s="3279" t="s">
        <v>2967</v>
      </c>
      <c r="AH495" s="3267"/>
      <c r="AI495" s="3279" t="s">
        <v>2992</v>
      </c>
      <c r="AJ495" s="3284"/>
      <c r="AK495" s="3278">
        <v>6</v>
      </c>
      <c r="AL495" s="3276">
        <v>67641700</v>
      </c>
      <c r="AM495" s="3276"/>
      <c r="AN495" s="3279" t="s">
        <v>3140</v>
      </c>
      <c r="AO495" s="3267" t="s">
        <v>6644</v>
      </c>
      <c r="AP495" s="3279" t="s">
        <v>3305</v>
      </c>
      <c r="AQ495" s="3267" t="s">
        <v>3228</v>
      </c>
      <c r="AR495" s="3276"/>
      <c r="AS495" s="3276"/>
      <c r="AT495" s="3276"/>
      <c r="AU495" s="3276"/>
      <c r="AV495" s="3276"/>
      <c r="AW495" s="3276" t="s">
        <v>2997</v>
      </c>
      <c r="AX495" s="3276"/>
      <c r="AY495" s="3291"/>
      <c r="AZ495" s="3267" t="s">
        <v>6643</v>
      </c>
      <c r="BA495" s="3296"/>
      <c r="BB495" s="3297"/>
      <c r="BC495" s="3296"/>
      <c r="BD495" s="3298"/>
      <c r="BE495" s="3276" t="s">
        <v>6645</v>
      </c>
      <c r="BF495" s="3281"/>
      <c r="BG495" s="3293">
        <v>38830</v>
      </c>
      <c r="BH495" s="3267" t="s">
        <v>2998</v>
      </c>
      <c r="BI495" s="3314" t="s">
        <v>3305</v>
      </c>
      <c r="BJ495" s="3283">
        <v>38860</v>
      </c>
      <c r="BK495" s="3283"/>
      <c r="BL495" s="3267" t="s">
        <v>3249</v>
      </c>
      <c r="BM495" s="3276" t="s">
        <v>2879</v>
      </c>
      <c r="BN495" s="3276" t="s">
        <v>2999</v>
      </c>
      <c r="BO495" s="3276" t="s">
        <v>3146</v>
      </c>
      <c r="BP495" s="3276"/>
      <c r="BQ495" s="3276" t="e">
        <v>#DIV/0!</v>
      </c>
      <c r="BR495" s="3276" t="e">
        <v>#DIV/0!</v>
      </c>
      <c r="BS495" s="3285"/>
      <c r="BT495" s="3285"/>
      <c r="BU495" s="3285"/>
    </row>
    <row r="496" spans="1:73" hidden="1">
      <c r="A496" s="3267" t="s">
        <v>6646</v>
      </c>
      <c r="B496" s="3267" t="s">
        <v>6647</v>
      </c>
      <c r="C496" s="3269" t="s">
        <v>6648</v>
      </c>
      <c r="D496" s="3269">
        <v>13911067602</v>
      </c>
      <c r="E496" s="3268" t="s">
        <v>2985</v>
      </c>
      <c r="F496" s="3268" t="s">
        <v>3470</v>
      </c>
      <c r="G496" s="3267"/>
      <c r="H496" s="3268" t="s">
        <v>3263</v>
      </c>
      <c r="I496" s="3268"/>
      <c r="J496" s="3267" t="s">
        <v>3958</v>
      </c>
      <c r="K496" s="3267" t="s">
        <v>6647</v>
      </c>
      <c r="L496" s="3267">
        <v>86.48</v>
      </c>
      <c r="M496" s="3267">
        <v>1</v>
      </c>
      <c r="N496" s="3267" t="s">
        <v>3122</v>
      </c>
      <c r="O496" s="3267">
        <v>69.3</v>
      </c>
      <c r="P496" s="3267" t="s">
        <v>2963</v>
      </c>
      <c r="Q496" s="3271">
        <v>550000</v>
      </c>
      <c r="R496" s="3267">
        <v>6360</v>
      </c>
      <c r="S496" s="3272">
        <v>47.8</v>
      </c>
      <c r="T496" s="3273">
        <v>478000</v>
      </c>
      <c r="U496" s="3267">
        <v>5528</v>
      </c>
      <c r="V496" s="3289">
        <v>0.2</v>
      </c>
      <c r="W496" s="3272">
        <v>38.24</v>
      </c>
      <c r="X496" s="3275">
        <v>382400</v>
      </c>
      <c r="Y496" s="3276">
        <v>2006</v>
      </c>
      <c r="Z496" s="3276">
        <v>5</v>
      </c>
      <c r="AA496" s="3276">
        <v>16</v>
      </c>
      <c r="AB496" s="3267">
        <v>1430</v>
      </c>
      <c r="AC496" s="3267" t="s">
        <v>2980</v>
      </c>
      <c r="AD496" s="3267"/>
      <c r="AE496" s="3279" t="s">
        <v>3180</v>
      </c>
      <c r="AF496" s="3268" t="s">
        <v>2966</v>
      </c>
      <c r="AG496" s="3279" t="s">
        <v>2967</v>
      </c>
      <c r="AH496" s="3267"/>
      <c r="AI496" s="3279" t="s">
        <v>2992</v>
      </c>
      <c r="AJ496" s="3284"/>
      <c r="AK496" s="3278">
        <v>5</v>
      </c>
      <c r="AL496" s="3276">
        <v>67641700</v>
      </c>
      <c r="AM496" s="3276"/>
      <c r="AN496" s="3279" t="s">
        <v>3140</v>
      </c>
      <c r="AO496" s="3267"/>
      <c r="AP496" s="3279" t="s">
        <v>3305</v>
      </c>
      <c r="AQ496" s="3276" t="s">
        <v>3113</v>
      </c>
      <c r="AR496" s="3276"/>
      <c r="AS496" s="3276"/>
      <c r="AT496" s="3276"/>
      <c r="AU496" s="3276"/>
      <c r="AV496" s="3276"/>
      <c r="AW496" s="3276" t="s">
        <v>2997</v>
      </c>
      <c r="AX496" s="3276"/>
      <c r="AY496" s="3291"/>
      <c r="AZ496" s="3267" t="s">
        <v>6649</v>
      </c>
      <c r="BA496" s="3296"/>
      <c r="BB496" s="3297"/>
      <c r="BC496" s="3296"/>
      <c r="BD496" s="3298"/>
      <c r="BE496" s="3276"/>
      <c r="BF496" s="3281"/>
      <c r="BG496" s="3293">
        <v>38721</v>
      </c>
      <c r="BH496" s="3267" t="s">
        <v>2998</v>
      </c>
      <c r="BI496" s="3314" t="s">
        <v>3305</v>
      </c>
      <c r="BJ496" s="3283">
        <v>38849</v>
      </c>
      <c r="BK496" s="3283"/>
      <c r="BL496" s="3267" t="s">
        <v>3249</v>
      </c>
      <c r="BM496" s="3276" t="s">
        <v>3345</v>
      </c>
      <c r="BN496" s="3276" t="s">
        <v>3111</v>
      </c>
      <c r="BO496" s="3276" t="s">
        <v>3146</v>
      </c>
      <c r="BP496" s="3276"/>
      <c r="BQ496" s="3276">
        <v>6898</v>
      </c>
      <c r="BR496" s="3276">
        <v>7937</v>
      </c>
      <c r="BS496" s="3285"/>
      <c r="BT496" s="3285"/>
      <c r="BU496" s="3285"/>
    </row>
    <row r="497" spans="1:73">
      <c r="A497" s="3267" t="s">
        <v>6650</v>
      </c>
      <c r="B497" s="3267" t="s">
        <v>6651</v>
      </c>
      <c r="C497" s="3269" t="s">
        <v>6652</v>
      </c>
      <c r="D497" s="3269" t="s">
        <v>6653</v>
      </c>
      <c r="E497" s="3268" t="s">
        <v>2985</v>
      </c>
      <c r="F497" s="3268" t="s">
        <v>6654</v>
      </c>
      <c r="G497" s="3267"/>
      <c r="H497" s="3267" t="s">
        <v>3225</v>
      </c>
      <c r="I497" s="3268" t="s">
        <v>3264</v>
      </c>
      <c r="J497" s="3267" t="s">
        <v>3958</v>
      </c>
      <c r="K497" s="3267" t="s">
        <v>6655</v>
      </c>
      <c r="L497" s="3267">
        <v>36.119999999999997</v>
      </c>
      <c r="M497" s="3267" t="s">
        <v>6618</v>
      </c>
      <c r="N497" s="3267" t="s">
        <v>3152</v>
      </c>
      <c r="O497" s="3267"/>
      <c r="P497" s="3267" t="s">
        <v>2963</v>
      </c>
      <c r="Q497" s="3271">
        <v>285000</v>
      </c>
      <c r="R497" s="3288">
        <v>7890</v>
      </c>
      <c r="S497" s="3272">
        <v>24.26</v>
      </c>
      <c r="T497" s="3273">
        <v>242600</v>
      </c>
      <c r="U497" s="3267">
        <v>6719</v>
      </c>
      <c r="V497" s="3289">
        <v>0.2</v>
      </c>
      <c r="W497" s="3272">
        <v>19.399999999999999</v>
      </c>
      <c r="X497" s="3275">
        <v>194000</v>
      </c>
      <c r="Y497" s="3276">
        <v>2006</v>
      </c>
      <c r="Z497" s="3276">
        <v>6</v>
      </c>
      <c r="AA497" s="3276">
        <v>7</v>
      </c>
      <c r="AB497" s="3267">
        <v>725</v>
      </c>
      <c r="AC497" s="3267" t="s">
        <v>2980</v>
      </c>
      <c r="AD497" s="3267"/>
      <c r="AE497" s="3279" t="s">
        <v>3295</v>
      </c>
      <c r="AF497" s="3268" t="s">
        <v>2966</v>
      </c>
      <c r="AG497" s="3279" t="s">
        <v>2967</v>
      </c>
      <c r="AH497" s="3267"/>
      <c r="AI497" s="3279" t="s">
        <v>2992</v>
      </c>
      <c r="AJ497" s="3284"/>
      <c r="AK497" s="3278">
        <v>6</v>
      </c>
      <c r="AL497" s="3276">
        <v>67641700</v>
      </c>
      <c r="AM497" s="3276"/>
      <c r="AN497" s="3279" t="s">
        <v>3140</v>
      </c>
      <c r="AO497" s="3267"/>
      <c r="AP497" s="3279" t="s">
        <v>3305</v>
      </c>
      <c r="AQ497" s="3267" t="s">
        <v>3228</v>
      </c>
      <c r="AR497" s="3276"/>
      <c r="AS497" s="3276"/>
      <c r="AT497" s="3276"/>
      <c r="AU497" s="3276"/>
      <c r="AV497" s="3276"/>
      <c r="AW497" s="3276" t="s">
        <v>3171</v>
      </c>
      <c r="AX497" s="3276"/>
      <c r="AY497" s="3291"/>
      <c r="AZ497" s="3267" t="s">
        <v>6655</v>
      </c>
      <c r="BA497" s="3296"/>
      <c r="BB497" s="3297"/>
      <c r="BC497" s="3296"/>
      <c r="BD497" s="3298"/>
      <c r="BE497" s="3276" t="s">
        <v>6656</v>
      </c>
      <c r="BF497" s="3281"/>
      <c r="BG497" s="3293">
        <v>38820</v>
      </c>
      <c r="BH497" s="3276" t="s">
        <v>2998</v>
      </c>
      <c r="BI497" s="3314" t="s">
        <v>3305</v>
      </c>
      <c r="BJ497" s="3283">
        <v>38849</v>
      </c>
      <c r="BK497" s="3283"/>
      <c r="BL497" s="3267" t="s">
        <v>3249</v>
      </c>
      <c r="BM497" s="3276" t="s">
        <v>2879</v>
      </c>
      <c r="BN497" s="3276" t="s">
        <v>2999</v>
      </c>
      <c r="BO497" s="3276" t="s">
        <v>3000</v>
      </c>
      <c r="BP497" s="3276"/>
      <c r="BQ497" s="3276" t="e">
        <v>#DIV/0!</v>
      </c>
      <c r="BR497" s="3276" t="e">
        <v>#DIV/0!</v>
      </c>
      <c r="BS497" s="3285"/>
      <c r="BT497" s="3285"/>
      <c r="BU497" s="3285"/>
    </row>
    <row r="498" spans="1:73" hidden="1">
      <c r="A498" s="3267" t="s">
        <v>6657</v>
      </c>
      <c r="B498" s="3267" t="s">
        <v>6658</v>
      </c>
      <c r="C498" s="3269" t="s">
        <v>6659</v>
      </c>
      <c r="D498" s="3269" t="s">
        <v>6660</v>
      </c>
      <c r="E498" s="3268" t="s">
        <v>2985</v>
      </c>
      <c r="F498" s="3268" t="s">
        <v>3733</v>
      </c>
      <c r="G498" s="3267"/>
      <c r="H498" s="3268" t="s">
        <v>3668</v>
      </c>
      <c r="I498" s="3268"/>
      <c r="J498" s="3267" t="s">
        <v>6661</v>
      </c>
      <c r="K498" s="3267" t="s">
        <v>6662</v>
      </c>
      <c r="L498" s="3267">
        <v>55.48</v>
      </c>
      <c r="M498" s="3267">
        <v>2</v>
      </c>
      <c r="N498" s="3267" t="s">
        <v>3122</v>
      </c>
      <c r="O498" s="3267"/>
      <c r="P498" s="3267" t="s">
        <v>2963</v>
      </c>
      <c r="Q498" s="3271">
        <v>380000</v>
      </c>
      <c r="R498" s="3267">
        <v>6849</v>
      </c>
      <c r="S498" s="3272">
        <v>31.06</v>
      </c>
      <c r="T498" s="3273">
        <v>310600</v>
      </c>
      <c r="U498" s="3267">
        <v>5600</v>
      </c>
      <c r="V498" s="3289">
        <v>0.2</v>
      </c>
      <c r="W498" s="3272">
        <v>24.84</v>
      </c>
      <c r="X498" s="3275">
        <v>248400</v>
      </c>
      <c r="Y498" s="3276">
        <v>2006</v>
      </c>
      <c r="Z498" s="3276">
        <v>5</v>
      </c>
      <c r="AA498" s="3276">
        <v>17</v>
      </c>
      <c r="AB498" s="3267">
        <v>930</v>
      </c>
      <c r="AC498" s="3267" t="s">
        <v>2980</v>
      </c>
      <c r="AD498" s="3267"/>
      <c r="AE498" s="3314" t="s">
        <v>3245</v>
      </c>
      <c r="AF498" s="3268" t="s">
        <v>2966</v>
      </c>
      <c r="AG498" s="3279" t="s">
        <v>2967</v>
      </c>
      <c r="AH498" s="3267"/>
      <c r="AI498" s="3279" t="s">
        <v>2992</v>
      </c>
      <c r="AJ498" s="3284"/>
      <c r="AK498" s="3278">
        <v>5</v>
      </c>
      <c r="AL498" s="3276">
        <v>67641700</v>
      </c>
      <c r="AM498" s="3276"/>
      <c r="AN498" s="3279" t="s">
        <v>3140</v>
      </c>
      <c r="AO498" s="3267" t="s">
        <v>2968</v>
      </c>
      <c r="AP498" s="3279" t="s">
        <v>3305</v>
      </c>
      <c r="AQ498" s="3276" t="s">
        <v>2996</v>
      </c>
      <c r="AR498" s="3276"/>
      <c r="AS498" s="3276"/>
      <c r="AT498" s="3276"/>
      <c r="AU498" s="3276"/>
      <c r="AV498" s="3276"/>
      <c r="AW498" s="3276" t="s">
        <v>2997</v>
      </c>
      <c r="AX498" s="3276"/>
      <c r="AY498" s="3291"/>
      <c r="AZ498" s="3267" t="s">
        <v>6662</v>
      </c>
      <c r="BA498" s="3296"/>
      <c r="BB498" s="3297"/>
      <c r="BC498" s="3296"/>
      <c r="BD498" s="3298"/>
      <c r="BE498" s="3276"/>
      <c r="BF498" s="3281"/>
      <c r="BG498" s="3293">
        <v>38845</v>
      </c>
      <c r="BH498" s="3267" t="s">
        <v>2998</v>
      </c>
      <c r="BI498" s="3314" t="s">
        <v>3305</v>
      </c>
      <c r="BJ498" s="3283">
        <v>38849</v>
      </c>
      <c r="BK498" s="3283"/>
      <c r="BL498" s="3267" t="s">
        <v>3249</v>
      </c>
      <c r="BM498" s="3276" t="s">
        <v>2879</v>
      </c>
      <c r="BN498" s="3276" t="s">
        <v>2999</v>
      </c>
      <c r="BO498" s="3276" t="s">
        <v>3146</v>
      </c>
      <c r="BP498" s="3276"/>
      <c r="BQ498" s="3276" t="e">
        <v>#DIV/0!</v>
      </c>
      <c r="BR498" s="3276" t="e">
        <v>#DIV/0!</v>
      </c>
      <c r="BS498" s="3285"/>
      <c r="BT498" s="3285"/>
      <c r="BU498" s="3285"/>
    </row>
    <row r="499" spans="1:73" hidden="1">
      <c r="A499" s="3267" t="s">
        <v>6663</v>
      </c>
      <c r="B499" s="3267" t="s">
        <v>6664</v>
      </c>
      <c r="C499" s="3269" t="s">
        <v>6665</v>
      </c>
      <c r="D499" s="3269">
        <v>13911397160</v>
      </c>
      <c r="E499" s="3268" t="s">
        <v>2985</v>
      </c>
      <c r="F499" s="3268" t="s">
        <v>5896</v>
      </c>
      <c r="G499" s="3267"/>
      <c r="H499" s="3267" t="s">
        <v>3194</v>
      </c>
      <c r="I499" s="3268"/>
      <c r="J499" s="3267" t="s">
        <v>6666</v>
      </c>
      <c r="K499" s="3267" t="s">
        <v>6667</v>
      </c>
      <c r="L499" s="3267">
        <v>77.66</v>
      </c>
      <c r="M499" s="3267">
        <v>14</v>
      </c>
      <c r="N499" s="3267" t="s">
        <v>3125</v>
      </c>
      <c r="O499" s="3267"/>
      <c r="P499" s="3267" t="s">
        <v>2963</v>
      </c>
      <c r="Q499" s="3271">
        <v>670000</v>
      </c>
      <c r="R499" s="3267">
        <v>8627</v>
      </c>
      <c r="S499" s="3272">
        <v>51.22</v>
      </c>
      <c r="T499" s="3273">
        <v>512200</v>
      </c>
      <c r="U499" s="3267">
        <v>6596</v>
      </c>
      <c r="V499" s="3289">
        <v>0.2</v>
      </c>
      <c r="W499" s="3272">
        <v>40.97</v>
      </c>
      <c r="X499" s="3275">
        <v>409700</v>
      </c>
      <c r="Y499" s="3276">
        <v>2006</v>
      </c>
      <c r="Z499" s="3276">
        <v>5</v>
      </c>
      <c r="AA499" s="3276">
        <v>24</v>
      </c>
      <c r="AB499" s="3267">
        <v>1500</v>
      </c>
      <c r="AC499" s="3267" t="s">
        <v>2980</v>
      </c>
      <c r="AD499" s="3267"/>
      <c r="AE499" s="3314" t="s">
        <v>3344</v>
      </c>
      <c r="AF499" s="3268" t="s">
        <v>2966</v>
      </c>
      <c r="AG499" s="3279" t="s">
        <v>2967</v>
      </c>
      <c r="AH499" s="3267"/>
      <c r="AI499" s="3279" t="s">
        <v>2992</v>
      </c>
      <c r="AJ499" s="3284"/>
      <c r="AK499" s="3278">
        <v>5</v>
      </c>
      <c r="AL499" s="3276">
        <v>67641700</v>
      </c>
      <c r="AM499" s="3276"/>
      <c r="AN499" s="3279" t="s">
        <v>3114</v>
      </c>
      <c r="AO499" s="3267" t="s">
        <v>2968</v>
      </c>
      <c r="AP499" s="3279" t="s">
        <v>3305</v>
      </c>
      <c r="AQ499" s="3267" t="s">
        <v>3228</v>
      </c>
      <c r="AR499" s="3276"/>
      <c r="AS499" s="3276"/>
      <c r="AT499" s="3276"/>
      <c r="AU499" s="3276"/>
      <c r="AV499" s="3276"/>
      <c r="AW499" s="3276" t="s">
        <v>2997</v>
      </c>
      <c r="AX499" s="3276"/>
      <c r="AY499" s="3291"/>
      <c r="AZ499" s="3267" t="s">
        <v>6668</v>
      </c>
      <c r="BA499" s="3296"/>
      <c r="BB499" s="3297"/>
      <c r="BC499" s="3296"/>
      <c r="BD499" s="3298"/>
      <c r="BE499" s="3276" t="s">
        <v>6669</v>
      </c>
      <c r="BF499" s="3281"/>
      <c r="BG499" s="3293">
        <v>38832</v>
      </c>
      <c r="BH499" s="3267" t="s">
        <v>2998</v>
      </c>
      <c r="BI499" s="3314" t="s">
        <v>3305</v>
      </c>
      <c r="BJ499" s="3283">
        <v>38849</v>
      </c>
      <c r="BK499" s="3283"/>
      <c r="BL499" s="3267" t="s">
        <v>3249</v>
      </c>
      <c r="BM499" s="3276" t="s">
        <v>2879</v>
      </c>
      <c r="BN499" s="3276" t="s">
        <v>2999</v>
      </c>
      <c r="BO499" s="3276" t="s">
        <v>3146</v>
      </c>
      <c r="BP499" s="3276"/>
      <c r="BQ499" s="3276" t="e">
        <v>#DIV/0!</v>
      </c>
      <c r="BR499" s="3276" t="e">
        <v>#DIV/0!</v>
      </c>
      <c r="BS499" s="3285"/>
      <c r="BT499" s="3285"/>
      <c r="BU499" s="3285"/>
    </row>
    <row r="500" spans="1:73" hidden="1">
      <c r="A500" s="3267" t="s">
        <v>6670</v>
      </c>
      <c r="B500" s="3267" t="s">
        <v>6671</v>
      </c>
      <c r="C500" s="3269" t="s">
        <v>6672</v>
      </c>
      <c r="D500" s="3269">
        <v>13466537273</v>
      </c>
      <c r="E500" s="3268" t="s">
        <v>2985</v>
      </c>
      <c r="F500" s="3268" t="s">
        <v>3777</v>
      </c>
      <c r="G500" s="3267"/>
      <c r="H500" s="3268" t="s">
        <v>3130</v>
      </c>
      <c r="I500" s="3268"/>
      <c r="J500" s="3267" t="s">
        <v>4317</v>
      </c>
      <c r="K500" s="3267" t="s">
        <v>6673</v>
      </c>
      <c r="L500" s="3267">
        <v>58.08</v>
      </c>
      <c r="M500" s="3267">
        <v>10</v>
      </c>
      <c r="N500" s="3267" t="s">
        <v>3122</v>
      </c>
      <c r="O500" s="3267"/>
      <c r="P500" s="3267" t="s">
        <v>2963</v>
      </c>
      <c r="Q500" s="3271">
        <v>400000</v>
      </c>
      <c r="R500" s="3267">
        <v>6887</v>
      </c>
      <c r="S500" s="3272">
        <v>32.81</v>
      </c>
      <c r="T500" s="3273">
        <v>328100</v>
      </c>
      <c r="U500" s="3267">
        <v>5650</v>
      </c>
      <c r="V500" s="3289">
        <v>0.2</v>
      </c>
      <c r="W500" s="3272">
        <v>26.24</v>
      </c>
      <c r="X500" s="3275">
        <v>262400</v>
      </c>
      <c r="Y500" s="3276">
        <v>2006</v>
      </c>
      <c r="Z500" s="3276">
        <v>5</v>
      </c>
      <c r="AA500" s="3276">
        <v>24</v>
      </c>
      <c r="AB500" s="3267">
        <v>980</v>
      </c>
      <c r="AC500" s="3267" t="s">
        <v>2980</v>
      </c>
      <c r="AD500" s="3267"/>
      <c r="AE500" s="3314" t="s">
        <v>3245</v>
      </c>
      <c r="AF500" s="3268" t="s">
        <v>2966</v>
      </c>
      <c r="AG500" s="3279" t="s">
        <v>2967</v>
      </c>
      <c r="AH500" s="3267"/>
      <c r="AI500" s="3279" t="s">
        <v>2992</v>
      </c>
      <c r="AJ500" s="3284"/>
      <c r="AK500" s="3278">
        <v>5</v>
      </c>
      <c r="AL500" s="3276">
        <v>67641700</v>
      </c>
      <c r="AM500" s="3276"/>
      <c r="AN500" s="3279" t="s">
        <v>3114</v>
      </c>
      <c r="AO500" s="3267" t="s">
        <v>2968</v>
      </c>
      <c r="AP500" s="3279" t="s">
        <v>3305</v>
      </c>
      <c r="AQ500" s="3267" t="s">
        <v>3228</v>
      </c>
      <c r="AR500" s="3276"/>
      <c r="AS500" s="3276"/>
      <c r="AT500" s="3276"/>
      <c r="AU500" s="3276"/>
      <c r="AV500" s="3276"/>
      <c r="AW500" s="3276" t="s">
        <v>2997</v>
      </c>
      <c r="AX500" s="3276"/>
      <c r="AY500" s="3291"/>
      <c r="AZ500" s="3267" t="s">
        <v>6673</v>
      </c>
      <c r="BA500" s="3296"/>
      <c r="BB500" s="3297"/>
      <c r="BC500" s="3296"/>
      <c r="BD500" s="3298"/>
      <c r="BE500" s="3276" t="s">
        <v>6674</v>
      </c>
      <c r="BF500" s="3281"/>
      <c r="BG500" s="3293">
        <v>38846</v>
      </c>
      <c r="BH500" s="3267" t="s">
        <v>2998</v>
      </c>
      <c r="BI500" s="3314" t="s">
        <v>3305</v>
      </c>
      <c r="BJ500" s="3283">
        <v>38848</v>
      </c>
      <c r="BK500" s="3283"/>
      <c r="BL500" s="3267" t="s">
        <v>3249</v>
      </c>
      <c r="BM500" s="3276" t="s">
        <v>2879</v>
      </c>
      <c r="BN500" s="3276" t="s">
        <v>3111</v>
      </c>
      <c r="BO500" s="3276" t="s">
        <v>3146</v>
      </c>
      <c r="BP500" s="3276"/>
      <c r="BQ500" s="3276" t="e">
        <v>#DIV/0!</v>
      </c>
      <c r="BR500" s="3276" t="e">
        <v>#DIV/0!</v>
      </c>
      <c r="BS500" s="3285"/>
      <c r="BT500" s="3285"/>
      <c r="BU500" s="3285"/>
    </row>
    <row r="501" spans="1:73" hidden="1">
      <c r="A501" s="3267" t="s">
        <v>6675</v>
      </c>
      <c r="B501" s="3267" t="s">
        <v>6676</v>
      </c>
      <c r="C501" s="3269" t="s">
        <v>6677</v>
      </c>
      <c r="D501" s="3269">
        <v>13126853462</v>
      </c>
      <c r="E501" s="3268" t="s">
        <v>2985</v>
      </c>
      <c r="F501" s="3268" t="s">
        <v>4129</v>
      </c>
      <c r="G501" s="3267"/>
      <c r="H501" s="3268" t="s">
        <v>3097</v>
      </c>
      <c r="I501" s="3268" t="s">
        <v>3586</v>
      </c>
      <c r="J501" s="3267" t="s">
        <v>3151</v>
      </c>
      <c r="K501" s="3267" t="s">
        <v>6678</v>
      </c>
      <c r="L501" s="3267">
        <v>76.09</v>
      </c>
      <c r="M501" s="3267">
        <v>5</v>
      </c>
      <c r="N501" s="3267" t="s">
        <v>3122</v>
      </c>
      <c r="O501" s="3267" t="s">
        <v>2968</v>
      </c>
      <c r="P501" s="3267" t="s">
        <v>2963</v>
      </c>
      <c r="Q501" s="3271">
        <v>400000</v>
      </c>
      <c r="R501" s="3267">
        <v>5257</v>
      </c>
      <c r="S501" s="3272">
        <v>35.01</v>
      </c>
      <c r="T501" s="3273">
        <v>350100</v>
      </c>
      <c r="U501" s="3267">
        <v>4602</v>
      </c>
      <c r="V501" s="3289">
        <v>0.2</v>
      </c>
      <c r="W501" s="3272">
        <v>28</v>
      </c>
      <c r="X501" s="3275">
        <v>280000</v>
      </c>
      <c r="Y501" s="3276">
        <v>2006</v>
      </c>
      <c r="Z501" s="3276">
        <v>5</v>
      </c>
      <c r="AA501" s="3276">
        <v>19</v>
      </c>
      <c r="AB501" s="3267">
        <v>1050</v>
      </c>
      <c r="AC501" s="3267" t="s">
        <v>2980</v>
      </c>
      <c r="AD501" s="3267"/>
      <c r="AE501" s="3279" t="s">
        <v>3180</v>
      </c>
      <c r="AF501" s="3268" t="s">
        <v>2966</v>
      </c>
      <c r="AG501" s="3279" t="s">
        <v>2967</v>
      </c>
      <c r="AH501" s="3267" t="s">
        <v>2968</v>
      </c>
      <c r="AI501" s="3279" t="s">
        <v>2992</v>
      </c>
      <c r="AJ501" s="3284"/>
      <c r="AK501" s="3278">
        <v>5</v>
      </c>
      <c r="AL501" s="3276">
        <v>67641700</v>
      </c>
      <c r="AM501" s="3276"/>
      <c r="AN501" s="3279" t="s">
        <v>3140</v>
      </c>
      <c r="AO501" s="3267"/>
      <c r="AP501" s="3279" t="s">
        <v>3305</v>
      </c>
      <c r="AQ501" s="3267" t="s">
        <v>3228</v>
      </c>
      <c r="AR501" s="3276"/>
      <c r="AS501" s="3276"/>
      <c r="AT501" s="3276"/>
      <c r="AU501" s="3276"/>
      <c r="AV501" s="3276"/>
      <c r="AW501" s="3276" t="s">
        <v>3119</v>
      </c>
      <c r="AX501" s="3276"/>
      <c r="AY501" s="3291"/>
      <c r="AZ501" s="3267" t="s">
        <v>6678</v>
      </c>
      <c r="BA501" s="3296"/>
      <c r="BB501" s="3297"/>
      <c r="BC501" s="3296"/>
      <c r="BD501" s="3298"/>
      <c r="BE501" s="3276"/>
      <c r="BF501" s="3281"/>
      <c r="BG501" s="3293">
        <v>38849</v>
      </c>
      <c r="BH501" s="3267" t="s">
        <v>2998</v>
      </c>
      <c r="BI501" s="3267" t="s">
        <v>4395</v>
      </c>
      <c r="BJ501" s="3283">
        <v>38849</v>
      </c>
      <c r="BK501" s="3283"/>
      <c r="BL501" s="3267" t="s">
        <v>3249</v>
      </c>
      <c r="BM501" s="3276" t="s">
        <v>2879</v>
      </c>
      <c r="BN501" s="3276" t="s">
        <v>2999</v>
      </c>
      <c r="BO501" s="3276" t="s">
        <v>3146</v>
      </c>
      <c r="BP501" s="3276"/>
      <c r="BQ501" s="3276" t="e">
        <v>#VALUE!</v>
      </c>
      <c r="BR501" s="3276" t="e">
        <v>#VALUE!</v>
      </c>
      <c r="BS501" s="3285"/>
      <c r="BT501" s="3285"/>
      <c r="BU501" s="3285"/>
    </row>
    <row r="502" spans="1:73" hidden="1">
      <c r="A502" s="3267" t="s">
        <v>6679</v>
      </c>
      <c r="B502" s="3267" t="s">
        <v>6680</v>
      </c>
      <c r="C502" s="3269" t="s">
        <v>6681</v>
      </c>
      <c r="D502" s="3269">
        <v>13641155143</v>
      </c>
      <c r="E502" s="3268" t="s">
        <v>2985</v>
      </c>
      <c r="F502" s="3268" t="s">
        <v>3292</v>
      </c>
      <c r="G502" s="3267"/>
      <c r="H502" s="3268" t="s">
        <v>3194</v>
      </c>
      <c r="I502" s="3268"/>
      <c r="J502" s="3267" t="s">
        <v>3771</v>
      </c>
      <c r="K502" s="3267" t="s">
        <v>6680</v>
      </c>
      <c r="L502" s="3267">
        <v>127.04</v>
      </c>
      <c r="M502" s="3267">
        <v>1</v>
      </c>
      <c r="N502" s="3267" t="s">
        <v>3303</v>
      </c>
      <c r="O502" s="3267">
        <v>107.48</v>
      </c>
      <c r="P502" s="3267" t="s">
        <v>2963</v>
      </c>
      <c r="Q502" s="3271">
        <v>520000</v>
      </c>
      <c r="R502" s="3267">
        <v>4093</v>
      </c>
      <c r="S502" s="3272">
        <v>59.88</v>
      </c>
      <c r="T502" s="3273">
        <v>598800</v>
      </c>
      <c r="U502" s="3267">
        <v>4714</v>
      </c>
      <c r="V502" s="3289">
        <v>0.2</v>
      </c>
      <c r="W502" s="3272">
        <v>47.9</v>
      </c>
      <c r="X502" s="3275">
        <v>479000</v>
      </c>
      <c r="Y502" s="3276">
        <v>2006</v>
      </c>
      <c r="Z502" s="3276">
        <v>6</v>
      </c>
      <c r="AA502" s="3276">
        <v>6</v>
      </c>
      <c r="AB502" s="3267">
        <v>1500</v>
      </c>
      <c r="AC502" s="3267" t="s">
        <v>2980</v>
      </c>
      <c r="AD502" s="3267"/>
      <c r="AE502" s="3279" t="s">
        <v>3344</v>
      </c>
      <c r="AF502" s="3268" t="s">
        <v>2966</v>
      </c>
      <c r="AG502" s="3279" t="s">
        <v>2967</v>
      </c>
      <c r="AH502" s="3267"/>
      <c r="AI502" s="3279" t="s">
        <v>2992</v>
      </c>
      <c r="AJ502" s="3284"/>
      <c r="AK502" s="3278">
        <v>6</v>
      </c>
      <c r="AL502" s="3276">
        <v>67641700</v>
      </c>
      <c r="AM502" s="3276"/>
      <c r="AN502" s="3279" t="s">
        <v>3140</v>
      </c>
      <c r="AO502" s="3267"/>
      <c r="AP502" s="3279" t="s">
        <v>3305</v>
      </c>
      <c r="AQ502" s="3267" t="s">
        <v>3228</v>
      </c>
      <c r="AR502" s="3276"/>
      <c r="AS502" s="3276"/>
      <c r="AT502" s="3276"/>
      <c r="AU502" s="3276"/>
      <c r="AV502" s="3276"/>
      <c r="AW502" s="3276" t="s">
        <v>2997</v>
      </c>
      <c r="AX502" s="3276"/>
      <c r="AY502" s="3291"/>
      <c r="AZ502" s="3267" t="s">
        <v>6682</v>
      </c>
      <c r="BA502" s="3296"/>
      <c r="BB502" s="3297"/>
      <c r="BC502" s="3296"/>
      <c r="BD502" s="3298"/>
      <c r="BE502" s="3276"/>
      <c r="BF502" s="3281"/>
      <c r="BG502" s="3293">
        <v>38838</v>
      </c>
      <c r="BH502" s="3267" t="s">
        <v>2998</v>
      </c>
      <c r="BI502" s="3314" t="s">
        <v>3305</v>
      </c>
      <c r="BJ502" s="3283">
        <v>38852</v>
      </c>
      <c r="BK502" s="3283"/>
      <c r="BL502" s="3267" t="s">
        <v>3249</v>
      </c>
      <c r="BM502" s="3276" t="s">
        <v>2879</v>
      </c>
      <c r="BN502" s="3276" t="s">
        <v>2999</v>
      </c>
      <c r="BO502" s="3276" t="s">
        <v>3146</v>
      </c>
      <c r="BP502" s="3276"/>
      <c r="BQ502" s="3276">
        <v>5571</v>
      </c>
      <c r="BR502" s="3276">
        <v>4838</v>
      </c>
      <c r="BS502" s="3285"/>
      <c r="BT502" s="3285"/>
      <c r="BU502" s="3285"/>
    </row>
    <row r="503" spans="1:73" hidden="1">
      <c r="A503" s="3267" t="s">
        <v>6683</v>
      </c>
      <c r="B503" s="3267" t="s">
        <v>6684</v>
      </c>
      <c r="C503" s="3269" t="s">
        <v>6685</v>
      </c>
      <c r="D503" s="3269" t="s">
        <v>6686</v>
      </c>
      <c r="E503" s="3268" t="s">
        <v>2985</v>
      </c>
      <c r="F503" s="3268" t="s">
        <v>4105</v>
      </c>
      <c r="G503" s="3267"/>
      <c r="H503" s="3267" t="s">
        <v>3263</v>
      </c>
      <c r="I503" s="3268" t="s">
        <v>3318</v>
      </c>
      <c r="J503" s="3267" t="s">
        <v>3165</v>
      </c>
      <c r="K503" s="3267" t="s">
        <v>6684</v>
      </c>
      <c r="L503" s="3267">
        <v>73.61</v>
      </c>
      <c r="M503" s="3267" t="s">
        <v>3282</v>
      </c>
      <c r="N503" s="3267" t="s">
        <v>3125</v>
      </c>
      <c r="O503" s="3267"/>
      <c r="P503" s="3267" t="s">
        <v>2963</v>
      </c>
      <c r="Q503" s="3271">
        <v>500000</v>
      </c>
      <c r="R503" s="3288">
        <v>6793</v>
      </c>
      <c r="S503" s="3272">
        <v>49.73</v>
      </c>
      <c r="T503" s="3273">
        <v>497299.99999999994</v>
      </c>
      <c r="U503" s="3267">
        <v>6757</v>
      </c>
      <c r="V503" s="3289">
        <v>0.2</v>
      </c>
      <c r="W503" s="3272">
        <v>39.78</v>
      </c>
      <c r="X503" s="3275">
        <v>397800</v>
      </c>
      <c r="Y503" s="3276">
        <v>2006</v>
      </c>
      <c r="Z503" s="3276">
        <v>5</v>
      </c>
      <c r="AA503" s="3276">
        <v>16</v>
      </c>
      <c r="AB503" s="3267">
        <v>1490</v>
      </c>
      <c r="AC503" s="3267" t="s">
        <v>2980</v>
      </c>
      <c r="AD503" s="3267"/>
      <c r="AE503" s="3279" t="s">
        <v>3295</v>
      </c>
      <c r="AF503" s="3268" t="s">
        <v>2966</v>
      </c>
      <c r="AG503" s="3279" t="s">
        <v>2967</v>
      </c>
      <c r="AH503" s="3267"/>
      <c r="AI503" s="3279" t="s">
        <v>2992</v>
      </c>
      <c r="AJ503" s="3284"/>
      <c r="AK503" s="3278">
        <v>5</v>
      </c>
      <c r="AL503" s="3276">
        <v>67641700</v>
      </c>
      <c r="AM503" s="3276"/>
      <c r="AN503" s="3279" t="s">
        <v>3140</v>
      </c>
      <c r="AO503" s="3267"/>
      <c r="AP503" s="3279" t="s">
        <v>3305</v>
      </c>
      <c r="AQ503" s="3276" t="s">
        <v>3113</v>
      </c>
      <c r="AR503" s="3276"/>
      <c r="AS503" s="3276"/>
      <c r="AT503" s="3276"/>
      <c r="AU503" s="3276"/>
      <c r="AV503" s="3276"/>
      <c r="AW503" s="3276" t="s">
        <v>3171</v>
      </c>
      <c r="AX503" s="3276"/>
      <c r="AY503" s="3291"/>
      <c r="AZ503" s="3267" t="s">
        <v>6687</v>
      </c>
      <c r="BA503" s="3296"/>
      <c r="BB503" s="3297"/>
      <c r="BC503" s="3296"/>
      <c r="BD503" s="3298"/>
      <c r="BE503" s="3276">
        <v>13371622632</v>
      </c>
      <c r="BF503" s="3281"/>
      <c r="BG503" s="3293">
        <v>38832</v>
      </c>
      <c r="BH503" s="3276" t="s">
        <v>2998</v>
      </c>
      <c r="BI503" s="3314" t="s">
        <v>3305</v>
      </c>
      <c r="BJ503" s="3283">
        <v>38852</v>
      </c>
      <c r="BK503" s="3283"/>
      <c r="BL503" s="3267" t="s">
        <v>3249</v>
      </c>
      <c r="BM503" s="3276" t="s">
        <v>2879</v>
      </c>
      <c r="BN503" s="3276" t="s">
        <v>2999</v>
      </c>
      <c r="BO503" s="3276" t="s">
        <v>3000</v>
      </c>
      <c r="BP503" s="3276"/>
      <c r="BQ503" s="3276" t="e">
        <v>#DIV/0!</v>
      </c>
      <c r="BR503" s="3276" t="e">
        <v>#DIV/0!</v>
      </c>
      <c r="BS503" s="3285"/>
      <c r="BT503" s="3285"/>
      <c r="BU503" s="3285"/>
    </row>
    <row r="504" spans="1:73" hidden="1">
      <c r="A504" s="3267" t="s">
        <v>6688</v>
      </c>
      <c r="B504" s="3267" t="s">
        <v>6689</v>
      </c>
      <c r="C504" s="3269" t="s">
        <v>6690</v>
      </c>
      <c r="D504" s="3268">
        <v>13801290759</v>
      </c>
      <c r="E504" s="3267" t="s">
        <v>2985</v>
      </c>
      <c r="F504" s="3267" t="s">
        <v>6691</v>
      </c>
      <c r="G504" s="3267"/>
      <c r="H504" s="3267" t="s">
        <v>3139</v>
      </c>
      <c r="I504" s="3267" t="s">
        <v>3190</v>
      </c>
      <c r="J504" s="3267" t="s">
        <v>2987</v>
      </c>
      <c r="K504" s="3267" t="s">
        <v>6689</v>
      </c>
      <c r="L504" s="3267">
        <v>57.95</v>
      </c>
      <c r="M504" s="3267">
        <v>3</v>
      </c>
      <c r="N504" s="3267" t="s">
        <v>3122</v>
      </c>
      <c r="O504" s="3267"/>
      <c r="P504" s="3267" t="s">
        <v>2963</v>
      </c>
      <c r="Q504" s="3367">
        <v>335000</v>
      </c>
      <c r="R504" s="3267">
        <v>5781</v>
      </c>
      <c r="S504" s="3318">
        <v>32.71</v>
      </c>
      <c r="T504" s="3273">
        <v>327100</v>
      </c>
      <c r="U504" s="3267">
        <v>5645</v>
      </c>
      <c r="V504" s="3289">
        <v>0.2</v>
      </c>
      <c r="W504" s="3318">
        <v>26.16</v>
      </c>
      <c r="X504" s="3273">
        <v>261600</v>
      </c>
      <c r="Y504" s="3276">
        <v>2006</v>
      </c>
      <c r="Z504" s="3276">
        <v>5</v>
      </c>
      <c r="AA504" s="3276">
        <v>16</v>
      </c>
      <c r="AB504" s="3267">
        <v>980</v>
      </c>
      <c r="AC504" s="3267" t="s">
        <v>2980</v>
      </c>
      <c r="AD504" s="3267"/>
      <c r="AE504" s="3267" t="s">
        <v>2991</v>
      </c>
      <c r="AF504" s="3267" t="s">
        <v>2966</v>
      </c>
      <c r="AG504" s="3267" t="s">
        <v>2967</v>
      </c>
      <c r="AH504" s="3267"/>
      <c r="AI504" s="3267" t="s">
        <v>2992</v>
      </c>
      <c r="AJ504" s="3284"/>
      <c r="AK504" s="3278" t="s">
        <v>3099</v>
      </c>
      <c r="AL504" s="3276">
        <v>67641700</v>
      </c>
      <c r="AM504" s="3276"/>
      <c r="AN504" s="3279" t="s">
        <v>4663</v>
      </c>
      <c r="AO504" s="3267"/>
      <c r="AP504" s="3267" t="s">
        <v>2991</v>
      </c>
      <c r="AQ504" s="3276" t="s">
        <v>3113</v>
      </c>
      <c r="AR504" s="3276"/>
      <c r="AS504" s="3276"/>
      <c r="AT504" s="3276"/>
      <c r="AU504" s="3276"/>
      <c r="AV504" s="3276"/>
      <c r="AW504" s="3276" t="s">
        <v>3119</v>
      </c>
      <c r="AX504" s="3276"/>
      <c r="AY504" s="3291"/>
      <c r="AZ504" s="3267"/>
      <c r="BA504" s="3276"/>
      <c r="BB504" s="3292"/>
      <c r="BC504" s="3276"/>
      <c r="BD504" s="3292"/>
      <c r="BE504" s="3276"/>
      <c r="BF504" s="3281"/>
      <c r="BG504" s="3299">
        <v>38763</v>
      </c>
      <c r="BH504" s="3267"/>
      <c r="BI504" s="3276" t="s">
        <v>2991</v>
      </c>
      <c r="BJ504" s="3299">
        <v>38852</v>
      </c>
      <c r="BK504" s="3283"/>
      <c r="BL504" s="3267" t="s">
        <v>2998</v>
      </c>
      <c r="BM504" s="3276" t="s">
        <v>2879</v>
      </c>
      <c r="BN504" s="3276" t="s">
        <v>3111</v>
      </c>
      <c r="BO504" s="3276" t="s">
        <v>3146</v>
      </c>
      <c r="BP504" s="3276"/>
      <c r="BQ504" s="3276" t="e">
        <v>#DIV/0!</v>
      </c>
      <c r="BR504" s="3276" t="e">
        <v>#DIV/0!</v>
      </c>
      <c r="BS504" s="3285"/>
      <c r="BT504" s="3285"/>
      <c r="BU504" s="3285"/>
    </row>
    <row r="505" spans="1:73" hidden="1">
      <c r="A505" s="3267" t="s">
        <v>6692</v>
      </c>
      <c r="B505" s="3267" t="s">
        <v>6693</v>
      </c>
      <c r="C505" s="3269" t="s">
        <v>6694</v>
      </c>
      <c r="D505" s="3269">
        <v>13810780416</v>
      </c>
      <c r="E505" s="3268" t="s">
        <v>2985</v>
      </c>
      <c r="F505" s="3268" t="s">
        <v>4786</v>
      </c>
      <c r="G505" s="3267"/>
      <c r="H505" s="3268" t="s">
        <v>3814</v>
      </c>
      <c r="I505" s="3268"/>
      <c r="J505" s="3267" t="s">
        <v>6695</v>
      </c>
      <c r="K505" s="3267" t="s">
        <v>6696</v>
      </c>
      <c r="L505" s="3267">
        <v>123.52</v>
      </c>
      <c r="M505" s="3267">
        <v>23</v>
      </c>
      <c r="N505" s="3267" t="s">
        <v>2989</v>
      </c>
      <c r="O505" s="3267">
        <v>103.48</v>
      </c>
      <c r="P505" s="3267" t="s">
        <v>2963</v>
      </c>
      <c r="Q505" s="3271">
        <v>800000</v>
      </c>
      <c r="R505" s="3267">
        <v>6477</v>
      </c>
      <c r="S505" s="3272">
        <v>71.180000000000007</v>
      </c>
      <c r="T505" s="3273">
        <v>711800</v>
      </c>
      <c r="U505" s="3267">
        <v>5763</v>
      </c>
      <c r="V505" s="3289">
        <v>0.2</v>
      </c>
      <c r="W505" s="3272">
        <v>56.94</v>
      </c>
      <c r="X505" s="3275">
        <v>569400</v>
      </c>
      <c r="Y505" s="3276">
        <v>2006</v>
      </c>
      <c r="Z505" s="3276">
        <v>5</v>
      </c>
      <c r="AA505" s="3276">
        <v>24</v>
      </c>
      <c r="AB505" s="3267">
        <v>1500</v>
      </c>
      <c r="AC505" s="3267" t="s">
        <v>2980</v>
      </c>
      <c r="AD505" s="3267"/>
      <c r="AE505" s="3314" t="s">
        <v>3245</v>
      </c>
      <c r="AF505" s="3268" t="s">
        <v>2966</v>
      </c>
      <c r="AG505" s="3279" t="s">
        <v>2967</v>
      </c>
      <c r="AH505" s="3267"/>
      <c r="AI505" s="3279" t="s">
        <v>2992</v>
      </c>
      <c r="AJ505" s="3284"/>
      <c r="AK505" s="3278">
        <v>5</v>
      </c>
      <c r="AL505" s="3276">
        <v>67641700</v>
      </c>
      <c r="AM505" s="3276"/>
      <c r="AN505" s="3279" t="s">
        <v>3114</v>
      </c>
      <c r="AO505" s="3267" t="s">
        <v>2968</v>
      </c>
      <c r="AP505" s="3279" t="s">
        <v>3305</v>
      </c>
      <c r="AQ505" s="3267" t="s">
        <v>3228</v>
      </c>
      <c r="AR505" s="3276"/>
      <c r="AS505" s="3276"/>
      <c r="AT505" s="3276"/>
      <c r="AU505" s="3276"/>
      <c r="AV505" s="3276"/>
      <c r="AW505" s="3276" t="s">
        <v>2997</v>
      </c>
      <c r="AX505" s="3276"/>
      <c r="AY505" s="3291"/>
      <c r="AZ505" s="3267" t="s">
        <v>6696</v>
      </c>
      <c r="BA505" s="3296"/>
      <c r="BB505" s="3297"/>
      <c r="BC505" s="3296"/>
      <c r="BD505" s="3298"/>
      <c r="BE505" s="3276">
        <v>13701065111</v>
      </c>
      <c r="BF505" s="3281"/>
      <c r="BG505" s="3293">
        <v>38759</v>
      </c>
      <c r="BH505" s="3267" t="s">
        <v>2998</v>
      </c>
      <c r="BI505" s="3314" t="s">
        <v>3305</v>
      </c>
      <c r="BJ505" s="3283">
        <v>38852</v>
      </c>
      <c r="BK505" s="3283"/>
      <c r="BL505" s="3267" t="s">
        <v>3249</v>
      </c>
      <c r="BM505" s="3276" t="s">
        <v>2879</v>
      </c>
      <c r="BN505" s="3276" t="s">
        <v>3111</v>
      </c>
      <c r="BO505" s="3276" t="s">
        <v>3146</v>
      </c>
      <c r="BP505" s="3276"/>
      <c r="BQ505" s="3276">
        <v>6879</v>
      </c>
      <c r="BR505" s="3276">
        <v>7731</v>
      </c>
      <c r="BS505" s="3285"/>
      <c r="BT505" s="3285"/>
      <c r="BU505" s="3285"/>
    </row>
    <row r="506" spans="1:73" hidden="1">
      <c r="A506" s="3267" t="s">
        <v>6697</v>
      </c>
      <c r="B506" s="3267" t="s">
        <v>6698</v>
      </c>
      <c r="C506" s="3269" t="s">
        <v>6699</v>
      </c>
      <c r="D506" s="3269">
        <v>13581524614</v>
      </c>
      <c r="E506" s="3268" t="s">
        <v>2985</v>
      </c>
      <c r="F506" s="3268" t="s">
        <v>6700</v>
      </c>
      <c r="G506" s="3267"/>
      <c r="H506" s="3267" t="s">
        <v>3130</v>
      </c>
      <c r="I506" s="3268" t="s">
        <v>3431</v>
      </c>
      <c r="J506" s="3267" t="s">
        <v>3958</v>
      </c>
      <c r="K506" s="3267" t="s">
        <v>6701</v>
      </c>
      <c r="L506" s="3267">
        <v>75.92</v>
      </c>
      <c r="M506" s="3267">
        <v>1</v>
      </c>
      <c r="N506" s="3267" t="s">
        <v>3122</v>
      </c>
      <c r="O506" s="3267"/>
      <c r="P506" s="3267" t="s">
        <v>2963</v>
      </c>
      <c r="Q506" s="3271">
        <v>422000</v>
      </c>
      <c r="R506" s="3267">
        <v>5558</v>
      </c>
      <c r="S506" s="3272">
        <v>40.31</v>
      </c>
      <c r="T506" s="3273">
        <v>403100</v>
      </c>
      <c r="U506" s="3267">
        <v>5310</v>
      </c>
      <c r="V506" s="3289">
        <v>0.2</v>
      </c>
      <c r="W506" s="3272">
        <v>32.24</v>
      </c>
      <c r="X506" s="3275">
        <v>322400</v>
      </c>
      <c r="Y506" s="3276">
        <v>2006</v>
      </c>
      <c r="Z506" s="3276">
        <v>5</v>
      </c>
      <c r="AA506" s="3276">
        <v>25</v>
      </c>
      <c r="AB506" s="3267">
        <v>1205</v>
      </c>
      <c r="AC506" s="3267" t="s">
        <v>2980</v>
      </c>
      <c r="AD506" s="3267"/>
      <c r="AE506" s="3279" t="s">
        <v>3342</v>
      </c>
      <c r="AF506" s="3268" t="s">
        <v>2966</v>
      </c>
      <c r="AG506" s="3279" t="s">
        <v>2967</v>
      </c>
      <c r="AH506" s="3267"/>
      <c r="AI506" s="3279" t="s">
        <v>2992</v>
      </c>
      <c r="AJ506" s="3284"/>
      <c r="AK506" s="3278">
        <v>5</v>
      </c>
      <c r="AL506" s="3276">
        <v>67641700</v>
      </c>
      <c r="AM506" s="3276"/>
      <c r="AN506" s="3279" t="s">
        <v>3114</v>
      </c>
      <c r="AO506" s="3267"/>
      <c r="AP506" s="3279" t="s">
        <v>3305</v>
      </c>
      <c r="AQ506" s="3267" t="s">
        <v>3228</v>
      </c>
      <c r="AR506" s="3276"/>
      <c r="AS506" s="3276"/>
      <c r="AT506" s="3276"/>
      <c r="AU506" s="3276"/>
      <c r="AV506" s="3276"/>
      <c r="AW506" s="3276" t="s">
        <v>2997</v>
      </c>
      <c r="AX506" s="3276"/>
      <c r="AY506" s="3291"/>
      <c r="AZ506" s="3267" t="s">
        <v>6701</v>
      </c>
      <c r="BA506" s="3296"/>
      <c r="BB506" s="3297"/>
      <c r="BC506" s="3296"/>
      <c r="BD506" s="3298"/>
      <c r="BE506" s="3276"/>
      <c r="BF506" s="3281"/>
      <c r="BG506" s="3293">
        <v>38787</v>
      </c>
      <c r="BH506" s="3267" t="s">
        <v>2998</v>
      </c>
      <c r="BI506" s="3314" t="s">
        <v>3305</v>
      </c>
      <c r="BJ506" s="3283">
        <v>38852</v>
      </c>
      <c r="BK506" s="3283"/>
      <c r="BL506" s="3267" t="s">
        <v>3249</v>
      </c>
      <c r="BM506" s="3276" t="s">
        <v>2879</v>
      </c>
      <c r="BN506" s="3276" t="s">
        <v>2999</v>
      </c>
      <c r="BO506" s="3276" t="s">
        <v>3146</v>
      </c>
      <c r="BP506" s="3276"/>
      <c r="BQ506" s="3276" t="e">
        <v>#DIV/0!</v>
      </c>
      <c r="BR506" s="3276" t="e">
        <v>#DIV/0!</v>
      </c>
      <c r="BS506" s="3285"/>
      <c r="BT506" s="3285"/>
      <c r="BU506" s="3285"/>
    </row>
    <row r="507" spans="1:73" hidden="1">
      <c r="A507" s="3267" t="s">
        <v>6702</v>
      </c>
      <c r="B507" s="3267" t="s">
        <v>6703</v>
      </c>
      <c r="C507" s="3269" t="s">
        <v>6704</v>
      </c>
      <c r="D507" s="3269" t="s">
        <v>6705</v>
      </c>
      <c r="E507" s="3268" t="s">
        <v>2985</v>
      </c>
      <c r="F507" s="3268" t="s">
        <v>6396</v>
      </c>
      <c r="G507" s="3267"/>
      <c r="H507" s="3268" t="s">
        <v>4341</v>
      </c>
      <c r="I507" s="3268" t="s">
        <v>2968</v>
      </c>
      <c r="J507" s="3267" t="s">
        <v>6706</v>
      </c>
      <c r="K507" s="3267" t="s">
        <v>6707</v>
      </c>
      <c r="L507" s="3267">
        <v>124.92</v>
      </c>
      <c r="M507" s="3267">
        <v>18</v>
      </c>
      <c r="N507" s="3267" t="s">
        <v>3303</v>
      </c>
      <c r="O507" s="3267" t="s">
        <v>2968</v>
      </c>
      <c r="P507" s="3267" t="s">
        <v>2963</v>
      </c>
      <c r="Q507" s="3271">
        <v>810000</v>
      </c>
      <c r="R507" s="3267">
        <v>6484</v>
      </c>
      <c r="S507" s="3272">
        <v>77.98</v>
      </c>
      <c r="T507" s="3273">
        <v>779800</v>
      </c>
      <c r="U507" s="3267">
        <v>6243</v>
      </c>
      <c r="V507" s="3289">
        <v>0.2</v>
      </c>
      <c r="W507" s="3272">
        <v>62.38</v>
      </c>
      <c r="X507" s="3275">
        <v>623800</v>
      </c>
      <c r="Y507" s="3276">
        <v>2006</v>
      </c>
      <c r="Z507" s="3276">
        <v>5</v>
      </c>
      <c r="AA507" s="3276">
        <v>22</v>
      </c>
      <c r="AB507" s="3267">
        <v>1500</v>
      </c>
      <c r="AC507" s="3267" t="s">
        <v>2980</v>
      </c>
      <c r="AD507" s="3267"/>
      <c r="AE507" s="3279" t="s">
        <v>3069</v>
      </c>
      <c r="AF507" s="3268" t="s">
        <v>2966</v>
      </c>
      <c r="AG507" s="3279" t="s">
        <v>2967</v>
      </c>
      <c r="AH507" s="3267"/>
      <c r="AI507" s="3279" t="s">
        <v>2992</v>
      </c>
      <c r="AJ507" s="3284"/>
      <c r="AK507" s="3278">
        <v>5</v>
      </c>
      <c r="AL507" s="3276">
        <v>67641700</v>
      </c>
      <c r="AM507" s="3276"/>
      <c r="AN507" s="3279" t="s">
        <v>3114</v>
      </c>
      <c r="AO507" s="3267"/>
      <c r="AP507" s="3279" t="s">
        <v>3305</v>
      </c>
      <c r="AQ507" s="3267" t="s">
        <v>3228</v>
      </c>
      <c r="AR507" s="3276"/>
      <c r="AS507" s="3276"/>
      <c r="AT507" s="3276"/>
      <c r="AU507" s="3276"/>
      <c r="AV507" s="3276"/>
      <c r="AW507" s="3276" t="s">
        <v>2997</v>
      </c>
      <c r="AX507" s="3276"/>
      <c r="AY507" s="3291"/>
      <c r="AZ507" s="3267" t="s">
        <v>6707</v>
      </c>
      <c r="BA507" s="3296"/>
      <c r="BB507" s="3297"/>
      <c r="BC507" s="3296"/>
      <c r="BD507" s="3298"/>
      <c r="BE507" s="3276"/>
      <c r="BF507" s="3281"/>
      <c r="BG507" s="3293">
        <v>38845</v>
      </c>
      <c r="BH507" s="3267" t="s">
        <v>2998</v>
      </c>
      <c r="BI507" s="3314" t="s">
        <v>3305</v>
      </c>
      <c r="BJ507" s="3283">
        <v>38852</v>
      </c>
      <c r="BK507" s="3283"/>
      <c r="BL507" s="3267" t="s">
        <v>3249</v>
      </c>
      <c r="BM507" s="3276" t="s">
        <v>3345</v>
      </c>
      <c r="BN507" s="3276" t="s">
        <v>3111</v>
      </c>
      <c r="BO507" s="3276" t="s">
        <v>3146</v>
      </c>
      <c r="BP507" s="3276"/>
      <c r="BQ507" s="3276" t="e">
        <v>#VALUE!</v>
      </c>
      <c r="BR507" s="3276" t="e">
        <v>#VALUE!</v>
      </c>
      <c r="BS507" s="3285"/>
      <c r="BT507" s="3285"/>
      <c r="BU507" s="3285"/>
    </row>
    <row r="508" spans="1:73" hidden="1">
      <c r="A508" s="3267" t="s">
        <v>6708</v>
      </c>
      <c r="B508" s="3267" t="s">
        <v>6709</v>
      </c>
      <c r="C508" s="3269" t="s">
        <v>6710</v>
      </c>
      <c r="D508" s="3269" t="s">
        <v>6711</v>
      </c>
      <c r="E508" s="3267" t="s">
        <v>2985</v>
      </c>
      <c r="F508" s="3244" t="s">
        <v>6712</v>
      </c>
      <c r="G508" s="3267"/>
      <c r="H508" s="3267" t="s">
        <v>3139</v>
      </c>
      <c r="I508" s="3267"/>
      <c r="J508" s="3269" t="s">
        <v>6713</v>
      </c>
      <c r="K508" s="3267" t="s">
        <v>6709</v>
      </c>
      <c r="L508" s="3267">
        <v>122.03</v>
      </c>
      <c r="M508" s="3267">
        <v>13</v>
      </c>
      <c r="N508" s="3267" t="s">
        <v>3098</v>
      </c>
      <c r="O508" s="3267">
        <v>96.8</v>
      </c>
      <c r="P508" s="3267" t="s">
        <v>2963</v>
      </c>
      <c r="Q508" s="3271">
        <v>600000</v>
      </c>
      <c r="R508" s="3267">
        <v>4917</v>
      </c>
      <c r="S508" s="3272">
        <v>67.06</v>
      </c>
      <c r="T508" s="3273">
        <v>670600</v>
      </c>
      <c r="U508" s="3267">
        <v>5496</v>
      </c>
      <c r="V508" s="3289">
        <v>0.2</v>
      </c>
      <c r="W508" s="3272">
        <v>53.64</v>
      </c>
      <c r="X508" s="3275">
        <v>536400</v>
      </c>
      <c r="Y508" s="3276">
        <v>2006</v>
      </c>
      <c r="Z508" s="3276">
        <v>6</v>
      </c>
      <c r="AA508" s="3276">
        <v>23</v>
      </c>
      <c r="AB508" s="3267">
        <v>1500</v>
      </c>
      <c r="AC508" s="3267" t="s">
        <v>2980</v>
      </c>
      <c r="AD508" s="3267"/>
      <c r="AE508" s="3276" t="s">
        <v>3304</v>
      </c>
      <c r="AF508" s="3267" t="s">
        <v>2966</v>
      </c>
      <c r="AG508" s="3279" t="s">
        <v>2967</v>
      </c>
      <c r="AH508" s="3267"/>
      <c r="AI508" s="3267" t="s">
        <v>2992</v>
      </c>
      <c r="AJ508" s="3284"/>
      <c r="AK508" s="3316" t="s">
        <v>3160</v>
      </c>
      <c r="AL508" s="3267">
        <v>67641700</v>
      </c>
      <c r="AM508" s="3276"/>
      <c r="AN508" s="3276" t="s">
        <v>2994</v>
      </c>
      <c r="AO508" s="3276"/>
      <c r="AP508" s="3276" t="s">
        <v>3305</v>
      </c>
      <c r="AQ508" s="3267" t="s">
        <v>3228</v>
      </c>
      <c r="AR508" s="3276"/>
      <c r="AS508" s="3276"/>
      <c r="AT508" s="3276"/>
      <c r="AU508" s="3276"/>
      <c r="AV508" s="3276"/>
      <c r="AW508" s="3276" t="s">
        <v>3119</v>
      </c>
      <c r="AX508" s="3276"/>
      <c r="AY508" s="3291"/>
      <c r="AZ508" s="3276" t="s">
        <v>6714</v>
      </c>
      <c r="BA508" s="3276"/>
      <c r="BB508" s="3291"/>
      <c r="BC508" s="3276"/>
      <c r="BD508" s="3292"/>
      <c r="BE508" s="3276"/>
      <c r="BF508" s="3281"/>
      <c r="BG508" s="3299">
        <v>38853</v>
      </c>
      <c r="BH508" s="3276" t="s">
        <v>2998</v>
      </c>
      <c r="BI508" s="3276" t="s">
        <v>4230</v>
      </c>
      <c r="BJ508" s="3283">
        <v>38853</v>
      </c>
      <c r="BK508" s="3283"/>
      <c r="BL508" s="3267" t="s">
        <v>3249</v>
      </c>
      <c r="BM508" s="3276" t="s">
        <v>2879</v>
      </c>
      <c r="BN508" s="3276" t="s">
        <v>3111</v>
      </c>
      <c r="BO508" s="3276" t="s">
        <v>6261</v>
      </c>
      <c r="BP508" s="3276"/>
      <c r="BQ508" s="3276">
        <v>6928</v>
      </c>
      <c r="BR508" s="3276">
        <v>6198</v>
      </c>
      <c r="BS508" s="3285"/>
      <c r="BT508" s="3285"/>
      <c r="BU508" s="3285"/>
    </row>
    <row r="509" spans="1:73" hidden="1">
      <c r="A509" s="3267" t="s">
        <v>6715</v>
      </c>
      <c r="B509" s="3267" t="s">
        <v>6716</v>
      </c>
      <c r="C509" s="3269" t="s">
        <v>6717</v>
      </c>
      <c r="D509" s="3269" t="s">
        <v>6718</v>
      </c>
      <c r="E509" s="3268" t="s">
        <v>2985</v>
      </c>
      <c r="F509" s="3268" t="s">
        <v>6719</v>
      </c>
      <c r="G509" s="3267"/>
      <c r="H509" s="3268" t="s">
        <v>3130</v>
      </c>
      <c r="I509" s="3268" t="s">
        <v>3318</v>
      </c>
      <c r="J509" s="3267" t="s">
        <v>5968</v>
      </c>
      <c r="K509" s="3267" t="s">
        <v>6716</v>
      </c>
      <c r="L509" s="3267">
        <v>79.25</v>
      </c>
      <c r="M509" s="3267">
        <v>9</v>
      </c>
      <c r="N509" s="3267" t="s">
        <v>3152</v>
      </c>
      <c r="O509" s="3267">
        <v>62.49</v>
      </c>
      <c r="P509" s="3267" t="s">
        <v>2963</v>
      </c>
      <c r="Q509" s="3271">
        <v>580000</v>
      </c>
      <c r="R509" s="3267">
        <v>7319</v>
      </c>
      <c r="S509" s="3272">
        <v>50.45</v>
      </c>
      <c r="T509" s="3273">
        <v>504500</v>
      </c>
      <c r="U509" s="3267">
        <v>6366</v>
      </c>
      <c r="V509" s="3289">
        <v>0.2</v>
      </c>
      <c r="W509" s="3272">
        <v>40.36</v>
      </c>
      <c r="X509" s="3275">
        <v>403600</v>
      </c>
      <c r="Y509" s="3276">
        <v>2006</v>
      </c>
      <c r="Z509" s="3276">
        <v>5</v>
      </c>
      <c r="AA509" s="3276">
        <v>17</v>
      </c>
      <c r="AB509" s="3267">
        <v>1500</v>
      </c>
      <c r="AC509" s="3267" t="s">
        <v>2980</v>
      </c>
      <c r="AD509" s="3267"/>
      <c r="AE509" s="3279" t="s">
        <v>3069</v>
      </c>
      <c r="AF509" s="3268" t="s">
        <v>2966</v>
      </c>
      <c r="AG509" s="3279" t="s">
        <v>2967</v>
      </c>
      <c r="AH509" s="3267"/>
      <c r="AI509" s="3279" t="s">
        <v>2992</v>
      </c>
      <c r="AJ509" s="3284"/>
      <c r="AK509" s="3278">
        <v>5</v>
      </c>
      <c r="AL509" s="3276">
        <v>67641700</v>
      </c>
      <c r="AM509" s="3276"/>
      <c r="AN509" s="3279" t="s">
        <v>3140</v>
      </c>
      <c r="AO509" s="3267"/>
      <c r="AP509" s="3279" t="s">
        <v>3305</v>
      </c>
      <c r="AQ509" s="3276" t="s">
        <v>3113</v>
      </c>
      <c r="AR509" s="3276"/>
      <c r="AS509" s="3276"/>
      <c r="AT509" s="3276"/>
      <c r="AU509" s="3276"/>
      <c r="AV509" s="3276"/>
      <c r="AW509" s="3276" t="s">
        <v>2997</v>
      </c>
      <c r="AX509" s="3276"/>
      <c r="AY509" s="3291"/>
      <c r="AZ509" s="3267" t="s">
        <v>6720</v>
      </c>
      <c r="BA509" s="3296"/>
      <c r="BB509" s="3297"/>
      <c r="BC509" s="3296"/>
      <c r="BD509" s="3298"/>
      <c r="BE509" s="3276"/>
      <c r="BF509" s="3281"/>
      <c r="BG509" s="3293">
        <v>38791</v>
      </c>
      <c r="BH509" s="3267" t="s">
        <v>2998</v>
      </c>
      <c r="BI509" s="3314" t="s">
        <v>3305</v>
      </c>
      <c r="BJ509" s="3283">
        <v>38853</v>
      </c>
      <c r="BK509" s="3283"/>
      <c r="BL509" s="3267" t="s">
        <v>3249</v>
      </c>
      <c r="BM509" s="3276" t="s">
        <v>3345</v>
      </c>
      <c r="BN509" s="3276" t="s">
        <v>3111</v>
      </c>
      <c r="BO509" s="3276" t="s">
        <v>3146</v>
      </c>
      <c r="BP509" s="3276"/>
      <c r="BQ509" s="3276">
        <v>8073</v>
      </c>
      <c r="BR509" s="3276">
        <v>9281</v>
      </c>
      <c r="BS509" s="3285"/>
      <c r="BT509" s="3285"/>
      <c r="BU509" s="3285"/>
    </row>
    <row r="510" spans="1:73" hidden="1">
      <c r="A510" s="3267" t="s">
        <v>6721</v>
      </c>
      <c r="B510" s="3267" t="s">
        <v>6722</v>
      </c>
      <c r="C510" s="3269" t="s">
        <v>6723</v>
      </c>
      <c r="D510" s="3268">
        <v>13366485941</v>
      </c>
      <c r="E510" s="3267" t="s">
        <v>2985</v>
      </c>
      <c r="F510" s="3308" t="s">
        <v>6396</v>
      </c>
      <c r="G510" s="3267"/>
      <c r="H510" s="3267" t="s">
        <v>3999</v>
      </c>
      <c r="I510" s="3267"/>
      <c r="J510" s="3267" t="s">
        <v>6724</v>
      </c>
      <c r="K510" s="3268" t="s">
        <v>6722</v>
      </c>
      <c r="L510" s="3286">
        <v>122.1</v>
      </c>
      <c r="M510" s="3270">
        <v>14</v>
      </c>
      <c r="N510" s="3267" t="s">
        <v>3303</v>
      </c>
      <c r="O510" s="3267">
        <v>101.05</v>
      </c>
      <c r="P510" s="3267" t="s">
        <v>2963</v>
      </c>
      <c r="Q510" s="3287">
        <v>730000</v>
      </c>
      <c r="R510" s="3267">
        <v>5979</v>
      </c>
      <c r="S510" s="3286">
        <v>75.989999999999995</v>
      </c>
      <c r="T510" s="3273">
        <v>759900</v>
      </c>
      <c r="U510" s="3267">
        <v>6224</v>
      </c>
      <c r="V510" s="3289">
        <v>0.2</v>
      </c>
      <c r="W510" s="3272">
        <v>60.79</v>
      </c>
      <c r="X510" s="3275">
        <v>607900</v>
      </c>
      <c r="Y510" s="3276">
        <v>2006</v>
      </c>
      <c r="Z510" s="3276">
        <v>5</v>
      </c>
      <c r="AA510" s="3276">
        <v>18</v>
      </c>
      <c r="AB510" s="3267">
        <v>1500</v>
      </c>
      <c r="AC510" s="3267" t="s">
        <v>2980</v>
      </c>
      <c r="AD510" s="3267"/>
      <c r="AE510" s="3276" t="s">
        <v>3304</v>
      </c>
      <c r="AF510" s="3267" t="s">
        <v>2966</v>
      </c>
      <c r="AG510" s="3279" t="s">
        <v>2967</v>
      </c>
      <c r="AH510" s="3267"/>
      <c r="AI510" s="3267" t="s">
        <v>2992</v>
      </c>
      <c r="AJ510" s="3290"/>
      <c r="AK510" s="3278">
        <v>5</v>
      </c>
      <c r="AL510" s="3276">
        <v>67641700</v>
      </c>
      <c r="AM510" s="3276"/>
      <c r="AN510" s="3279" t="s">
        <v>3140</v>
      </c>
      <c r="AO510" s="3267" t="s">
        <v>2968</v>
      </c>
      <c r="AP510" s="3267" t="s">
        <v>3305</v>
      </c>
      <c r="AQ510" s="3267" t="s">
        <v>3113</v>
      </c>
      <c r="AR510" s="3276"/>
      <c r="AS510" s="3276"/>
      <c r="AT510" s="3276"/>
      <c r="AU510" s="3276"/>
      <c r="AV510" s="3276"/>
      <c r="AW510" s="3267" t="s">
        <v>3119</v>
      </c>
      <c r="AX510" s="3276"/>
      <c r="AY510" s="3291"/>
      <c r="AZ510" s="3276" t="s">
        <v>6725</v>
      </c>
      <c r="BA510" s="3276"/>
      <c r="BB510" s="3291"/>
      <c r="BC510" s="3276"/>
      <c r="BD510" s="3292"/>
      <c r="BE510" s="3276"/>
      <c r="BF510" s="3281"/>
      <c r="BG510" s="3293">
        <v>38821</v>
      </c>
      <c r="BH510" s="3267" t="s">
        <v>2998</v>
      </c>
      <c r="BI510" s="3314" t="s">
        <v>4230</v>
      </c>
      <c r="BJ510" s="3299">
        <v>38853</v>
      </c>
      <c r="BK510" s="3283"/>
      <c r="BL510" s="3276" t="s">
        <v>2998</v>
      </c>
      <c r="BM510" s="3276" t="s">
        <v>3345</v>
      </c>
      <c r="BN510" s="3267" t="s">
        <v>3111</v>
      </c>
      <c r="BO510" s="3276" t="s">
        <v>6261</v>
      </c>
      <c r="BP510" s="3276"/>
      <c r="BQ510" s="3276">
        <v>7521</v>
      </c>
      <c r="BR510" s="3276">
        <v>7224</v>
      </c>
      <c r="BS510" s="3285"/>
      <c r="BT510" s="3285"/>
      <c r="BU510" s="3285"/>
    </row>
    <row r="511" spans="1:73" hidden="1">
      <c r="A511" s="3267" t="s">
        <v>6726</v>
      </c>
      <c r="B511" s="3267" t="s">
        <v>6727</v>
      </c>
      <c r="C511" s="3269" t="s">
        <v>6728</v>
      </c>
      <c r="D511" s="3269">
        <v>13641252663</v>
      </c>
      <c r="E511" s="3268" t="s">
        <v>2985</v>
      </c>
      <c r="F511" s="3268" t="s">
        <v>6729</v>
      </c>
      <c r="G511" s="3267"/>
      <c r="H511" s="3267" t="s">
        <v>3402</v>
      </c>
      <c r="I511" s="3268" t="s">
        <v>3281</v>
      </c>
      <c r="J511" s="3267" t="s">
        <v>6730</v>
      </c>
      <c r="K511" s="3267" t="s">
        <v>6727</v>
      </c>
      <c r="L511" s="3267">
        <v>42.22</v>
      </c>
      <c r="M511" s="3267">
        <v>4</v>
      </c>
      <c r="N511" s="3267" t="s">
        <v>3152</v>
      </c>
      <c r="O511" s="3267"/>
      <c r="P511" s="3267" t="s">
        <v>2963</v>
      </c>
      <c r="Q511" s="3271">
        <v>320000</v>
      </c>
      <c r="R511" s="3267">
        <v>7579</v>
      </c>
      <c r="S511" s="3272">
        <v>26.77</v>
      </c>
      <c r="T511" s="3273">
        <v>267700</v>
      </c>
      <c r="U511" s="3267">
        <v>6342</v>
      </c>
      <c r="V511" s="3289">
        <v>0.2</v>
      </c>
      <c r="W511" s="3272">
        <v>21.41</v>
      </c>
      <c r="X511" s="3275">
        <v>214100</v>
      </c>
      <c r="Y511" s="3276">
        <v>2006</v>
      </c>
      <c r="Z511" s="3276">
        <v>5</v>
      </c>
      <c r="AA511" s="3276">
        <v>18</v>
      </c>
      <c r="AB511" s="3267">
        <v>800</v>
      </c>
      <c r="AC511" s="3267" t="s">
        <v>2980</v>
      </c>
      <c r="AD511" s="3267"/>
      <c r="AE511" s="3279" t="s">
        <v>3304</v>
      </c>
      <c r="AF511" s="3268" t="s">
        <v>2966</v>
      </c>
      <c r="AG511" s="3279" t="s">
        <v>2967</v>
      </c>
      <c r="AH511" s="3267"/>
      <c r="AI511" s="3279" t="s">
        <v>2992</v>
      </c>
      <c r="AJ511" s="3284"/>
      <c r="AK511" s="3278">
        <v>5</v>
      </c>
      <c r="AL511" s="3276">
        <v>67641700</v>
      </c>
      <c r="AM511" s="3276"/>
      <c r="AN511" s="3279" t="s">
        <v>3140</v>
      </c>
      <c r="AO511" s="3267"/>
      <c r="AP511" s="3279" t="s">
        <v>3305</v>
      </c>
      <c r="AQ511" s="3276" t="s">
        <v>3113</v>
      </c>
      <c r="AR511" s="3276"/>
      <c r="AS511" s="3276"/>
      <c r="AT511" s="3276"/>
      <c r="AU511" s="3276"/>
      <c r="AV511" s="3276"/>
      <c r="AW511" s="3276" t="s">
        <v>2997</v>
      </c>
      <c r="AX511" s="3276"/>
      <c r="AY511" s="3291"/>
      <c r="AZ511" s="3267" t="s">
        <v>6731</v>
      </c>
      <c r="BA511" s="3296"/>
      <c r="BB511" s="3297"/>
      <c r="BC511" s="3296"/>
      <c r="BD511" s="3298"/>
      <c r="BE511" s="3276">
        <v>64977335</v>
      </c>
      <c r="BF511" s="3281"/>
      <c r="BG511" s="3293">
        <v>38833</v>
      </c>
      <c r="BH511" s="3267" t="s">
        <v>2998</v>
      </c>
      <c r="BI511" s="3314" t="s">
        <v>3305</v>
      </c>
      <c r="BJ511" s="3283">
        <v>38853</v>
      </c>
      <c r="BK511" s="3283"/>
      <c r="BL511" s="3267" t="s">
        <v>3249</v>
      </c>
      <c r="BM511" s="3276" t="s">
        <v>2879</v>
      </c>
      <c r="BN511" s="3276" t="s">
        <v>3111</v>
      </c>
      <c r="BO511" s="3276" t="s">
        <v>3146</v>
      </c>
      <c r="BP511" s="3276"/>
      <c r="BQ511" s="3276" t="e">
        <v>#DIV/0!</v>
      </c>
      <c r="BR511" s="3276" t="e">
        <v>#DIV/0!</v>
      </c>
      <c r="BS511" s="3285"/>
      <c r="BT511" s="3285"/>
      <c r="BU511" s="3285"/>
    </row>
    <row r="512" spans="1:73" hidden="1">
      <c r="A512" s="3267" t="s">
        <v>6732</v>
      </c>
      <c r="B512" s="3267" t="s">
        <v>6733</v>
      </c>
      <c r="C512" s="3269" t="s">
        <v>6734</v>
      </c>
      <c r="D512" s="3268">
        <v>13911204883</v>
      </c>
      <c r="E512" s="3267" t="s">
        <v>2985</v>
      </c>
      <c r="F512" s="3268" t="s">
        <v>4621</v>
      </c>
      <c r="G512" s="3267"/>
      <c r="H512" s="3267" t="s">
        <v>3138</v>
      </c>
      <c r="I512" s="3267" t="s">
        <v>3586</v>
      </c>
      <c r="J512" s="3267" t="s">
        <v>3165</v>
      </c>
      <c r="K512" s="3267" t="s">
        <v>6735</v>
      </c>
      <c r="L512" s="3267">
        <v>59.33</v>
      </c>
      <c r="M512" s="3267">
        <v>6</v>
      </c>
      <c r="N512" s="3267" t="s">
        <v>3122</v>
      </c>
      <c r="O512" s="3267"/>
      <c r="P512" s="3267" t="s">
        <v>2963</v>
      </c>
      <c r="Q512" s="3367">
        <v>425000</v>
      </c>
      <c r="R512" s="3267">
        <v>7163</v>
      </c>
      <c r="S512" s="3272">
        <v>37.69</v>
      </c>
      <c r="T512" s="3273">
        <v>376900</v>
      </c>
      <c r="U512" s="3267">
        <v>6354</v>
      </c>
      <c r="V512" s="3289">
        <v>0.2</v>
      </c>
      <c r="W512" s="3272">
        <v>30.15</v>
      </c>
      <c r="X512" s="3275">
        <v>301500</v>
      </c>
      <c r="Y512" s="3276">
        <v>2006</v>
      </c>
      <c r="Z512" s="3276">
        <v>5</v>
      </c>
      <c r="AA512" s="3276">
        <v>18</v>
      </c>
      <c r="AB512" s="3267">
        <v>1130</v>
      </c>
      <c r="AC512" s="3267" t="s">
        <v>2980</v>
      </c>
      <c r="AD512" s="3267"/>
      <c r="AE512" s="3267" t="s">
        <v>2991</v>
      </c>
      <c r="AF512" s="3267" t="s">
        <v>2966</v>
      </c>
      <c r="AG512" s="3267" t="s">
        <v>2967</v>
      </c>
      <c r="AH512" s="3267"/>
      <c r="AI512" s="3267" t="s">
        <v>2992</v>
      </c>
      <c r="AJ512" s="3284"/>
      <c r="AK512" s="3316" t="s">
        <v>3099</v>
      </c>
      <c r="AL512" s="3276">
        <v>67641700</v>
      </c>
      <c r="AM512" s="3276"/>
      <c r="AN512" s="3279" t="s">
        <v>3114</v>
      </c>
      <c r="AO512" s="3267"/>
      <c r="AP512" s="3267" t="s">
        <v>2991</v>
      </c>
      <c r="AQ512" s="3267" t="s">
        <v>3228</v>
      </c>
      <c r="AR512" s="3276">
        <v>2006</v>
      </c>
      <c r="AS512" s="3276">
        <v>5</v>
      </c>
      <c r="AT512" s="3276">
        <v>26</v>
      </c>
      <c r="AU512" s="3276"/>
      <c r="AV512" s="3276"/>
      <c r="AW512" s="3276" t="s">
        <v>3119</v>
      </c>
      <c r="AX512" s="3276"/>
      <c r="AY512" s="3291"/>
      <c r="AZ512" s="3267"/>
      <c r="BA512" s="3276"/>
      <c r="BB512" s="3292"/>
      <c r="BC512" s="3276"/>
      <c r="BD512" s="3292"/>
      <c r="BE512" s="3276"/>
      <c r="BF512" s="3281"/>
      <c r="BG512" s="3299">
        <v>38849</v>
      </c>
      <c r="BH512" s="3267"/>
      <c r="BI512" s="3276" t="s">
        <v>4230</v>
      </c>
      <c r="BJ512" s="3299">
        <v>38854</v>
      </c>
      <c r="BK512" s="3283"/>
      <c r="BL512" s="3267" t="s">
        <v>3249</v>
      </c>
      <c r="BM512" s="3276" t="s">
        <v>2879</v>
      </c>
      <c r="BN512" s="3276" t="s">
        <v>2999</v>
      </c>
      <c r="BO512" s="3276" t="s">
        <v>3146</v>
      </c>
      <c r="BP512" s="3276"/>
      <c r="BQ512" s="3276" t="e">
        <v>#DIV/0!</v>
      </c>
      <c r="BR512" s="3276" t="e">
        <v>#DIV/0!</v>
      </c>
      <c r="BS512" s="3285"/>
      <c r="BT512" s="3285"/>
      <c r="BU512" s="3285"/>
    </row>
    <row r="513" spans="1:73" hidden="1">
      <c r="A513" s="3267" t="s">
        <v>6736</v>
      </c>
      <c r="B513" s="3267" t="s">
        <v>6737</v>
      </c>
      <c r="C513" s="3269" t="s">
        <v>6738</v>
      </c>
      <c r="D513" s="3269" t="s">
        <v>6739</v>
      </c>
      <c r="E513" s="3268" t="s">
        <v>2985</v>
      </c>
      <c r="F513" s="3268" t="s">
        <v>4501</v>
      </c>
      <c r="G513" s="3267"/>
      <c r="H513" s="3268" t="s">
        <v>3194</v>
      </c>
      <c r="I513" s="3268" t="s">
        <v>3608</v>
      </c>
      <c r="J513" s="3267" t="s">
        <v>3173</v>
      </c>
      <c r="K513" s="3267" t="s">
        <v>6740</v>
      </c>
      <c r="L513" s="3267">
        <v>57.68</v>
      </c>
      <c r="M513" s="3267">
        <v>2</v>
      </c>
      <c r="N513" s="3267" t="s">
        <v>3122</v>
      </c>
      <c r="O513" s="3267"/>
      <c r="P513" s="3267" t="s">
        <v>2963</v>
      </c>
      <c r="Q513" s="3271">
        <v>470000</v>
      </c>
      <c r="R513" s="3267">
        <v>8148</v>
      </c>
      <c r="S513" s="3272">
        <v>36.450000000000003</v>
      </c>
      <c r="T513" s="3273">
        <v>364500</v>
      </c>
      <c r="U513" s="3267">
        <v>6320</v>
      </c>
      <c r="V513" s="3289">
        <v>0.2</v>
      </c>
      <c r="W513" s="3272">
        <v>29.16</v>
      </c>
      <c r="X513" s="3275">
        <v>291600</v>
      </c>
      <c r="Y513" s="3276">
        <v>2006</v>
      </c>
      <c r="Z513" s="3276">
        <v>6</v>
      </c>
      <c r="AA513" s="3276">
        <v>1</v>
      </c>
      <c r="AB513" s="3267">
        <v>1090</v>
      </c>
      <c r="AC513" s="3267" t="s">
        <v>2980</v>
      </c>
      <c r="AD513" s="3267"/>
      <c r="AE513" s="3279" t="s">
        <v>3304</v>
      </c>
      <c r="AF513" s="3268" t="s">
        <v>2966</v>
      </c>
      <c r="AG513" s="3279" t="s">
        <v>2967</v>
      </c>
      <c r="AH513" s="3267"/>
      <c r="AI513" s="3279" t="s">
        <v>2992</v>
      </c>
      <c r="AJ513" s="3284"/>
      <c r="AK513" s="3278">
        <v>6</v>
      </c>
      <c r="AL513" s="3276">
        <v>67641700</v>
      </c>
      <c r="AM513" s="3276"/>
      <c r="AN513" s="3279" t="s">
        <v>3131</v>
      </c>
      <c r="AO513" s="3267" t="s">
        <v>6741</v>
      </c>
      <c r="AP513" s="3279" t="s">
        <v>3305</v>
      </c>
      <c r="AQ513" s="3267" t="s">
        <v>3228</v>
      </c>
      <c r="AR513" s="3276"/>
      <c r="AS513" s="3276"/>
      <c r="AT513" s="3276"/>
      <c r="AU513" s="3276"/>
      <c r="AV513" s="3276"/>
      <c r="AW513" s="3276" t="s">
        <v>2997</v>
      </c>
      <c r="AX513" s="3276"/>
      <c r="AY513" s="3291"/>
      <c r="AZ513" s="3267" t="s">
        <v>6740</v>
      </c>
      <c r="BA513" s="3296"/>
      <c r="BB513" s="3297"/>
      <c r="BC513" s="3296"/>
      <c r="BD513" s="3298"/>
      <c r="BE513" s="3276" t="s">
        <v>6742</v>
      </c>
      <c r="BF513" s="3281"/>
      <c r="BG513" s="3293">
        <v>38841</v>
      </c>
      <c r="BH513" s="3267" t="s">
        <v>2998</v>
      </c>
      <c r="BI513" s="3314" t="s">
        <v>3305</v>
      </c>
      <c r="BJ513" s="3299">
        <v>38859</v>
      </c>
      <c r="BK513" s="3283"/>
      <c r="BL513" s="3267" t="s">
        <v>3249</v>
      </c>
      <c r="BM513" s="3276" t="s">
        <v>2879</v>
      </c>
      <c r="BN513" s="3276" t="s">
        <v>2999</v>
      </c>
      <c r="BO513" s="3276" t="s">
        <v>3146</v>
      </c>
      <c r="BP513" s="3276"/>
      <c r="BQ513" s="3276" t="e">
        <v>#DIV/0!</v>
      </c>
      <c r="BR513" s="3276" t="e">
        <v>#DIV/0!</v>
      </c>
      <c r="BS513" s="3285"/>
      <c r="BT513" s="3285"/>
      <c r="BU513" s="3285"/>
    </row>
    <row r="514" spans="1:73" hidden="1">
      <c r="A514" s="3267" t="s">
        <v>6743</v>
      </c>
      <c r="B514" s="3267" t="s">
        <v>6744</v>
      </c>
      <c r="C514" s="3269" t="s">
        <v>6745</v>
      </c>
      <c r="D514" s="3269" t="s">
        <v>6746</v>
      </c>
      <c r="E514" s="3268" t="s">
        <v>2985</v>
      </c>
      <c r="F514" s="3268" t="s">
        <v>4826</v>
      </c>
      <c r="G514" s="3267"/>
      <c r="H514" s="3268" t="s">
        <v>3127</v>
      </c>
      <c r="I514" s="3268"/>
      <c r="J514" s="3267" t="s">
        <v>6747</v>
      </c>
      <c r="K514" s="3267" t="s">
        <v>6748</v>
      </c>
      <c r="L514" s="3267">
        <v>75.53</v>
      </c>
      <c r="M514" s="3267">
        <v>7</v>
      </c>
      <c r="N514" s="3267" t="s">
        <v>3122</v>
      </c>
      <c r="O514" s="3267"/>
      <c r="P514" s="3267" t="s">
        <v>2963</v>
      </c>
      <c r="Q514" s="3271">
        <v>430000</v>
      </c>
      <c r="R514" s="3267">
        <v>5693</v>
      </c>
      <c r="S514" s="3272">
        <v>39.869999999999997</v>
      </c>
      <c r="T514" s="3273">
        <v>398700</v>
      </c>
      <c r="U514" s="3267">
        <v>5280</v>
      </c>
      <c r="V514" s="3289">
        <v>0.2</v>
      </c>
      <c r="W514" s="3272">
        <v>31.89</v>
      </c>
      <c r="X514" s="3275">
        <v>318900</v>
      </c>
      <c r="Y514" s="3276">
        <v>2006</v>
      </c>
      <c r="Z514" s="3276">
        <v>6</v>
      </c>
      <c r="AA514" s="3276">
        <v>7</v>
      </c>
      <c r="AB514" s="3267">
        <v>1195</v>
      </c>
      <c r="AC514" s="3267" t="s">
        <v>2980</v>
      </c>
      <c r="AD514" s="3267"/>
      <c r="AE514" s="3279" t="s">
        <v>3344</v>
      </c>
      <c r="AF514" s="3268" t="s">
        <v>2966</v>
      </c>
      <c r="AG514" s="3279" t="s">
        <v>2967</v>
      </c>
      <c r="AH514" s="3267"/>
      <c r="AI514" s="3279" t="s">
        <v>2992</v>
      </c>
      <c r="AJ514" s="3284"/>
      <c r="AK514" s="3278">
        <v>6</v>
      </c>
      <c r="AL514" s="3276">
        <v>67641700</v>
      </c>
      <c r="AM514" s="3276"/>
      <c r="AN514" s="3279" t="s">
        <v>3140</v>
      </c>
      <c r="AO514" s="3267"/>
      <c r="AP514" s="3279" t="s">
        <v>3305</v>
      </c>
      <c r="AQ514" s="3267" t="s">
        <v>3228</v>
      </c>
      <c r="AR514" s="3276"/>
      <c r="AS514" s="3276"/>
      <c r="AT514" s="3276"/>
      <c r="AU514" s="3276"/>
      <c r="AV514" s="3276"/>
      <c r="AW514" s="3276" t="s">
        <v>2997</v>
      </c>
      <c r="AX514" s="3276"/>
      <c r="AY514" s="3291"/>
      <c r="AZ514" s="3296" t="s">
        <v>6748</v>
      </c>
      <c r="BA514" s="3296"/>
      <c r="BB514" s="3297"/>
      <c r="BC514" s="3296"/>
      <c r="BD514" s="3298"/>
      <c r="BE514" s="3276" t="s">
        <v>6749</v>
      </c>
      <c r="BF514" s="3281"/>
      <c r="BG514" s="3293">
        <v>38829</v>
      </c>
      <c r="BH514" s="3267" t="s">
        <v>2998</v>
      </c>
      <c r="BI514" s="3314" t="s">
        <v>3305</v>
      </c>
      <c r="BJ514" s="3299">
        <v>38854</v>
      </c>
      <c r="BK514" s="3283"/>
      <c r="BL514" s="3267" t="s">
        <v>3249</v>
      </c>
      <c r="BM514" s="3276" t="s">
        <v>2879</v>
      </c>
      <c r="BN514" s="3276" t="s">
        <v>2999</v>
      </c>
      <c r="BO514" s="3276" t="s">
        <v>3146</v>
      </c>
      <c r="BP514" s="3276"/>
      <c r="BQ514" s="3276" t="e">
        <v>#DIV/0!</v>
      </c>
      <c r="BR514" s="3276" t="e">
        <v>#DIV/0!</v>
      </c>
      <c r="BS514" s="3285"/>
      <c r="BT514" s="3285"/>
      <c r="BU514" s="3285"/>
    </row>
    <row r="515" spans="1:73" hidden="1">
      <c r="A515" s="3267" t="s">
        <v>6750</v>
      </c>
      <c r="B515" s="3267" t="s">
        <v>6751</v>
      </c>
      <c r="C515" s="3269" t="s">
        <v>6752</v>
      </c>
      <c r="D515" s="3268">
        <v>13701018064</v>
      </c>
      <c r="E515" s="3267" t="s">
        <v>2985</v>
      </c>
      <c r="F515" s="3267" t="s">
        <v>3253</v>
      </c>
      <c r="G515" s="3267"/>
      <c r="H515" s="3270" t="s">
        <v>3124</v>
      </c>
      <c r="I515" s="3268" t="s">
        <v>3608</v>
      </c>
      <c r="J515" s="3270" t="s">
        <v>3151</v>
      </c>
      <c r="K515" s="3267" t="s">
        <v>6751</v>
      </c>
      <c r="L515" s="3286">
        <v>74.040000000000006</v>
      </c>
      <c r="M515" s="3270">
        <v>5</v>
      </c>
      <c r="N515" s="3267" t="s">
        <v>3122</v>
      </c>
      <c r="O515" s="3267">
        <v>64.87</v>
      </c>
      <c r="P515" s="3267" t="s">
        <v>2963</v>
      </c>
      <c r="Q515" s="3287">
        <v>310000</v>
      </c>
      <c r="R515" s="3288">
        <v>4187</v>
      </c>
      <c r="S515" s="3272">
        <v>29.61</v>
      </c>
      <c r="T515" s="3273">
        <v>296100</v>
      </c>
      <c r="U515" s="3287">
        <v>4000</v>
      </c>
      <c r="V515" s="3289">
        <v>0.2</v>
      </c>
      <c r="W515" s="3272">
        <v>23.68</v>
      </c>
      <c r="X515" s="3273">
        <v>236800</v>
      </c>
      <c r="Y515" s="3267">
        <v>2006</v>
      </c>
      <c r="Z515" s="3267">
        <v>5</v>
      </c>
      <c r="AA515" s="3276">
        <v>19</v>
      </c>
      <c r="AB515" s="3267">
        <v>885</v>
      </c>
      <c r="AC515" s="3267" t="s">
        <v>2980</v>
      </c>
      <c r="AD515" s="3267"/>
      <c r="AE515" s="3267" t="s">
        <v>3180</v>
      </c>
      <c r="AF515" s="3268" t="s">
        <v>2966</v>
      </c>
      <c r="AG515" s="3268" t="s">
        <v>2967</v>
      </c>
      <c r="AH515" s="3268" t="s">
        <v>6753</v>
      </c>
      <c r="AI515" s="3267" t="s">
        <v>2992</v>
      </c>
      <c r="AJ515" s="3284"/>
      <c r="AK515" s="3278" t="s">
        <v>3099</v>
      </c>
      <c r="AL515" s="3276">
        <v>67641700</v>
      </c>
      <c r="AM515" s="3276"/>
      <c r="AN515" s="3267" t="s">
        <v>3140</v>
      </c>
      <c r="AO515" s="3276" t="s">
        <v>2968</v>
      </c>
      <c r="AP515" s="3276" t="s">
        <v>3305</v>
      </c>
      <c r="AQ515" s="3267" t="s">
        <v>3113</v>
      </c>
      <c r="AR515" s="3267"/>
      <c r="AS515" s="3267"/>
      <c r="AT515" s="3267"/>
      <c r="AU515" s="3267"/>
      <c r="AV515" s="3267"/>
      <c r="AW515" s="3267" t="s">
        <v>3119</v>
      </c>
      <c r="AX515" s="3267"/>
      <c r="AY515" s="3291"/>
      <c r="AZ515" s="3267" t="s">
        <v>6754</v>
      </c>
      <c r="BA515" s="3267"/>
      <c r="BB515" s="3267"/>
      <c r="BC515" s="3267"/>
      <c r="BD515" s="3267"/>
      <c r="BE515" s="3267"/>
      <c r="BF515" s="3300"/>
      <c r="BG515" s="3290">
        <v>38819</v>
      </c>
      <c r="BH515" s="3267"/>
      <c r="BI515" s="3276" t="s">
        <v>4230</v>
      </c>
      <c r="BJ515" s="3284">
        <v>38855</v>
      </c>
      <c r="BK515" s="3284"/>
      <c r="BL515" s="3267" t="s">
        <v>2998</v>
      </c>
      <c r="BM515" s="3267" t="s">
        <v>2879</v>
      </c>
      <c r="BN515" s="3267" t="s">
        <v>2999</v>
      </c>
      <c r="BO515" s="3267" t="s">
        <v>3146</v>
      </c>
      <c r="BP515" s="3267"/>
      <c r="BQ515" s="3276">
        <v>4565</v>
      </c>
      <c r="BR515" s="3276">
        <v>4779</v>
      </c>
      <c r="BS515" s="3285"/>
      <c r="BT515" s="3285"/>
      <c r="BU515" s="3285"/>
    </row>
    <row r="516" spans="1:73" hidden="1">
      <c r="A516" s="3267" t="s">
        <v>6755</v>
      </c>
      <c r="B516" s="3267" t="s">
        <v>6756</v>
      </c>
      <c r="C516" s="3269" t="s">
        <v>6757</v>
      </c>
      <c r="D516" s="3269" t="s">
        <v>6758</v>
      </c>
      <c r="E516" s="3267" t="s">
        <v>2985</v>
      </c>
      <c r="F516" s="3267" t="s">
        <v>4198</v>
      </c>
      <c r="G516" s="3267"/>
      <c r="H516" s="3267" t="s">
        <v>3127</v>
      </c>
      <c r="I516" s="3267"/>
      <c r="J516" s="3269" t="s">
        <v>6759</v>
      </c>
      <c r="K516" s="3267" t="s">
        <v>6756</v>
      </c>
      <c r="L516" s="3286">
        <v>105.65</v>
      </c>
      <c r="M516" s="3267">
        <v>16</v>
      </c>
      <c r="N516" s="3268" t="s">
        <v>3098</v>
      </c>
      <c r="O516" s="3267"/>
      <c r="P516" s="3267" t="s">
        <v>2963</v>
      </c>
      <c r="Q516" s="3287">
        <v>850000</v>
      </c>
      <c r="R516" s="3267">
        <v>8045</v>
      </c>
      <c r="S516" s="3272">
        <v>70.97</v>
      </c>
      <c r="T516" s="3273">
        <v>709700</v>
      </c>
      <c r="U516" s="3267">
        <v>6718</v>
      </c>
      <c r="V516" s="3289">
        <v>0.2</v>
      </c>
      <c r="W516" s="3272">
        <v>56.77</v>
      </c>
      <c r="X516" s="3275">
        <v>567700</v>
      </c>
      <c r="Y516" s="3276">
        <v>2006</v>
      </c>
      <c r="Z516" s="3276">
        <v>6</v>
      </c>
      <c r="AA516" s="3276">
        <v>15</v>
      </c>
      <c r="AB516" s="3267">
        <v>1500</v>
      </c>
      <c r="AC516" s="3267" t="s">
        <v>2980</v>
      </c>
      <c r="AD516" s="3267"/>
      <c r="AE516" s="3276" t="s">
        <v>3304</v>
      </c>
      <c r="AF516" s="3267" t="s">
        <v>2966</v>
      </c>
      <c r="AG516" s="3279" t="s">
        <v>2967</v>
      </c>
      <c r="AH516" s="3267"/>
      <c r="AI516" s="3267" t="s">
        <v>3295</v>
      </c>
      <c r="AJ516" s="3284"/>
      <c r="AK516" s="3316" t="s">
        <v>3160</v>
      </c>
      <c r="AL516" s="3267">
        <v>67641700</v>
      </c>
      <c r="AM516" s="3267"/>
      <c r="AN516" s="3279" t="s">
        <v>3114</v>
      </c>
      <c r="AO516" s="3267"/>
      <c r="AP516" s="3267" t="s">
        <v>3342</v>
      </c>
      <c r="AQ516" s="3267" t="s">
        <v>3228</v>
      </c>
      <c r="AR516" s="3276"/>
      <c r="AS516" s="3276"/>
      <c r="AT516" s="3276"/>
      <c r="AU516" s="3276"/>
      <c r="AV516" s="3276"/>
      <c r="AW516" s="3276" t="s">
        <v>2968</v>
      </c>
      <c r="AX516" s="3276"/>
      <c r="AY516" s="3291"/>
      <c r="AZ516" s="3267" t="s">
        <v>6760</v>
      </c>
      <c r="BA516" s="3276"/>
      <c r="BB516" s="3291"/>
      <c r="BC516" s="3276"/>
      <c r="BD516" s="3292"/>
      <c r="BE516" s="3276"/>
      <c r="BF516" s="3281"/>
      <c r="BG516" s="3299">
        <v>38855</v>
      </c>
      <c r="BH516" s="3276"/>
      <c r="BI516" s="3267" t="s">
        <v>3342</v>
      </c>
      <c r="BJ516" s="3283">
        <v>38855</v>
      </c>
      <c r="BK516" s="3283"/>
      <c r="BL516" s="3267" t="s">
        <v>2998</v>
      </c>
      <c r="BM516" s="3276" t="s">
        <v>2879</v>
      </c>
      <c r="BN516" s="3276" t="s">
        <v>2999</v>
      </c>
      <c r="BO516" s="3276" t="s">
        <v>3146</v>
      </c>
      <c r="BP516" s="3276"/>
      <c r="BQ516" s="3276"/>
      <c r="BR516" s="3276"/>
      <c r="BS516" s="3285"/>
      <c r="BT516" s="3285"/>
      <c r="BU516" s="3285"/>
    </row>
    <row r="517" spans="1:73" hidden="1">
      <c r="A517" s="3268" t="s">
        <v>6761</v>
      </c>
      <c r="B517" s="3267" t="s">
        <v>4464</v>
      </c>
      <c r="C517" s="3269" t="s">
        <v>6762</v>
      </c>
      <c r="D517" s="3269" t="s">
        <v>6763</v>
      </c>
      <c r="E517" s="3267" t="s">
        <v>2985</v>
      </c>
      <c r="F517" s="3244" t="s">
        <v>5256</v>
      </c>
      <c r="G517" s="3267"/>
      <c r="H517" s="3267" t="s">
        <v>3244</v>
      </c>
      <c r="I517" s="3267"/>
      <c r="J517" s="3269" t="s">
        <v>6764</v>
      </c>
      <c r="K517" s="3267" t="s">
        <v>6765</v>
      </c>
      <c r="L517" s="3267">
        <v>41.62</v>
      </c>
      <c r="M517" s="3267">
        <v>5</v>
      </c>
      <c r="N517" s="3267" t="s">
        <v>4699</v>
      </c>
      <c r="O517" s="3267"/>
      <c r="P517" s="3267" t="s">
        <v>2963</v>
      </c>
      <c r="Q517" s="3271">
        <v>295000</v>
      </c>
      <c r="R517" s="3267">
        <v>7088</v>
      </c>
      <c r="S517" s="3272">
        <v>23.83</v>
      </c>
      <c r="T517" s="3273">
        <v>238300</v>
      </c>
      <c r="U517" s="3267">
        <v>5727</v>
      </c>
      <c r="V517" s="3289">
        <v>0.2</v>
      </c>
      <c r="W517" s="3272">
        <v>19.059999999999999</v>
      </c>
      <c r="X517" s="3275">
        <v>190600</v>
      </c>
      <c r="Y517" s="3276">
        <v>2006</v>
      </c>
      <c r="Z517" s="3276">
        <v>6</v>
      </c>
      <c r="AA517" s="3276">
        <v>1</v>
      </c>
      <c r="AB517" s="3267">
        <v>710</v>
      </c>
      <c r="AC517" s="3267" t="s">
        <v>2980</v>
      </c>
      <c r="AD517" s="3267"/>
      <c r="AE517" s="3276" t="s">
        <v>3121</v>
      </c>
      <c r="AF517" s="3267" t="s">
        <v>2966</v>
      </c>
      <c r="AG517" s="3267" t="s">
        <v>2967</v>
      </c>
      <c r="AH517" s="3267"/>
      <c r="AI517" s="3267" t="s">
        <v>3245</v>
      </c>
      <c r="AJ517" s="3284"/>
      <c r="AK517" s="3278">
        <v>6</v>
      </c>
      <c r="AL517" s="3269">
        <v>67641700</v>
      </c>
      <c r="AM517" s="3276"/>
      <c r="AN517" s="3279" t="s">
        <v>3131</v>
      </c>
      <c r="AO517" s="3276"/>
      <c r="AP517" s="3267" t="s">
        <v>3180</v>
      </c>
      <c r="AQ517" s="3276" t="s">
        <v>2996</v>
      </c>
      <c r="AR517" s="3276"/>
      <c r="AS517" s="3276"/>
      <c r="AT517" s="3276"/>
      <c r="AU517" s="3276"/>
      <c r="AV517" s="3276"/>
      <c r="AW517" s="3267" t="s">
        <v>3112</v>
      </c>
      <c r="AX517" s="3276"/>
      <c r="AY517" s="3291"/>
      <c r="AZ517" s="3276" t="s">
        <v>6766</v>
      </c>
      <c r="BA517" s="3276"/>
      <c r="BB517" s="3291"/>
      <c r="BC517" s="3276"/>
      <c r="BD517" s="3292"/>
      <c r="BE517" s="3276"/>
      <c r="BF517" s="3281"/>
      <c r="BG517" s="3307">
        <v>38845</v>
      </c>
      <c r="BH517" s="3276"/>
      <c r="BI517" s="3276" t="s">
        <v>3537</v>
      </c>
      <c r="BJ517" s="3299">
        <v>38855</v>
      </c>
      <c r="BK517" s="3283"/>
      <c r="BL517" s="3267" t="s">
        <v>2998</v>
      </c>
      <c r="BM517" s="3276" t="s">
        <v>2879</v>
      </c>
      <c r="BN517" s="3276" t="s">
        <v>2999</v>
      </c>
      <c r="BO517" s="3276" t="s">
        <v>3146</v>
      </c>
      <c r="BP517" s="3276"/>
      <c r="BQ517" s="3276" t="e">
        <v>#DIV/0!</v>
      </c>
      <c r="BR517" s="3276" t="e">
        <v>#DIV/0!</v>
      </c>
      <c r="BS517" s="3285"/>
      <c r="BT517" s="3285"/>
      <c r="BU517" s="3285"/>
    </row>
    <row r="518" spans="1:73" hidden="1">
      <c r="A518" s="3268" t="s">
        <v>6767</v>
      </c>
      <c r="B518" s="3267" t="s">
        <v>6768</v>
      </c>
      <c r="C518" s="3269" t="s">
        <v>6769</v>
      </c>
      <c r="D518" s="3269" t="s">
        <v>6770</v>
      </c>
      <c r="E518" s="3267" t="s">
        <v>2985</v>
      </c>
      <c r="F518" s="3308" t="s">
        <v>3904</v>
      </c>
      <c r="G518" s="3267" t="s">
        <v>3262</v>
      </c>
      <c r="H518" s="3267" t="s">
        <v>3118</v>
      </c>
      <c r="I518" s="3268" t="s">
        <v>3254</v>
      </c>
      <c r="J518" s="3267">
        <v>501</v>
      </c>
      <c r="K518" s="3268" t="s">
        <v>6771</v>
      </c>
      <c r="L518" s="3267">
        <v>56.23</v>
      </c>
      <c r="M518" s="3267">
        <v>5</v>
      </c>
      <c r="N518" s="3268" t="s">
        <v>3122</v>
      </c>
      <c r="O518" s="3267"/>
      <c r="P518" s="3267" t="s">
        <v>2963</v>
      </c>
      <c r="Q518" s="3271">
        <v>420000</v>
      </c>
      <c r="R518" s="3267">
        <v>7469</v>
      </c>
      <c r="S518" s="3272">
        <v>38.5</v>
      </c>
      <c r="T518" s="3273">
        <v>385000</v>
      </c>
      <c r="U518" s="3267">
        <v>6847</v>
      </c>
      <c r="V518" s="3274">
        <v>0.2</v>
      </c>
      <c r="W518" s="3272">
        <v>30.8</v>
      </c>
      <c r="X518" s="3275">
        <v>308000</v>
      </c>
      <c r="Y518" s="3276">
        <v>2006</v>
      </c>
      <c r="Z518" s="3276">
        <v>6</v>
      </c>
      <c r="AA518" s="3276">
        <v>29</v>
      </c>
      <c r="AB518" s="3267">
        <v>1155</v>
      </c>
      <c r="AC518" s="3267" t="s">
        <v>2980</v>
      </c>
      <c r="AD518" s="3369" t="s">
        <v>3262</v>
      </c>
      <c r="AE518" s="3267" t="s">
        <v>3304</v>
      </c>
      <c r="AF518" s="3267" t="s">
        <v>2966</v>
      </c>
      <c r="AG518" s="3279" t="s">
        <v>2967</v>
      </c>
      <c r="AH518" s="3267" t="s">
        <v>2968</v>
      </c>
      <c r="AI518" s="3268" t="s">
        <v>2992</v>
      </c>
      <c r="AJ518" s="3284"/>
      <c r="AK518" s="3278" t="s">
        <v>3160</v>
      </c>
      <c r="AL518" s="3267">
        <v>67641700</v>
      </c>
      <c r="AM518" s="3276" t="s">
        <v>3262</v>
      </c>
      <c r="AN518" s="3279" t="s">
        <v>3099</v>
      </c>
      <c r="AO518" s="3269"/>
      <c r="AP518" s="3267" t="s">
        <v>3305</v>
      </c>
      <c r="AQ518" s="3267" t="s">
        <v>3228</v>
      </c>
      <c r="AR518" s="3276"/>
      <c r="AS518" s="3276"/>
      <c r="AT518" s="3276"/>
      <c r="AU518" s="3276"/>
      <c r="AV518" s="3276" t="s">
        <v>3262</v>
      </c>
      <c r="AW518" s="3276" t="s">
        <v>2997</v>
      </c>
      <c r="AX518" s="3276"/>
      <c r="AY518" s="3291"/>
      <c r="AZ518" s="3268" t="s">
        <v>6771</v>
      </c>
      <c r="BA518" s="3276"/>
      <c r="BB518" s="3291"/>
      <c r="BC518" s="3276"/>
      <c r="BD518" s="3292"/>
      <c r="BE518" s="3276"/>
      <c r="BF518" s="3281"/>
      <c r="BG518" s="3299">
        <v>38855</v>
      </c>
      <c r="BH518" s="3276" t="s">
        <v>2998</v>
      </c>
      <c r="BI518" s="3314" t="s">
        <v>4230</v>
      </c>
      <c r="BJ518" s="3299">
        <v>38863</v>
      </c>
      <c r="BK518" s="3283" t="s">
        <v>3262</v>
      </c>
      <c r="BL518" s="3267" t="s">
        <v>3249</v>
      </c>
      <c r="BM518" s="3276" t="s">
        <v>2879</v>
      </c>
      <c r="BN518" s="3276" t="s">
        <v>2999</v>
      </c>
      <c r="BO518" s="3276" t="s">
        <v>3000</v>
      </c>
      <c r="BP518" s="3276"/>
      <c r="BQ518" s="3276" t="e">
        <v>#DIV/0!</v>
      </c>
      <c r="BR518" s="3276" t="e">
        <v>#DIV/0!</v>
      </c>
      <c r="BS518" s="3285"/>
      <c r="BT518" s="3285"/>
      <c r="BU518" s="3285"/>
    </row>
    <row r="519" spans="1:73">
      <c r="A519" s="3267" t="s">
        <v>6772</v>
      </c>
      <c r="B519" s="3267" t="s">
        <v>6773</v>
      </c>
      <c r="C519" s="3269" t="s">
        <v>6774</v>
      </c>
      <c r="D519" s="3269">
        <v>13121966169</v>
      </c>
      <c r="E519" s="3268" t="s">
        <v>2985</v>
      </c>
      <c r="F519" s="3268" t="s">
        <v>5560</v>
      </c>
      <c r="G519" s="3267"/>
      <c r="H519" s="3267" t="s">
        <v>3194</v>
      </c>
      <c r="I519" s="3268"/>
      <c r="J519" s="3267" t="s">
        <v>6775</v>
      </c>
      <c r="K519" s="3267" t="s">
        <v>6776</v>
      </c>
      <c r="L519" s="3267">
        <v>66.7</v>
      </c>
      <c r="M519" s="3267">
        <v>22</v>
      </c>
      <c r="N519" s="3267" t="s">
        <v>3152</v>
      </c>
      <c r="O519" s="3267"/>
      <c r="P519" s="3267" t="s">
        <v>2963</v>
      </c>
      <c r="Q519" s="3271">
        <v>445500</v>
      </c>
      <c r="R519" s="3267">
        <v>6679</v>
      </c>
      <c r="S519" s="3272">
        <v>38.36</v>
      </c>
      <c r="T519" s="3273">
        <v>383600</v>
      </c>
      <c r="U519" s="3267">
        <v>5752</v>
      </c>
      <c r="V519" s="3289">
        <v>0.2</v>
      </c>
      <c r="W519" s="3272">
        <v>30.68</v>
      </c>
      <c r="X519" s="3275">
        <v>306800</v>
      </c>
      <c r="Y519" s="3276">
        <v>2006</v>
      </c>
      <c r="Z519" s="3276">
        <v>6</v>
      </c>
      <c r="AA519" s="3276">
        <v>7</v>
      </c>
      <c r="AB519" s="3267">
        <v>1150</v>
      </c>
      <c r="AC519" s="3267" t="s">
        <v>2980</v>
      </c>
      <c r="AD519" s="3267"/>
      <c r="AE519" s="3279" t="s">
        <v>3304</v>
      </c>
      <c r="AF519" s="3268" t="s">
        <v>2966</v>
      </c>
      <c r="AG519" s="3279" t="s">
        <v>2967</v>
      </c>
      <c r="AH519" s="3267"/>
      <c r="AI519" s="3279" t="s">
        <v>2992</v>
      </c>
      <c r="AJ519" s="3284"/>
      <c r="AK519" s="3278">
        <v>6</v>
      </c>
      <c r="AL519" s="3276">
        <v>67641700</v>
      </c>
      <c r="AM519" s="3276"/>
      <c r="AN519" s="3279" t="s">
        <v>3140</v>
      </c>
      <c r="AO519" s="3267" t="s">
        <v>2968</v>
      </c>
      <c r="AP519" s="3279" t="s">
        <v>3305</v>
      </c>
      <c r="AQ519" s="3267" t="s">
        <v>3228</v>
      </c>
      <c r="AR519" s="3276"/>
      <c r="AS519" s="3276"/>
      <c r="AT519" s="3276"/>
      <c r="AU519" s="3276"/>
      <c r="AV519" s="3276"/>
      <c r="AW519" s="3276" t="s">
        <v>2997</v>
      </c>
      <c r="AX519" s="3276"/>
      <c r="AY519" s="3291"/>
      <c r="AZ519" s="3267" t="s">
        <v>6776</v>
      </c>
      <c r="BA519" s="3296"/>
      <c r="BB519" s="3297"/>
      <c r="BC519" s="3296"/>
      <c r="BD519" s="3298"/>
      <c r="BE519" s="3276">
        <v>13601034136</v>
      </c>
      <c r="BF519" s="3281"/>
      <c r="BG519" s="3293">
        <v>38833</v>
      </c>
      <c r="BH519" s="3267" t="s">
        <v>2998</v>
      </c>
      <c r="BI519" s="3314" t="s">
        <v>3305</v>
      </c>
      <c r="BJ519" s="3283">
        <v>38856</v>
      </c>
      <c r="BK519" s="3283"/>
      <c r="BL519" s="3267" t="s">
        <v>3249</v>
      </c>
      <c r="BM519" s="3276" t="s">
        <v>2879</v>
      </c>
      <c r="BN519" s="3276" t="s">
        <v>2999</v>
      </c>
      <c r="BO519" s="3276" t="s">
        <v>3146</v>
      </c>
      <c r="BP519" s="3276"/>
      <c r="BQ519" s="3276" t="e">
        <v>#DIV/0!</v>
      </c>
      <c r="BR519" s="3276" t="e">
        <v>#DIV/0!</v>
      </c>
      <c r="BS519" s="3285"/>
      <c r="BT519" s="3285"/>
      <c r="BU519" s="3285"/>
    </row>
    <row r="520" spans="1:73" hidden="1">
      <c r="A520" s="3267" t="s">
        <v>6777</v>
      </c>
      <c r="B520" s="3267" t="s">
        <v>6778</v>
      </c>
      <c r="C520" s="3269" t="s">
        <v>6779</v>
      </c>
      <c r="D520" s="3269" t="s">
        <v>6780</v>
      </c>
      <c r="E520" s="3268" t="s">
        <v>2985</v>
      </c>
      <c r="F520" s="3268" t="s">
        <v>6781</v>
      </c>
      <c r="G520" s="3267"/>
      <c r="H520" s="3268" t="s">
        <v>3402</v>
      </c>
      <c r="I520" s="3268"/>
      <c r="J520" s="3267" t="s">
        <v>3301</v>
      </c>
      <c r="K520" s="3267" t="s">
        <v>6782</v>
      </c>
      <c r="L520" s="3267">
        <v>86.44</v>
      </c>
      <c r="M520" s="3267">
        <v>4</v>
      </c>
      <c r="N520" s="3267" t="s">
        <v>3122</v>
      </c>
      <c r="O520" s="3267">
        <v>65.760000000000005</v>
      </c>
      <c r="P520" s="3267" t="s">
        <v>2963</v>
      </c>
      <c r="Q520" s="3271">
        <v>450000</v>
      </c>
      <c r="R520" s="3267">
        <v>5206</v>
      </c>
      <c r="S520" s="3272">
        <v>43.22</v>
      </c>
      <c r="T520" s="3273">
        <v>432200</v>
      </c>
      <c r="U520" s="3267">
        <v>5000</v>
      </c>
      <c r="V520" s="3289">
        <v>0.2</v>
      </c>
      <c r="W520" s="3272">
        <v>34.57</v>
      </c>
      <c r="X520" s="3275">
        <v>345700</v>
      </c>
      <c r="Y520" s="3276">
        <v>2006</v>
      </c>
      <c r="Z520" s="3276">
        <v>5</v>
      </c>
      <c r="AA520" s="3276">
        <v>22</v>
      </c>
      <c r="AB520" s="3267">
        <v>1295</v>
      </c>
      <c r="AC520" s="3267" t="s">
        <v>2980</v>
      </c>
      <c r="AD520" s="3267"/>
      <c r="AE520" s="3279" t="s">
        <v>3180</v>
      </c>
      <c r="AF520" s="3268" t="s">
        <v>2966</v>
      </c>
      <c r="AG520" s="3279" t="s">
        <v>2967</v>
      </c>
      <c r="AH520" s="3267"/>
      <c r="AI520" s="3279" t="s">
        <v>2992</v>
      </c>
      <c r="AJ520" s="3284"/>
      <c r="AK520" s="3278">
        <v>5</v>
      </c>
      <c r="AL520" s="3276">
        <v>67641700</v>
      </c>
      <c r="AM520" s="3276"/>
      <c r="AN520" s="3279" t="s">
        <v>3114</v>
      </c>
      <c r="AO520" s="3267" t="s">
        <v>2968</v>
      </c>
      <c r="AP520" s="3279" t="s">
        <v>3305</v>
      </c>
      <c r="AQ520" s="3276" t="s">
        <v>3113</v>
      </c>
      <c r="AR520" s="3276"/>
      <c r="AS520" s="3276"/>
      <c r="AT520" s="3276"/>
      <c r="AU520" s="3276"/>
      <c r="AV520" s="3276"/>
      <c r="AW520" s="3276" t="s">
        <v>3119</v>
      </c>
      <c r="AX520" s="3276"/>
      <c r="AY520" s="3291"/>
      <c r="AZ520" s="3267" t="s">
        <v>6782</v>
      </c>
      <c r="BA520" s="3296" t="s">
        <v>2968</v>
      </c>
      <c r="BB520" s="3297" t="s">
        <v>2968</v>
      </c>
      <c r="BC520" s="3296" t="s">
        <v>2968</v>
      </c>
      <c r="BD520" s="3298" t="s">
        <v>2968</v>
      </c>
      <c r="BE520" s="3276" t="s">
        <v>2968</v>
      </c>
      <c r="BF520" s="3281" t="s">
        <v>2968</v>
      </c>
      <c r="BG520" s="3293">
        <v>38847</v>
      </c>
      <c r="BH520" s="3267" t="s">
        <v>2998</v>
      </c>
      <c r="BI520" s="3314" t="s">
        <v>3305</v>
      </c>
      <c r="BJ520" s="3283">
        <v>38856</v>
      </c>
      <c r="BK520" s="3283"/>
      <c r="BL520" s="3267" t="s">
        <v>3249</v>
      </c>
      <c r="BM520" s="3276"/>
      <c r="BN520" s="3276"/>
      <c r="BO520" s="3276"/>
      <c r="BP520" s="3276"/>
      <c r="BQ520" s="3276">
        <v>6572</v>
      </c>
      <c r="BR520" s="3276">
        <v>6843</v>
      </c>
      <c r="BS520" s="3285"/>
      <c r="BT520" s="3285"/>
      <c r="BU520" s="3285"/>
    </row>
    <row r="521" spans="1:73" hidden="1">
      <c r="A521" s="3267" t="s">
        <v>6783</v>
      </c>
      <c r="B521" s="3267" t="s">
        <v>6784</v>
      </c>
      <c r="C521" s="3269" t="s">
        <v>6785</v>
      </c>
      <c r="D521" s="3269">
        <v>13381318546</v>
      </c>
      <c r="E521" s="3268" t="s">
        <v>2985</v>
      </c>
      <c r="F521" s="3268" t="s">
        <v>4252</v>
      </c>
      <c r="G521" s="3267"/>
      <c r="H521" s="3267" t="s">
        <v>3927</v>
      </c>
      <c r="I521" s="3268"/>
      <c r="J521" s="3267" t="s">
        <v>6786</v>
      </c>
      <c r="K521" s="3267" t="s">
        <v>6787</v>
      </c>
      <c r="L521" s="3267">
        <v>89.11</v>
      </c>
      <c r="M521" s="3267">
        <v>11</v>
      </c>
      <c r="N521" s="3267" t="s">
        <v>3125</v>
      </c>
      <c r="O521" s="3267"/>
      <c r="P521" s="3267" t="s">
        <v>2963</v>
      </c>
      <c r="Q521" s="3271">
        <v>660000</v>
      </c>
      <c r="R521" s="3267">
        <v>7407</v>
      </c>
      <c r="S521" s="3272">
        <v>56.32</v>
      </c>
      <c r="T521" s="3273">
        <v>563200</v>
      </c>
      <c r="U521" s="3267">
        <v>6321</v>
      </c>
      <c r="V521" s="3289">
        <v>0.2</v>
      </c>
      <c r="W521" s="3272">
        <v>45.05</v>
      </c>
      <c r="X521" s="3275">
        <v>450500</v>
      </c>
      <c r="Y521" s="3276">
        <v>2006</v>
      </c>
      <c r="Z521" s="3276">
        <v>6</v>
      </c>
      <c r="AA521" s="3276">
        <v>5</v>
      </c>
      <c r="AB521" s="3267">
        <v>1500</v>
      </c>
      <c r="AC521" s="3267" t="s">
        <v>2980</v>
      </c>
      <c r="AD521" s="3267"/>
      <c r="AE521" s="3279" t="s">
        <v>3304</v>
      </c>
      <c r="AF521" s="3268" t="s">
        <v>2966</v>
      </c>
      <c r="AG521" s="3279" t="s">
        <v>2967</v>
      </c>
      <c r="AH521" s="3267"/>
      <c r="AI521" s="3279" t="s">
        <v>2992</v>
      </c>
      <c r="AJ521" s="3284"/>
      <c r="AK521" s="3278">
        <v>6</v>
      </c>
      <c r="AL521" s="3276">
        <v>67641700</v>
      </c>
      <c r="AM521" s="3276"/>
      <c r="AN521" s="3279" t="s">
        <v>3140</v>
      </c>
      <c r="AO521" s="3267" t="s">
        <v>2968</v>
      </c>
      <c r="AP521" s="3279" t="s">
        <v>3305</v>
      </c>
      <c r="AQ521" s="3267" t="s">
        <v>3228</v>
      </c>
      <c r="AR521" s="3276"/>
      <c r="AS521" s="3276"/>
      <c r="AT521" s="3276"/>
      <c r="AU521" s="3276"/>
      <c r="AV521" s="3276"/>
      <c r="AW521" s="3276" t="s">
        <v>2997</v>
      </c>
      <c r="AX521" s="3276"/>
      <c r="AY521" s="3291"/>
      <c r="AZ521" s="3267" t="s">
        <v>6787</v>
      </c>
      <c r="BA521" s="3296"/>
      <c r="BB521" s="3297"/>
      <c r="BC521" s="3296"/>
      <c r="BD521" s="3298"/>
      <c r="BE521" s="3276"/>
      <c r="BF521" s="3281"/>
      <c r="BG521" s="3293">
        <v>38854</v>
      </c>
      <c r="BH521" s="3267" t="s">
        <v>2998</v>
      </c>
      <c r="BI521" s="3314" t="s">
        <v>3305</v>
      </c>
      <c r="BJ521" s="3283">
        <v>38856</v>
      </c>
      <c r="BK521" s="3283"/>
      <c r="BL521" s="3267" t="s">
        <v>3249</v>
      </c>
      <c r="BM521" s="3276" t="s">
        <v>2879</v>
      </c>
      <c r="BN521" s="3276" t="s">
        <v>2999</v>
      </c>
      <c r="BO521" s="3276" t="s">
        <v>3146</v>
      </c>
      <c r="BP521" s="3276"/>
      <c r="BQ521" s="3276" t="e">
        <v>#DIV/0!</v>
      </c>
      <c r="BR521" s="3276" t="e">
        <v>#DIV/0!</v>
      </c>
      <c r="BS521" s="3285"/>
      <c r="BT521" s="3285"/>
      <c r="BU521" s="3285"/>
    </row>
    <row r="522" spans="1:73" hidden="1">
      <c r="A522" s="3268" t="s">
        <v>6788</v>
      </c>
      <c r="B522" s="3267" t="s">
        <v>6789</v>
      </c>
      <c r="C522" s="3269" t="s">
        <v>6790</v>
      </c>
      <c r="D522" s="3267">
        <v>13801095936</v>
      </c>
      <c r="E522" s="3267" t="s">
        <v>2985</v>
      </c>
      <c r="F522" s="3267" t="s">
        <v>6227</v>
      </c>
      <c r="G522" s="3267"/>
      <c r="H522" s="3267" t="s">
        <v>6791</v>
      </c>
      <c r="I522" s="3267"/>
      <c r="J522" s="3268">
        <v>1303</v>
      </c>
      <c r="K522" s="3268" t="s">
        <v>6789</v>
      </c>
      <c r="L522" s="3300">
        <v>114.86</v>
      </c>
      <c r="M522" s="3267">
        <v>13</v>
      </c>
      <c r="N522" s="3267" t="s">
        <v>3303</v>
      </c>
      <c r="O522" s="3267"/>
      <c r="P522" s="3267" t="s">
        <v>2963</v>
      </c>
      <c r="Q522" s="3317">
        <v>700000</v>
      </c>
      <c r="R522" s="3267">
        <v>6094</v>
      </c>
      <c r="S522" s="3318">
        <v>69.77</v>
      </c>
      <c r="T522" s="3273">
        <v>697700</v>
      </c>
      <c r="U522" s="3317">
        <v>6075</v>
      </c>
      <c r="V522" s="3289">
        <v>0.2</v>
      </c>
      <c r="W522" s="3318">
        <v>55.81</v>
      </c>
      <c r="X522" s="3273">
        <v>558100</v>
      </c>
      <c r="Y522" s="3276">
        <v>2006</v>
      </c>
      <c r="Z522" s="3276">
        <v>5</v>
      </c>
      <c r="AA522" s="3276">
        <v>31</v>
      </c>
      <c r="AB522" s="3267">
        <v>1500</v>
      </c>
      <c r="AC522" s="3267" t="s">
        <v>2980</v>
      </c>
      <c r="AD522" s="3267"/>
      <c r="AE522" s="3276" t="s">
        <v>3304</v>
      </c>
      <c r="AF522" s="3267" t="s">
        <v>2966</v>
      </c>
      <c r="AG522" s="3267" t="s">
        <v>2967</v>
      </c>
      <c r="AH522" s="3267"/>
      <c r="AI522" s="3267" t="s">
        <v>3115</v>
      </c>
      <c r="AJ522" s="3267"/>
      <c r="AK522" s="3278">
        <v>5</v>
      </c>
      <c r="AL522" s="3269">
        <v>67641700</v>
      </c>
      <c r="AM522" s="3267" t="s">
        <v>2968</v>
      </c>
      <c r="AN522" s="3279" t="s">
        <v>2994</v>
      </c>
      <c r="AO522" s="3267"/>
      <c r="AP522" s="3276" t="s">
        <v>3342</v>
      </c>
      <c r="AQ522" s="3267" t="s">
        <v>3228</v>
      </c>
      <c r="AR522" s="3267"/>
      <c r="AS522" s="3267"/>
      <c r="AT522" s="3267"/>
      <c r="AU522" s="3267"/>
      <c r="AV522" s="3267"/>
      <c r="AW522" s="3267" t="s">
        <v>3112</v>
      </c>
      <c r="AX522" s="3267"/>
      <c r="AY522" s="3267"/>
      <c r="AZ522" s="3267" t="s">
        <v>6792</v>
      </c>
      <c r="BA522" s="3267"/>
      <c r="BB522" s="3267"/>
      <c r="BC522" s="3267"/>
      <c r="BD522" s="3267"/>
      <c r="BE522" s="3267"/>
      <c r="BF522" s="3267"/>
      <c r="BG522" s="3283">
        <v>38852</v>
      </c>
      <c r="BH522" s="3269"/>
      <c r="BI522" s="3267" t="s">
        <v>3537</v>
      </c>
      <c r="BJ522" s="3299">
        <v>38856</v>
      </c>
      <c r="BK522" s="3284"/>
      <c r="BL522" s="3267" t="s">
        <v>2998</v>
      </c>
      <c r="BM522" s="3267" t="s">
        <v>3345</v>
      </c>
      <c r="BN522" s="3267" t="s">
        <v>2999</v>
      </c>
      <c r="BO522" s="3267" t="s">
        <v>3000</v>
      </c>
      <c r="BP522" s="3267"/>
      <c r="BQ522" s="3276"/>
      <c r="BR522" s="3276"/>
      <c r="BS522" s="3285"/>
      <c r="BT522" s="3285"/>
      <c r="BU522" s="3285"/>
    </row>
    <row r="523" spans="1:73">
      <c r="A523" s="3267" t="s">
        <v>6793</v>
      </c>
      <c r="B523" s="3268" t="s">
        <v>6794</v>
      </c>
      <c r="C523" s="3269" t="s">
        <v>6795</v>
      </c>
      <c r="D523" s="3268">
        <v>13911833748</v>
      </c>
      <c r="E523" s="3268" t="s">
        <v>2985</v>
      </c>
      <c r="F523" s="3268" t="s">
        <v>3542</v>
      </c>
      <c r="G523" s="3268"/>
      <c r="H523" s="3268" t="s">
        <v>3169</v>
      </c>
      <c r="I523" s="3268"/>
      <c r="J523" s="3268" t="s">
        <v>6796</v>
      </c>
      <c r="K523" s="3268" t="s">
        <v>6797</v>
      </c>
      <c r="L523" s="3270">
        <v>50.64</v>
      </c>
      <c r="M523" s="3270">
        <v>14</v>
      </c>
      <c r="N523" s="3267" t="s">
        <v>3152</v>
      </c>
      <c r="O523" s="3270"/>
      <c r="P523" s="3267" t="s">
        <v>2963</v>
      </c>
      <c r="Q523" s="3271">
        <v>395000</v>
      </c>
      <c r="R523" s="3267">
        <v>7800</v>
      </c>
      <c r="S523" s="3272">
        <v>33.79</v>
      </c>
      <c r="T523" s="3273">
        <v>337900</v>
      </c>
      <c r="U523" s="3267">
        <v>6673</v>
      </c>
      <c r="V523" s="3289">
        <v>0.2</v>
      </c>
      <c r="W523" s="3272">
        <v>27.03</v>
      </c>
      <c r="X523" s="3275">
        <v>270300</v>
      </c>
      <c r="Y523" s="3276">
        <v>2006</v>
      </c>
      <c r="Z523" s="3276">
        <v>6</v>
      </c>
      <c r="AA523" s="3276">
        <v>7</v>
      </c>
      <c r="AB523" s="3267">
        <v>1010</v>
      </c>
      <c r="AC523" s="3267" t="s">
        <v>2980</v>
      </c>
      <c r="AD523" s="3268"/>
      <c r="AE523" s="3279" t="s">
        <v>3344</v>
      </c>
      <c r="AF523" s="3267" t="s">
        <v>2966</v>
      </c>
      <c r="AG523" s="3268" t="s">
        <v>2967</v>
      </c>
      <c r="AH523" s="3268"/>
      <c r="AI523" s="3267" t="s">
        <v>2992</v>
      </c>
      <c r="AJ523" s="3290"/>
      <c r="AK523" s="3278">
        <v>6</v>
      </c>
      <c r="AL523" s="3276">
        <v>67641700</v>
      </c>
      <c r="AM523" s="3276"/>
      <c r="AN523" s="3279" t="s">
        <v>3140</v>
      </c>
      <c r="AO523" s="3267"/>
      <c r="AP523" s="3279" t="s">
        <v>3305</v>
      </c>
      <c r="AQ523" s="3267" t="s">
        <v>3228</v>
      </c>
      <c r="AR523" s="3267"/>
      <c r="AS523" s="3267"/>
      <c r="AT523" s="3267"/>
      <c r="AU523" s="3267"/>
      <c r="AV523" s="3277"/>
      <c r="AW523" s="3276" t="s">
        <v>2997</v>
      </c>
      <c r="AX523" s="3276"/>
      <c r="AY523" s="3276"/>
      <c r="AZ523" s="3267" t="s">
        <v>6797</v>
      </c>
      <c r="BA523" s="3296"/>
      <c r="BB523" s="3297"/>
      <c r="BC523" s="3296"/>
      <c r="BD523" s="3298"/>
      <c r="BE523" s="3276">
        <v>13683366315</v>
      </c>
      <c r="BF523" s="3281"/>
      <c r="BG523" s="3293">
        <v>38831</v>
      </c>
      <c r="BH523" s="3267" t="s">
        <v>2998</v>
      </c>
      <c r="BI523" s="3314" t="s">
        <v>3305</v>
      </c>
      <c r="BJ523" s="3283">
        <v>38856</v>
      </c>
      <c r="BK523" s="3284"/>
      <c r="BL523" s="3267" t="s">
        <v>3249</v>
      </c>
      <c r="BM523" s="3267" t="s">
        <v>2879</v>
      </c>
      <c r="BN523" s="3267" t="s">
        <v>2999</v>
      </c>
      <c r="BO523" s="3267" t="s">
        <v>3146</v>
      </c>
      <c r="BP523" s="3276"/>
      <c r="BQ523" s="3276" t="e">
        <v>#DIV/0!</v>
      </c>
      <c r="BR523" s="3276" t="e">
        <v>#DIV/0!</v>
      </c>
      <c r="BS523" s="3285"/>
      <c r="BT523" s="3285"/>
      <c r="BU523" s="3285"/>
    </row>
    <row r="524" spans="1:73" hidden="1">
      <c r="A524" s="3269" t="s">
        <v>6798</v>
      </c>
      <c r="B524" s="3268" t="s">
        <v>6799</v>
      </c>
      <c r="C524" s="3269" t="s">
        <v>6800</v>
      </c>
      <c r="D524" s="3268">
        <v>13811397600</v>
      </c>
      <c r="E524" s="3268" t="s">
        <v>2985</v>
      </c>
      <c r="F524" s="3268" t="s">
        <v>4412</v>
      </c>
      <c r="G524" s="3268"/>
      <c r="H524" s="3268" t="s">
        <v>3806</v>
      </c>
      <c r="I524" s="3268"/>
      <c r="J524" s="3268">
        <v>2108</v>
      </c>
      <c r="K524" s="3268" t="s">
        <v>6799</v>
      </c>
      <c r="L524" s="3270">
        <v>70.39</v>
      </c>
      <c r="M524" s="3270">
        <v>21</v>
      </c>
      <c r="N524" s="3267" t="s">
        <v>3122</v>
      </c>
      <c r="O524" s="3270"/>
      <c r="P524" s="3268" t="s">
        <v>3495</v>
      </c>
      <c r="Q524" s="3271">
        <v>490000</v>
      </c>
      <c r="R524" s="3267">
        <v>6961</v>
      </c>
      <c r="S524" s="3272">
        <v>40.630000000000003</v>
      </c>
      <c r="T524" s="3273">
        <v>406300</v>
      </c>
      <c r="U524" s="3267">
        <v>5773</v>
      </c>
      <c r="V524" s="3289">
        <v>0.2</v>
      </c>
      <c r="W524" s="3272">
        <v>32.5</v>
      </c>
      <c r="X524" s="3275">
        <v>325000</v>
      </c>
      <c r="Y524" s="3276">
        <v>2006</v>
      </c>
      <c r="Z524" s="3276">
        <v>6</v>
      </c>
      <c r="AA524" s="3276">
        <v>14</v>
      </c>
      <c r="AB524" s="3267">
        <v>1215</v>
      </c>
      <c r="AC524" s="3267" t="s">
        <v>2980</v>
      </c>
      <c r="AD524" s="3268"/>
      <c r="AE524" s="3276" t="s">
        <v>3537</v>
      </c>
      <c r="AF524" s="3268" t="s">
        <v>2966</v>
      </c>
      <c r="AG524" s="3268" t="s">
        <v>2967</v>
      </c>
      <c r="AH524" s="3268"/>
      <c r="AI524" s="3267" t="s">
        <v>3115</v>
      </c>
      <c r="AJ524" s="3290"/>
      <c r="AK524" s="3278">
        <v>6</v>
      </c>
      <c r="AL524" s="3269">
        <v>67641700</v>
      </c>
      <c r="AM524" s="3276"/>
      <c r="AN524" s="3279" t="s">
        <v>3114</v>
      </c>
      <c r="AO524" s="3267"/>
      <c r="AP524" s="3267" t="s">
        <v>3180</v>
      </c>
      <c r="AQ524" s="3276" t="s">
        <v>2996</v>
      </c>
      <c r="AR524" s="3267"/>
      <c r="AS524" s="3267"/>
      <c r="AT524" s="3267"/>
      <c r="AU524" s="3267"/>
      <c r="AV524" s="3277"/>
      <c r="AW524" s="3268" t="s">
        <v>2997</v>
      </c>
      <c r="AX524" s="3268"/>
      <c r="AY524" s="3268"/>
      <c r="AZ524" s="3268" t="s">
        <v>6801</v>
      </c>
      <c r="BA524" s="3268"/>
      <c r="BB524" s="3280"/>
      <c r="BC524" s="3268"/>
      <c r="BD524" s="3268"/>
      <c r="BE524" s="3268">
        <v>13311066054</v>
      </c>
      <c r="BF524" s="3281"/>
      <c r="BG524" s="3283">
        <v>38856</v>
      </c>
      <c r="BH524" s="3267"/>
      <c r="BI524" s="3267" t="s">
        <v>3537</v>
      </c>
      <c r="BJ524" s="3283">
        <v>38856</v>
      </c>
      <c r="BK524" s="3284"/>
      <c r="BL524" s="3267" t="s">
        <v>2998</v>
      </c>
      <c r="BM524" s="3267" t="s">
        <v>2879</v>
      </c>
      <c r="BN524" s="3267" t="s">
        <v>2999</v>
      </c>
      <c r="BO524" s="3267" t="s">
        <v>3146</v>
      </c>
      <c r="BP524" s="3276"/>
      <c r="BQ524" s="3276" t="e">
        <v>#DIV/0!</v>
      </c>
      <c r="BR524" s="3276" t="e">
        <v>#DIV/0!</v>
      </c>
      <c r="BS524" s="3285"/>
      <c r="BT524" s="3285"/>
      <c r="BU524" s="3285"/>
    </row>
    <row r="525" spans="1:73" hidden="1">
      <c r="A525" s="3267" t="s">
        <v>6802</v>
      </c>
      <c r="B525" s="3268" t="s">
        <v>6803</v>
      </c>
      <c r="C525" s="3269" t="s">
        <v>6804</v>
      </c>
      <c r="D525" s="3268">
        <v>13501250128</v>
      </c>
      <c r="E525" s="3268" t="s">
        <v>2985</v>
      </c>
      <c r="F525" s="3268" t="s">
        <v>6805</v>
      </c>
      <c r="G525" s="3268"/>
      <c r="H525" s="3268" t="s">
        <v>3950</v>
      </c>
      <c r="I525" s="3268" t="s">
        <v>3264</v>
      </c>
      <c r="J525" s="3268" t="s">
        <v>3713</v>
      </c>
      <c r="K525" s="3268" t="s">
        <v>6803</v>
      </c>
      <c r="L525" s="3270">
        <v>83.12</v>
      </c>
      <c r="M525" s="3270">
        <v>2</v>
      </c>
      <c r="N525" s="3267" t="s">
        <v>3125</v>
      </c>
      <c r="O525" s="3270"/>
      <c r="P525" s="3267" t="s">
        <v>2963</v>
      </c>
      <c r="Q525" s="3271">
        <v>690000</v>
      </c>
      <c r="R525" s="3267">
        <v>8301</v>
      </c>
      <c r="S525" s="3272">
        <v>57.76</v>
      </c>
      <c r="T525" s="3273">
        <v>577600</v>
      </c>
      <c r="U525" s="3267">
        <v>6950</v>
      </c>
      <c r="V525" s="3289">
        <v>0.2</v>
      </c>
      <c r="W525" s="3272">
        <v>46.2</v>
      </c>
      <c r="X525" s="3275">
        <v>462000</v>
      </c>
      <c r="Y525" s="3276">
        <v>2006</v>
      </c>
      <c r="Z525" s="3276">
        <v>6</v>
      </c>
      <c r="AA525" s="3276">
        <v>16</v>
      </c>
      <c r="AB525" s="3267">
        <v>1500</v>
      </c>
      <c r="AC525" s="3267" t="s">
        <v>2980</v>
      </c>
      <c r="AD525" s="3268"/>
      <c r="AE525" s="3279" t="s">
        <v>3344</v>
      </c>
      <c r="AF525" s="3267" t="s">
        <v>2966</v>
      </c>
      <c r="AG525" s="3268" t="s">
        <v>2967</v>
      </c>
      <c r="AH525" s="3268"/>
      <c r="AI525" s="3267" t="s">
        <v>2992</v>
      </c>
      <c r="AJ525" s="3290"/>
      <c r="AK525" s="3278">
        <v>6</v>
      </c>
      <c r="AL525" s="3276">
        <v>67641700</v>
      </c>
      <c r="AM525" s="3276"/>
      <c r="AN525" s="3279" t="s">
        <v>3114</v>
      </c>
      <c r="AO525" s="3267"/>
      <c r="AP525" s="3279" t="s">
        <v>3305</v>
      </c>
      <c r="AQ525" s="3267" t="s">
        <v>3228</v>
      </c>
      <c r="AR525" s="3267"/>
      <c r="AS525" s="3267"/>
      <c r="AT525" s="3267"/>
      <c r="AU525" s="3267"/>
      <c r="AV525" s="3277"/>
      <c r="AW525" s="3276" t="s">
        <v>2997</v>
      </c>
      <c r="AX525" s="3276"/>
      <c r="AY525" s="3276"/>
      <c r="AZ525" s="3267" t="s">
        <v>6806</v>
      </c>
      <c r="BA525" s="3296"/>
      <c r="BB525" s="3297"/>
      <c r="BC525" s="3296"/>
      <c r="BD525" s="3298"/>
      <c r="BE525" s="3276" t="s">
        <v>6807</v>
      </c>
      <c r="BF525" s="3281"/>
      <c r="BG525" s="3293">
        <v>38849</v>
      </c>
      <c r="BH525" s="3267" t="s">
        <v>2998</v>
      </c>
      <c r="BI525" s="3314" t="s">
        <v>3305</v>
      </c>
      <c r="BJ525" s="3283">
        <v>38859</v>
      </c>
      <c r="BK525" s="3284"/>
      <c r="BL525" s="3267" t="s">
        <v>3249</v>
      </c>
      <c r="BM525" s="3267" t="s">
        <v>2879</v>
      </c>
      <c r="BN525" s="3267" t="s">
        <v>2999</v>
      </c>
      <c r="BO525" s="3267" t="s">
        <v>3146</v>
      </c>
      <c r="BP525" s="3276"/>
      <c r="BQ525" s="3276" t="e">
        <v>#DIV/0!</v>
      </c>
      <c r="BR525" s="3276" t="e">
        <v>#DIV/0!</v>
      </c>
      <c r="BS525" s="3285"/>
      <c r="BT525" s="3285"/>
      <c r="BU525" s="3285"/>
    </row>
    <row r="526" spans="1:73" hidden="1">
      <c r="A526" s="3267" t="s">
        <v>6808</v>
      </c>
      <c r="B526" s="3267" t="s">
        <v>6809</v>
      </c>
      <c r="C526" s="3269" t="s">
        <v>6810</v>
      </c>
      <c r="D526" s="3269" t="s">
        <v>6811</v>
      </c>
      <c r="E526" s="3268" t="s">
        <v>2985</v>
      </c>
      <c r="F526" s="3268" t="s">
        <v>4212</v>
      </c>
      <c r="G526" s="3267"/>
      <c r="H526" s="3267" t="s">
        <v>6812</v>
      </c>
      <c r="I526" s="3268" t="s">
        <v>3586</v>
      </c>
      <c r="J526" s="3267" t="s">
        <v>3173</v>
      </c>
      <c r="K526" s="3267" t="s">
        <v>6813</v>
      </c>
      <c r="L526" s="3267">
        <v>52.1</v>
      </c>
      <c r="M526" s="3267">
        <v>2</v>
      </c>
      <c r="N526" s="3267" t="s">
        <v>3152</v>
      </c>
      <c r="O526" s="3267"/>
      <c r="P526" s="3267" t="s">
        <v>2963</v>
      </c>
      <c r="Q526" s="3271">
        <v>320000</v>
      </c>
      <c r="R526" s="3267">
        <v>6142</v>
      </c>
      <c r="S526" s="3272">
        <v>28.45</v>
      </c>
      <c r="T526" s="3273">
        <v>284500</v>
      </c>
      <c r="U526" s="3267">
        <v>5461</v>
      </c>
      <c r="V526" s="3289">
        <v>0.2</v>
      </c>
      <c r="W526" s="3272">
        <v>22.76</v>
      </c>
      <c r="X526" s="3275">
        <v>227600</v>
      </c>
      <c r="Y526" s="3276">
        <v>2006</v>
      </c>
      <c r="Z526" s="3276">
        <v>6</v>
      </c>
      <c r="AA526" s="3276">
        <v>8</v>
      </c>
      <c r="AB526" s="3267">
        <v>850</v>
      </c>
      <c r="AC526" s="3267" t="s">
        <v>2980</v>
      </c>
      <c r="AD526" s="3267"/>
      <c r="AE526" s="3314" t="s">
        <v>3344</v>
      </c>
      <c r="AF526" s="3268" t="s">
        <v>2966</v>
      </c>
      <c r="AG526" s="3279" t="s">
        <v>2967</v>
      </c>
      <c r="AH526" s="3267"/>
      <c r="AI526" s="3279" t="s">
        <v>2992</v>
      </c>
      <c r="AJ526" s="3284"/>
      <c r="AK526" s="3278">
        <v>6</v>
      </c>
      <c r="AL526" s="3276">
        <v>67641700</v>
      </c>
      <c r="AM526" s="3276"/>
      <c r="AN526" s="3279" t="s">
        <v>3140</v>
      </c>
      <c r="AO526" s="3267" t="s">
        <v>6814</v>
      </c>
      <c r="AP526" s="3279" t="s">
        <v>3305</v>
      </c>
      <c r="AQ526" s="3267" t="s">
        <v>3228</v>
      </c>
      <c r="AR526" s="3276"/>
      <c r="AS526" s="3276"/>
      <c r="AT526" s="3276"/>
      <c r="AU526" s="3276"/>
      <c r="AV526" s="3276"/>
      <c r="AW526" s="3276" t="s">
        <v>2997</v>
      </c>
      <c r="AX526" s="3276"/>
      <c r="AY526" s="3291"/>
      <c r="AZ526" s="3267" t="s">
        <v>6813</v>
      </c>
      <c r="BA526" s="3296"/>
      <c r="BB526" s="3297"/>
      <c r="BC526" s="3296"/>
      <c r="BD526" s="3298"/>
      <c r="BE526" s="3276">
        <v>13901331951</v>
      </c>
      <c r="BF526" s="3281"/>
      <c r="BG526" s="3293">
        <v>38805</v>
      </c>
      <c r="BH526" s="3267" t="s">
        <v>2998</v>
      </c>
      <c r="BI526" s="3314" t="s">
        <v>3305</v>
      </c>
      <c r="BJ526" s="3283">
        <v>38862</v>
      </c>
      <c r="BK526" s="3283"/>
      <c r="BL526" s="3267" t="s">
        <v>3249</v>
      </c>
      <c r="BM526" s="3276" t="s">
        <v>2879</v>
      </c>
      <c r="BN526" s="3276" t="s">
        <v>2999</v>
      </c>
      <c r="BO526" s="3276" t="s">
        <v>3146</v>
      </c>
      <c r="BP526" s="3276"/>
      <c r="BQ526" s="3276" t="e">
        <v>#DIV/0!</v>
      </c>
      <c r="BR526" s="3276" t="e">
        <v>#DIV/0!</v>
      </c>
      <c r="BS526" s="3285"/>
      <c r="BT526" s="3285"/>
      <c r="BU526" s="3285"/>
    </row>
    <row r="527" spans="1:73" hidden="1">
      <c r="A527" s="3267" t="s">
        <v>6815</v>
      </c>
      <c r="B527" s="3267" t="s">
        <v>4410</v>
      </c>
      <c r="C527" s="3269" t="s">
        <v>6816</v>
      </c>
      <c r="D527" s="3269" t="s">
        <v>6817</v>
      </c>
      <c r="E527" s="3268" t="s">
        <v>2985</v>
      </c>
      <c r="F527" s="3268" t="s">
        <v>4268</v>
      </c>
      <c r="G527" s="3267"/>
      <c r="H527" s="3268" t="s">
        <v>3130</v>
      </c>
      <c r="I527" s="3268"/>
      <c r="J527" s="3267" t="s">
        <v>6818</v>
      </c>
      <c r="K527" s="3267" t="s">
        <v>4410</v>
      </c>
      <c r="L527" s="3267">
        <v>125.19</v>
      </c>
      <c r="M527" s="3267">
        <v>18</v>
      </c>
      <c r="N527" s="3267" t="s">
        <v>3122</v>
      </c>
      <c r="O527" s="3267">
        <v>97.83</v>
      </c>
      <c r="P527" s="3267" t="s">
        <v>2963</v>
      </c>
      <c r="Q527" s="3271">
        <v>600000</v>
      </c>
      <c r="R527" s="3267">
        <v>4793</v>
      </c>
      <c r="S527" s="3272">
        <v>77.81</v>
      </c>
      <c r="T527" s="3273">
        <v>778100</v>
      </c>
      <c r="U527" s="3267">
        <v>6216</v>
      </c>
      <c r="V527" s="3289">
        <v>0.2</v>
      </c>
      <c r="W527" s="3272">
        <v>62.24</v>
      </c>
      <c r="X527" s="3275">
        <v>622400</v>
      </c>
      <c r="Y527" s="3276">
        <v>2006</v>
      </c>
      <c r="Z527" s="3276">
        <v>5</v>
      </c>
      <c r="AA527" s="3276">
        <v>25</v>
      </c>
      <c r="AB527" s="3267">
        <v>1500</v>
      </c>
      <c r="AC527" s="3267" t="s">
        <v>2980</v>
      </c>
      <c r="AD527" s="3267"/>
      <c r="AE527" s="3314" t="s">
        <v>3344</v>
      </c>
      <c r="AF527" s="3268" t="s">
        <v>2966</v>
      </c>
      <c r="AG527" s="3279" t="s">
        <v>2967</v>
      </c>
      <c r="AH527" s="3267" t="s">
        <v>6819</v>
      </c>
      <c r="AI527" s="3279" t="s">
        <v>2992</v>
      </c>
      <c r="AJ527" s="3284"/>
      <c r="AK527" s="3278">
        <v>5</v>
      </c>
      <c r="AL527" s="3276">
        <v>67641700</v>
      </c>
      <c r="AM527" s="3276"/>
      <c r="AN527" s="3279" t="s">
        <v>3114</v>
      </c>
      <c r="AO527" s="3267"/>
      <c r="AP527" s="3279" t="s">
        <v>3305</v>
      </c>
      <c r="AQ527" s="3276" t="s">
        <v>3113</v>
      </c>
      <c r="AR527" s="3276"/>
      <c r="AS527" s="3276"/>
      <c r="AT527" s="3276"/>
      <c r="AU527" s="3276"/>
      <c r="AV527" s="3276"/>
      <c r="AW527" s="3276" t="s">
        <v>2997</v>
      </c>
      <c r="AX527" s="3276"/>
      <c r="AY527" s="3291"/>
      <c r="AZ527" s="3267" t="s">
        <v>6820</v>
      </c>
      <c r="BA527" s="3296"/>
      <c r="BB527" s="3297"/>
      <c r="BC527" s="3296"/>
      <c r="BD527" s="3298"/>
      <c r="BE527" s="3276">
        <v>13031134726</v>
      </c>
      <c r="BF527" s="3281"/>
      <c r="BG527" s="3293">
        <v>38657</v>
      </c>
      <c r="BH527" s="3267" t="s">
        <v>2998</v>
      </c>
      <c r="BI527" s="3314" t="s">
        <v>3305</v>
      </c>
      <c r="BJ527" s="3283">
        <v>38860</v>
      </c>
      <c r="BK527" s="3283"/>
      <c r="BL527" s="3267" t="s">
        <v>3249</v>
      </c>
      <c r="BM527" s="3276" t="s">
        <v>2879</v>
      </c>
      <c r="BN527" s="3276" t="s">
        <v>3111</v>
      </c>
      <c r="BO527" s="3276" t="s">
        <v>3146</v>
      </c>
      <c r="BP527" s="3276"/>
      <c r="BQ527" s="3276">
        <v>7954</v>
      </c>
      <c r="BR527" s="3276">
        <v>6133</v>
      </c>
      <c r="BS527" s="3285"/>
      <c r="BT527" s="3285"/>
      <c r="BU527" s="3285"/>
    </row>
    <row r="528" spans="1:73" hidden="1">
      <c r="A528" s="3268" t="s">
        <v>6821</v>
      </c>
      <c r="B528" s="3267" t="s">
        <v>6822</v>
      </c>
      <c r="C528" s="3269" t="s">
        <v>6823</v>
      </c>
      <c r="D528" s="3269" t="s">
        <v>6824</v>
      </c>
      <c r="E528" s="3267" t="s">
        <v>2985</v>
      </c>
      <c r="F528" s="3268" t="s">
        <v>4803</v>
      </c>
      <c r="G528" s="3267"/>
      <c r="H528" s="3267" t="s">
        <v>3310</v>
      </c>
      <c r="I528" s="3267"/>
      <c r="J528" s="3269" t="s">
        <v>6825</v>
      </c>
      <c r="K528" s="3267"/>
      <c r="L528" s="3267">
        <v>43.59</v>
      </c>
      <c r="M528" s="3267">
        <v>7</v>
      </c>
      <c r="N528" s="3267" t="s">
        <v>3152</v>
      </c>
      <c r="O528" s="3267"/>
      <c r="P528" s="3267" t="s">
        <v>2963</v>
      </c>
      <c r="Q528" s="3271">
        <v>335000</v>
      </c>
      <c r="R528" s="3267">
        <v>7685</v>
      </c>
      <c r="S528" s="3272">
        <v>27.14</v>
      </c>
      <c r="T528" s="3273">
        <v>271400</v>
      </c>
      <c r="U528" s="3267">
        <v>6228</v>
      </c>
      <c r="V528" s="3289">
        <v>0.2</v>
      </c>
      <c r="W528" s="3272">
        <v>21.71</v>
      </c>
      <c r="X528" s="3275">
        <v>217100</v>
      </c>
      <c r="Y528" s="3267">
        <v>2006</v>
      </c>
      <c r="Z528" s="3276">
        <v>6</v>
      </c>
      <c r="AA528" s="3276">
        <v>5</v>
      </c>
      <c r="AB528" s="3267">
        <v>810</v>
      </c>
      <c r="AC528" s="3267" t="s">
        <v>2980</v>
      </c>
      <c r="AD528" s="3267"/>
      <c r="AE528" s="3267" t="s">
        <v>3487</v>
      </c>
      <c r="AF528" s="3267" t="s">
        <v>2966</v>
      </c>
      <c r="AG528" s="3267" t="s">
        <v>2967</v>
      </c>
      <c r="AH528" s="3267" t="s">
        <v>2968</v>
      </c>
      <c r="AI528" s="3270" t="s">
        <v>2992</v>
      </c>
      <c r="AJ528" s="3284"/>
      <c r="AK528" s="3278">
        <v>6</v>
      </c>
      <c r="AL528" s="3276">
        <v>67641700</v>
      </c>
      <c r="AM528" s="3276"/>
      <c r="AN528" s="3267" t="s">
        <v>3140</v>
      </c>
      <c r="AO528" s="3276" t="s">
        <v>2968</v>
      </c>
      <c r="AP528" s="3276" t="s">
        <v>3305</v>
      </c>
      <c r="AQ528" s="3276" t="s">
        <v>3113</v>
      </c>
      <c r="AR528" s="3276"/>
      <c r="AS528" s="3276"/>
      <c r="AT528" s="3276"/>
      <c r="AU528" s="3276"/>
      <c r="AV528" s="3276" t="s">
        <v>2968</v>
      </c>
      <c r="AW528" s="3276" t="s">
        <v>3171</v>
      </c>
      <c r="AX528" s="3276"/>
      <c r="AY528" s="3291"/>
      <c r="AZ528" s="3267"/>
      <c r="BA528" s="3276"/>
      <c r="BB528" s="3291"/>
      <c r="BC528" s="3276"/>
      <c r="BD528" s="3292"/>
      <c r="BE528" s="3276"/>
      <c r="BF528" s="3281"/>
      <c r="BG528" s="3290">
        <v>38828</v>
      </c>
      <c r="BH528" s="3276" t="s">
        <v>2998</v>
      </c>
      <c r="BI528" s="3267" t="s">
        <v>3487</v>
      </c>
      <c r="BJ528" s="3290">
        <v>38861</v>
      </c>
      <c r="BK528" s="3283"/>
      <c r="BL528" s="3276" t="s">
        <v>3249</v>
      </c>
      <c r="BM528" s="3276"/>
      <c r="BN528" s="3276"/>
      <c r="BO528" s="3276"/>
      <c r="BP528" s="3276"/>
      <c r="BQ528" s="3276" t="e">
        <v>#DIV/0!</v>
      </c>
      <c r="BR528" s="3276" t="e">
        <v>#DIV/0!</v>
      </c>
      <c r="BS528" s="3285"/>
      <c r="BT528" s="3285"/>
      <c r="BU528" s="3285"/>
    </row>
    <row r="529" spans="1:73" hidden="1">
      <c r="A529" s="3267" t="s">
        <v>6826</v>
      </c>
      <c r="B529" s="3267" t="s">
        <v>6827</v>
      </c>
      <c r="C529" s="3269" t="s">
        <v>6828</v>
      </c>
      <c r="D529" s="3268">
        <v>13311067503</v>
      </c>
      <c r="E529" s="3267" t="s">
        <v>2985</v>
      </c>
      <c r="F529" s="3268" t="s">
        <v>5117</v>
      </c>
      <c r="G529" s="3267"/>
      <c r="H529" s="3267" t="s">
        <v>5118</v>
      </c>
      <c r="I529" s="3267"/>
      <c r="J529" s="3269" t="s">
        <v>5168</v>
      </c>
      <c r="K529" s="3267" t="s">
        <v>6829</v>
      </c>
      <c r="L529" s="3267">
        <v>46.14</v>
      </c>
      <c r="M529" s="3267">
        <v>5</v>
      </c>
      <c r="N529" s="3267" t="s">
        <v>3535</v>
      </c>
      <c r="O529" s="3267">
        <v>35.46</v>
      </c>
      <c r="P529" s="3267" t="s">
        <v>2963</v>
      </c>
      <c r="Q529" s="3367">
        <v>280000</v>
      </c>
      <c r="R529" s="3267">
        <v>6068</v>
      </c>
      <c r="S529" s="3272">
        <v>28.69</v>
      </c>
      <c r="T529" s="3273">
        <v>286900</v>
      </c>
      <c r="U529" s="3267">
        <v>6219</v>
      </c>
      <c r="V529" s="3289">
        <v>0.2</v>
      </c>
      <c r="W529" s="3272">
        <v>22.95</v>
      </c>
      <c r="X529" s="3275">
        <v>229500</v>
      </c>
      <c r="Y529" s="3276">
        <v>2006</v>
      </c>
      <c r="Z529" s="3276">
        <v>6</v>
      </c>
      <c r="AA529" s="3276">
        <v>15</v>
      </c>
      <c r="AB529" s="3267">
        <v>860</v>
      </c>
      <c r="AC529" s="3267" t="s">
        <v>2980</v>
      </c>
      <c r="AD529" s="3267"/>
      <c r="AE529" s="3267" t="s">
        <v>3304</v>
      </c>
      <c r="AF529" s="3267" t="s">
        <v>2966</v>
      </c>
      <c r="AG529" s="3267" t="s">
        <v>2967</v>
      </c>
      <c r="AH529" s="3267"/>
      <c r="AI529" s="3267" t="s">
        <v>2992</v>
      </c>
      <c r="AJ529" s="3284"/>
      <c r="AK529" s="3316" t="s">
        <v>3160</v>
      </c>
      <c r="AL529" s="3276">
        <v>67641700</v>
      </c>
      <c r="AM529" s="3276"/>
      <c r="AN529" s="3279" t="s">
        <v>3114</v>
      </c>
      <c r="AO529" s="3267"/>
      <c r="AP529" s="3267" t="s">
        <v>3305</v>
      </c>
      <c r="AQ529" s="3267" t="s">
        <v>3228</v>
      </c>
      <c r="AR529" s="3276"/>
      <c r="AS529" s="3276"/>
      <c r="AT529" s="3276"/>
      <c r="AU529" s="3276"/>
      <c r="AV529" s="3276"/>
      <c r="AW529" s="3276" t="s">
        <v>2997</v>
      </c>
      <c r="AX529" s="3276"/>
      <c r="AY529" s="3291"/>
      <c r="AZ529" s="3267" t="s">
        <v>6829</v>
      </c>
      <c r="BA529" s="3276"/>
      <c r="BB529" s="3292"/>
      <c r="BC529" s="3276"/>
      <c r="BD529" s="3292"/>
      <c r="BE529" s="3276"/>
      <c r="BF529" s="3281"/>
      <c r="BG529" s="3299">
        <v>38844</v>
      </c>
      <c r="BH529" s="3267" t="s">
        <v>2998</v>
      </c>
      <c r="BI529" s="3276" t="s">
        <v>4230</v>
      </c>
      <c r="BJ529" s="3299">
        <v>38863</v>
      </c>
      <c r="BK529" s="3283"/>
      <c r="BL529" s="3267" t="s">
        <v>3249</v>
      </c>
      <c r="BM529" s="3276" t="s">
        <v>2879</v>
      </c>
      <c r="BN529" s="3276" t="s">
        <v>2999</v>
      </c>
      <c r="BO529" s="3276" t="s">
        <v>3000</v>
      </c>
      <c r="BP529" s="3276"/>
      <c r="BQ529" s="3276">
        <v>8091</v>
      </c>
      <c r="BR529" s="3276">
        <v>7896</v>
      </c>
      <c r="BS529" s="3285"/>
      <c r="BT529" s="3285"/>
      <c r="BU529" s="3285"/>
    </row>
    <row r="530" spans="1:73" hidden="1">
      <c r="A530" s="3267" t="s">
        <v>6830</v>
      </c>
      <c r="B530" s="3267" t="s">
        <v>6831</v>
      </c>
      <c r="C530" s="3269" t="s">
        <v>6832</v>
      </c>
      <c r="D530" s="3269">
        <v>13716183200</v>
      </c>
      <c r="E530" s="3268" t="s">
        <v>2985</v>
      </c>
      <c r="F530" s="3268" t="s">
        <v>5117</v>
      </c>
      <c r="G530" s="3267"/>
      <c r="H530" s="3267" t="s">
        <v>3194</v>
      </c>
      <c r="I530" s="3268" t="s">
        <v>2968</v>
      </c>
      <c r="J530" s="3267" t="s">
        <v>6833</v>
      </c>
      <c r="K530" s="3267" t="s">
        <v>6834</v>
      </c>
      <c r="L530" s="3267">
        <v>52.06</v>
      </c>
      <c r="M530" s="3267">
        <v>23</v>
      </c>
      <c r="N530" s="3267" t="s">
        <v>3152</v>
      </c>
      <c r="O530" s="3267">
        <v>39.44</v>
      </c>
      <c r="P530" s="3267" t="s">
        <v>2963</v>
      </c>
      <c r="Q530" s="3271">
        <v>400000</v>
      </c>
      <c r="R530" s="3288">
        <v>7683</v>
      </c>
      <c r="S530" s="3272">
        <v>33.83</v>
      </c>
      <c r="T530" s="3273">
        <v>338300</v>
      </c>
      <c r="U530" s="3267">
        <v>6500</v>
      </c>
      <c r="V530" s="3289">
        <v>0.2</v>
      </c>
      <c r="W530" s="3272">
        <v>27.06</v>
      </c>
      <c r="X530" s="3273">
        <v>270600</v>
      </c>
      <c r="Y530" s="3267">
        <v>2006</v>
      </c>
      <c r="Z530" s="3276">
        <v>6</v>
      </c>
      <c r="AA530" s="3276">
        <v>1</v>
      </c>
      <c r="AB530" s="3267">
        <v>1010</v>
      </c>
      <c r="AC530" s="3267" t="s">
        <v>2980</v>
      </c>
      <c r="AD530" s="3267"/>
      <c r="AE530" s="3279" t="s">
        <v>3180</v>
      </c>
      <c r="AF530" s="3268" t="s">
        <v>2966</v>
      </c>
      <c r="AG530" s="3279" t="s">
        <v>2967</v>
      </c>
      <c r="AH530" s="3267"/>
      <c r="AI530" s="3267" t="s">
        <v>2992</v>
      </c>
      <c r="AJ530" s="3290"/>
      <c r="AK530" s="3278">
        <v>6</v>
      </c>
      <c r="AL530" s="3276">
        <v>67641700</v>
      </c>
      <c r="AM530" s="3267" t="s">
        <v>2968</v>
      </c>
      <c r="AN530" s="3279" t="s">
        <v>3131</v>
      </c>
      <c r="AO530" s="3267"/>
      <c r="AP530" s="3267" t="s">
        <v>3305</v>
      </c>
      <c r="AQ530" s="3267" t="s">
        <v>3228</v>
      </c>
      <c r="AR530" s="3276"/>
      <c r="AS530" s="3276"/>
      <c r="AT530" s="3276"/>
      <c r="AU530" s="3276"/>
      <c r="AV530" s="3276"/>
      <c r="AW530" s="3276" t="s">
        <v>2997</v>
      </c>
      <c r="AX530" s="3276"/>
      <c r="AY530" s="3291" t="s">
        <v>2968</v>
      </c>
      <c r="AZ530" s="3267" t="s">
        <v>6834</v>
      </c>
      <c r="BA530" s="3296" t="s">
        <v>2968</v>
      </c>
      <c r="BB530" s="3297" t="s">
        <v>2968</v>
      </c>
      <c r="BC530" s="3296" t="s">
        <v>2968</v>
      </c>
      <c r="BD530" s="3298" t="s">
        <v>2968</v>
      </c>
      <c r="BE530" s="3276"/>
      <c r="BF530" s="3281" t="s">
        <v>2968</v>
      </c>
      <c r="BG530" s="3293">
        <v>38856</v>
      </c>
      <c r="BH530" s="3267" t="s">
        <v>2998</v>
      </c>
      <c r="BI530" s="3314" t="s">
        <v>3305</v>
      </c>
      <c r="BJ530" s="3283">
        <v>38861</v>
      </c>
      <c r="BK530" s="3283"/>
      <c r="BL530" s="3267" t="s">
        <v>3249</v>
      </c>
      <c r="BM530" s="3276" t="s">
        <v>2879</v>
      </c>
      <c r="BN530" s="3276" t="s">
        <v>2999</v>
      </c>
      <c r="BO530" s="3276" t="s">
        <v>3146</v>
      </c>
      <c r="BP530" s="3276"/>
      <c r="BQ530" s="3276">
        <v>8578</v>
      </c>
      <c r="BR530" s="3276">
        <v>10142</v>
      </c>
      <c r="BS530" s="3285"/>
      <c r="BT530" s="3285"/>
      <c r="BU530" s="3285"/>
    </row>
    <row r="531" spans="1:73" hidden="1">
      <c r="A531" s="3268" t="s">
        <v>6835</v>
      </c>
      <c r="B531" s="3267" t="s">
        <v>6836</v>
      </c>
      <c r="C531" s="3269" t="s">
        <v>6837</v>
      </c>
      <c r="D531" s="3269" t="s">
        <v>6838</v>
      </c>
      <c r="E531" s="3267" t="s">
        <v>2985</v>
      </c>
      <c r="F531" s="3268" t="s">
        <v>3457</v>
      </c>
      <c r="G531" s="3267"/>
      <c r="H531" s="3267" t="s">
        <v>4341</v>
      </c>
      <c r="I531" s="3267"/>
      <c r="J531" s="3269" t="s">
        <v>6839</v>
      </c>
      <c r="K531" s="3267"/>
      <c r="L531" s="3267">
        <v>99.04</v>
      </c>
      <c r="M531" s="3267">
        <v>11</v>
      </c>
      <c r="N531" s="3267" t="s">
        <v>3125</v>
      </c>
      <c r="O531" s="3267"/>
      <c r="P531" s="3267" t="s">
        <v>2963</v>
      </c>
      <c r="Q531" s="3271">
        <v>750000</v>
      </c>
      <c r="R531" s="3267">
        <v>7573</v>
      </c>
      <c r="S531" s="3272">
        <v>64.75</v>
      </c>
      <c r="T531" s="3273">
        <v>647500</v>
      </c>
      <c r="U531" s="3267">
        <v>6538</v>
      </c>
      <c r="V531" s="3289">
        <v>0.2</v>
      </c>
      <c r="W531" s="3272">
        <v>51.8</v>
      </c>
      <c r="X531" s="3275">
        <v>518000</v>
      </c>
      <c r="Y531" s="3267">
        <v>2006</v>
      </c>
      <c r="Z531" s="3276">
        <v>5</v>
      </c>
      <c r="AA531" s="3276">
        <v>25</v>
      </c>
      <c r="AB531" s="3267">
        <v>1500</v>
      </c>
      <c r="AC531" s="3267" t="s">
        <v>2980</v>
      </c>
      <c r="AD531" s="3267"/>
      <c r="AE531" s="3279" t="s">
        <v>3304</v>
      </c>
      <c r="AF531" s="3267" t="s">
        <v>2966</v>
      </c>
      <c r="AG531" s="3267" t="s">
        <v>2967</v>
      </c>
      <c r="AH531" s="3267" t="s">
        <v>2968</v>
      </c>
      <c r="AI531" s="3279" t="s">
        <v>3295</v>
      </c>
      <c r="AJ531" s="3284"/>
      <c r="AK531" s="3278">
        <v>5</v>
      </c>
      <c r="AL531" s="3276">
        <v>67641700</v>
      </c>
      <c r="AM531" s="3276"/>
      <c r="AN531" s="3279" t="s">
        <v>3114</v>
      </c>
      <c r="AO531" s="3276" t="s">
        <v>2968</v>
      </c>
      <c r="AP531" s="3276" t="s">
        <v>3305</v>
      </c>
      <c r="AQ531" s="3276" t="s">
        <v>3113</v>
      </c>
      <c r="AR531" s="3276"/>
      <c r="AS531" s="3276"/>
      <c r="AT531" s="3276"/>
      <c r="AU531" s="3276"/>
      <c r="AV531" s="3276" t="s">
        <v>2968</v>
      </c>
      <c r="AW531" s="3276" t="s">
        <v>3171</v>
      </c>
      <c r="AX531" s="3276"/>
      <c r="AY531" s="3291"/>
      <c r="AZ531" s="3267"/>
      <c r="BA531" s="3276"/>
      <c r="BB531" s="3291"/>
      <c r="BC531" s="3276"/>
      <c r="BD531" s="3292"/>
      <c r="BE531" s="3276"/>
      <c r="BF531" s="3281"/>
      <c r="BG531" s="3290">
        <v>38861</v>
      </c>
      <c r="BH531" s="3276"/>
      <c r="BI531" s="3267" t="s">
        <v>3487</v>
      </c>
      <c r="BJ531" s="3290">
        <v>38861</v>
      </c>
      <c r="BK531" s="3283"/>
      <c r="BL531" s="3267"/>
      <c r="BM531" s="3276"/>
      <c r="BN531" s="3276"/>
      <c r="BO531" s="3276"/>
      <c r="BP531" s="3276"/>
      <c r="BQ531" s="3276" t="e">
        <v>#DIV/0!</v>
      </c>
      <c r="BR531" s="3276" t="e">
        <v>#DIV/0!</v>
      </c>
      <c r="BS531" s="3285"/>
      <c r="BT531" s="3285"/>
      <c r="BU531" s="3285"/>
    </row>
    <row r="532" spans="1:73" hidden="1">
      <c r="A532" s="3267" t="s">
        <v>6840</v>
      </c>
      <c r="B532" s="3267" t="s">
        <v>6841</v>
      </c>
      <c r="C532" s="3269" t="s">
        <v>6842</v>
      </c>
      <c r="D532" s="3269">
        <v>13161247586</v>
      </c>
      <c r="E532" s="3268" t="s">
        <v>2985</v>
      </c>
      <c r="F532" s="3268" t="s">
        <v>3864</v>
      </c>
      <c r="G532" s="3267"/>
      <c r="H532" s="3268" t="s">
        <v>3865</v>
      </c>
      <c r="I532" s="3268"/>
      <c r="J532" s="3267" t="s">
        <v>6818</v>
      </c>
      <c r="K532" s="3267" t="s">
        <v>6841</v>
      </c>
      <c r="L532" s="3267">
        <v>72.12</v>
      </c>
      <c r="M532" s="3267">
        <v>18</v>
      </c>
      <c r="N532" s="3267" t="s">
        <v>3152</v>
      </c>
      <c r="O532" s="3267">
        <v>59.37</v>
      </c>
      <c r="P532" s="3267" t="s">
        <v>2963</v>
      </c>
      <c r="Q532" s="3271">
        <v>470000</v>
      </c>
      <c r="R532" s="3267">
        <v>6517</v>
      </c>
      <c r="S532" s="3272">
        <v>45.19</v>
      </c>
      <c r="T532" s="3273">
        <v>451900</v>
      </c>
      <c r="U532" s="3267">
        <v>6267</v>
      </c>
      <c r="V532" s="3289">
        <v>0.2</v>
      </c>
      <c r="W532" s="3272">
        <v>36.15</v>
      </c>
      <c r="X532" s="3275">
        <v>361500</v>
      </c>
      <c r="Y532" s="3276">
        <v>2006</v>
      </c>
      <c r="Z532" s="3276">
        <v>6</v>
      </c>
      <c r="AA532" s="3276">
        <v>15</v>
      </c>
      <c r="AB532" s="3267">
        <v>1355</v>
      </c>
      <c r="AC532" s="3267" t="s">
        <v>2980</v>
      </c>
      <c r="AD532" s="3267"/>
      <c r="AE532" s="3279" t="s">
        <v>3180</v>
      </c>
      <c r="AF532" s="3268" t="s">
        <v>2966</v>
      </c>
      <c r="AG532" s="3279" t="s">
        <v>2967</v>
      </c>
      <c r="AH532" s="3267"/>
      <c r="AI532" s="3279" t="s">
        <v>2992</v>
      </c>
      <c r="AJ532" s="3284"/>
      <c r="AK532" s="3278">
        <v>6</v>
      </c>
      <c r="AL532" s="3276">
        <v>67641700</v>
      </c>
      <c r="AM532" s="3276" t="s">
        <v>2968</v>
      </c>
      <c r="AN532" s="3279" t="s">
        <v>3114</v>
      </c>
      <c r="AO532" s="3267"/>
      <c r="AP532" s="3279" t="s">
        <v>3305</v>
      </c>
      <c r="AQ532" s="3267" t="s">
        <v>3228</v>
      </c>
      <c r="AR532" s="3276"/>
      <c r="AS532" s="3276"/>
      <c r="AT532" s="3276"/>
      <c r="AU532" s="3276"/>
      <c r="AV532" s="3276"/>
      <c r="AW532" s="3276" t="s">
        <v>2997</v>
      </c>
      <c r="AX532" s="3276"/>
      <c r="AY532" s="3291"/>
      <c r="AZ532" s="3267" t="s">
        <v>6843</v>
      </c>
      <c r="BA532" s="3296"/>
      <c r="BB532" s="3297"/>
      <c r="BC532" s="3296"/>
      <c r="BD532" s="3298"/>
      <c r="BE532" s="3276"/>
      <c r="BF532" s="3281"/>
      <c r="BG532" s="3293">
        <v>38862</v>
      </c>
      <c r="BH532" s="3267" t="s">
        <v>2998</v>
      </c>
      <c r="BI532" s="3314" t="s">
        <v>3305</v>
      </c>
      <c r="BJ532" s="3283">
        <v>38862</v>
      </c>
      <c r="BK532" s="3283"/>
      <c r="BL532" s="3267" t="s">
        <v>3249</v>
      </c>
      <c r="BM532" s="3276" t="s">
        <v>2879</v>
      </c>
      <c r="BN532" s="3276" t="s">
        <v>2999</v>
      </c>
      <c r="BO532" s="3276" t="s">
        <v>3146</v>
      </c>
      <c r="BP532" s="3276"/>
      <c r="BQ532" s="3276">
        <v>7612</v>
      </c>
      <c r="BR532" s="3276">
        <v>7916</v>
      </c>
      <c r="BS532" s="3285"/>
      <c r="BT532" s="3285"/>
      <c r="BU532" s="3285"/>
    </row>
    <row r="533" spans="1:73" hidden="1">
      <c r="A533" s="3267" t="s">
        <v>6844</v>
      </c>
      <c r="B533" s="3267" t="s">
        <v>6845</v>
      </c>
      <c r="C533" s="3269" t="s">
        <v>6846</v>
      </c>
      <c r="D533" s="3269" t="s">
        <v>6847</v>
      </c>
      <c r="E533" s="3268" t="s">
        <v>2985</v>
      </c>
      <c r="F533" s="3268" t="s">
        <v>4386</v>
      </c>
      <c r="G533" s="3267"/>
      <c r="H533" s="3267" t="s">
        <v>4341</v>
      </c>
      <c r="I533" s="3268"/>
      <c r="J533" s="3267" t="s">
        <v>6848</v>
      </c>
      <c r="K533" s="3267" t="s">
        <v>6849</v>
      </c>
      <c r="L533" s="3267">
        <v>72</v>
      </c>
      <c r="M533" s="3267">
        <v>4</v>
      </c>
      <c r="N533" s="3267" t="s">
        <v>3122</v>
      </c>
      <c r="O533" s="3267"/>
      <c r="P533" s="3267" t="s">
        <v>2963</v>
      </c>
      <c r="Q533" s="3271">
        <v>530000</v>
      </c>
      <c r="R533" s="3267">
        <v>7361</v>
      </c>
      <c r="S533" s="3272">
        <v>45.23</v>
      </c>
      <c r="T533" s="3273">
        <v>452300</v>
      </c>
      <c r="U533" s="3267">
        <v>6283</v>
      </c>
      <c r="V533" s="3289">
        <v>0.2</v>
      </c>
      <c r="W533" s="3272">
        <v>36.18</v>
      </c>
      <c r="X533" s="3275">
        <v>361800</v>
      </c>
      <c r="Y533" s="3276">
        <v>2006</v>
      </c>
      <c r="Z533" s="3276">
        <v>6</v>
      </c>
      <c r="AA533" s="3276">
        <v>14</v>
      </c>
      <c r="AB533" s="3267">
        <v>1355</v>
      </c>
      <c r="AC533" s="3267" t="s">
        <v>2980</v>
      </c>
      <c r="AD533" s="3267"/>
      <c r="AE533" s="3279" t="s">
        <v>3487</v>
      </c>
      <c r="AF533" s="3268" t="s">
        <v>2966</v>
      </c>
      <c r="AG533" s="3279" t="s">
        <v>2967</v>
      </c>
      <c r="AH533" s="3267" t="s">
        <v>2968</v>
      </c>
      <c r="AI533" s="3279" t="s">
        <v>2992</v>
      </c>
      <c r="AJ533" s="3284"/>
      <c r="AK533" s="3278">
        <v>6</v>
      </c>
      <c r="AL533" s="3276">
        <v>67641700</v>
      </c>
      <c r="AM533" s="3276"/>
      <c r="AN533" s="3279" t="s">
        <v>3114</v>
      </c>
      <c r="AO533" s="3267" t="s">
        <v>2968</v>
      </c>
      <c r="AP533" s="3279" t="s">
        <v>3305</v>
      </c>
      <c r="AQ533" s="3267" t="s">
        <v>3228</v>
      </c>
      <c r="AR533" s="3276"/>
      <c r="AS533" s="3276"/>
      <c r="AT533" s="3276"/>
      <c r="AU533" s="3276"/>
      <c r="AV533" s="3276" t="s">
        <v>2968</v>
      </c>
      <c r="AW533" s="3276" t="s">
        <v>3171</v>
      </c>
      <c r="AX533" s="3276"/>
      <c r="AY533" s="3291"/>
      <c r="AZ533" s="3267" t="s">
        <v>6849</v>
      </c>
      <c r="BA533" s="3296"/>
      <c r="BB533" s="3297"/>
      <c r="BC533" s="3296"/>
      <c r="BD533" s="3298"/>
      <c r="BE533" s="3276"/>
      <c r="BF533" s="3281"/>
      <c r="BG533" s="3293">
        <v>38860</v>
      </c>
      <c r="BH533" s="3267" t="s">
        <v>2998</v>
      </c>
      <c r="BI533" s="3314" t="s">
        <v>3305</v>
      </c>
      <c r="BJ533" s="3283">
        <v>38862</v>
      </c>
      <c r="BK533" s="3283"/>
      <c r="BL533" s="3267" t="s">
        <v>3249</v>
      </c>
      <c r="BM533" s="3276"/>
      <c r="BN533" s="3276"/>
      <c r="BO533" s="3276"/>
      <c r="BP533" s="3276"/>
      <c r="BQ533" s="3276" t="e">
        <v>#DIV/0!</v>
      </c>
      <c r="BR533" s="3276" t="e">
        <v>#DIV/0!</v>
      </c>
      <c r="BS533" s="3285"/>
      <c r="BT533" s="3285"/>
      <c r="BU533" s="3285"/>
    </row>
    <row r="534" spans="1:73" hidden="1">
      <c r="A534" s="3267" t="s">
        <v>6850</v>
      </c>
      <c r="B534" s="3267" t="s">
        <v>6851</v>
      </c>
      <c r="C534" s="3269" t="s">
        <v>6852</v>
      </c>
      <c r="D534" s="3268">
        <v>13910380109</v>
      </c>
      <c r="E534" s="3267" t="s">
        <v>2985</v>
      </c>
      <c r="F534" s="3267" t="s">
        <v>4268</v>
      </c>
      <c r="G534" s="3267"/>
      <c r="H534" s="3270" t="s">
        <v>3182</v>
      </c>
      <c r="I534" s="3268"/>
      <c r="J534" s="3270" t="s">
        <v>5834</v>
      </c>
      <c r="K534" s="3267" t="s">
        <v>6851</v>
      </c>
      <c r="L534" s="3286">
        <v>106.16</v>
      </c>
      <c r="M534" s="3270">
        <v>3</v>
      </c>
      <c r="N534" s="3268" t="s">
        <v>3122</v>
      </c>
      <c r="O534" s="3267">
        <v>84.08</v>
      </c>
      <c r="P534" s="3267" t="s">
        <v>2963</v>
      </c>
      <c r="Q534" s="3287">
        <v>730000</v>
      </c>
      <c r="R534" s="3288">
        <v>6876</v>
      </c>
      <c r="S534" s="3272">
        <v>64.709999999999994</v>
      </c>
      <c r="T534" s="3273">
        <v>647100</v>
      </c>
      <c r="U534" s="3287">
        <v>6096</v>
      </c>
      <c r="V534" s="3289">
        <v>0.2</v>
      </c>
      <c r="W534" s="3272">
        <v>51.76</v>
      </c>
      <c r="X534" s="3273">
        <v>517600</v>
      </c>
      <c r="Y534" s="3267">
        <v>2006</v>
      </c>
      <c r="Z534" s="3276">
        <v>6</v>
      </c>
      <c r="AA534" s="3276">
        <v>8</v>
      </c>
      <c r="AB534" s="3267">
        <v>1500</v>
      </c>
      <c r="AC534" s="3267" t="s">
        <v>2980</v>
      </c>
      <c r="AD534" s="3267"/>
      <c r="AE534" s="3267" t="s">
        <v>3344</v>
      </c>
      <c r="AF534" s="3267" t="s">
        <v>2966</v>
      </c>
      <c r="AG534" s="3267" t="s">
        <v>2967</v>
      </c>
      <c r="AH534" s="3268"/>
      <c r="AI534" s="3279" t="s">
        <v>2992</v>
      </c>
      <c r="AJ534" s="3270"/>
      <c r="AK534" s="3278">
        <v>6</v>
      </c>
      <c r="AL534" s="3276">
        <v>67641700</v>
      </c>
      <c r="AM534" s="3276"/>
      <c r="AN534" s="3279" t="s">
        <v>3140</v>
      </c>
      <c r="AO534" s="3267"/>
      <c r="AP534" s="3279" t="s">
        <v>3305</v>
      </c>
      <c r="AQ534" s="3267" t="s">
        <v>3228</v>
      </c>
      <c r="AR534" s="3276"/>
      <c r="AS534" s="3276"/>
      <c r="AT534" s="3276"/>
      <c r="AU534" s="3267"/>
      <c r="AV534" s="3267"/>
      <c r="AW534" s="3267" t="s">
        <v>2997</v>
      </c>
      <c r="AX534" s="3267"/>
      <c r="AY534" s="3279"/>
      <c r="AZ534" s="3267" t="s">
        <v>6853</v>
      </c>
      <c r="BA534" s="3267"/>
      <c r="BB534" s="3267"/>
      <c r="BC534" s="3267"/>
      <c r="BD534" s="3267"/>
      <c r="BE534" s="3267"/>
      <c r="BF534" s="3267"/>
      <c r="BG534" s="3293">
        <v>38854</v>
      </c>
      <c r="BH534" s="3267" t="s">
        <v>6854</v>
      </c>
      <c r="BI534" s="3314" t="s">
        <v>3305</v>
      </c>
      <c r="BJ534" s="3284">
        <v>38862</v>
      </c>
      <c r="BK534" s="3284"/>
      <c r="BL534" s="3267" t="s">
        <v>3249</v>
      </c>
      <c r="BM534" s="3267" t="s">
        <v>2879</v>
      </c>
      <c r="BN534" s="3267" t="s">
        <v>2999</v>
      </c>
      <c r="BO534" s="3267" t="s">
        <v>3146</v>
      </c>
      <c r="BP534" s="3267"/>
      <c r="BQ534" s="3276">
        <v>7696</v>
      </c>
      <c r="BR534" s="3276">
        <v>8682</v>
      </c>
      <c r="BS534" s="3285"/>
      <c r="BT534" s="3285"/>
      <c r="BU534" s="3285"/>
    </row>
    <row r="535" spans="1:73" hidden="1">
      <c r="A535" s="3267" t="s">
        <v>6855</v>
      </c>
      <c r="B535" s="3267" t="s">
        <v>6856</v>
      </c>
      <c r="C535" s="3269" t="s">
        <v>6857</v>
      </c>
      <c r="D535" s="3269" t="s">
        <v>6858</v>
      </c>
      <c r="E535" s="3268" t="s">
        <v>2985</v>
      </c>
      <c r="F535" s="3268" t="s">
        <v>4621</v>
      </c>
      <c r="G535" s="3267"/>
      <c r="H535" s="3267" t="s">
        <v>4253</v>
      </c>
      <c r="I535" s="3268"/>
      <c r="J535" s="3267" t="s">
        <v>3649</v>
      </c>
      <c r="K535" s="3267" t="s">
        <v>6856</v>
      </c>
      <c r="L535" s="3267">
        <v>87.43</v>
      </c>
      <c r="M535" s="3267">
        <v>9</v>
      </c>
      <c r="N535" s="3267" t="s">
        <v>3125</v>
      </c>
      <c r="O535" s="3267"/>
      <c r="P535" s="3267" t="s">
        <v>2963</v>
      </c>
      <c r="Q535" s="3271">
        <v>625000</v>
      </c>
      <c r="R535" s="3288">
        <v>7149</v>
      </c>
      <c r="S535" s="3272">
        <v>52.71</v>
      </c>
      <c r="T535" s="3273">
        <v>527100</v>
      </c>
      <c r="U535" s="3267">
        <v>6029</v>
      </c>
      <c r="V535" s="3289">
        <v>0.2</v>
      </c>
      <c r="W535" s="3272">
        <v>42.16</v>
      </c>
      <c r="X535" s="3273">
        <v>421600</v>
      </c>
      <c r="Y535" s="3267">
        <v>2006</v>
      </c>
      <c r="Z535" s="3276">
        <v>6</v>
      </c>
      <c r="AA535" s="3276">
        <v>27</v>
      </c>
      <c r="AB535" s="3267">
        <v>1500</v>
      </c>
      <c r="AC535" s="3267" t="s">
        <v>2980</v>
      </c>
      <c r="AD535" s="3267"/>
      <c r="AE535" s="3279" t="s">
        <v>3180</v>
      </c>
      <c r="AF535" s="3268" t="s">
        <v>2966</v>
      </c>
      <c r="AG535" s="3279" t="s">
        <v>2967</v>
      </c>
      <c r="AH535" s="3267"/>
      <c r="AI535" s="3267" t="s">
        <v>2992</v>
      </c>
      <c r="AJ535" s="3290"/>
      <c r="AK535" s="3278">
        <v>6</v>
      </c>
      <c r="AL535" s="3276">
        <v>67641700</v>
      </c>
      <c r="AM535" s="3267" t="s">
        <v>2968</v>
      </c>
      <c r="AN535" s="3279" t="s">
        <v>3099</v>
      </c>
      <c r="AO535" s="3267"/>
      <c r="AP535" s="3267" t="s">
        <v>3305</v>
      </c>
      <c r="AQ535" s="3267" t="s">
        <v>3228</v>
      </c>
      <c r="AR535" s="3276"/>
      <c r="AS535" s="3276"/>
      <c r="AT535" s="3276"/>
      <c r="AU535" s="3276"/>
      <c r="AV535" s="3276"/>
      <c r="AW535" s="3276" t="s">
        <v>3112</v>
      </c>
      <c r="AX535" s="3276"/>
      <c r="AY535" s="3291"/>
      <c r="AZ535" s="3267" t="s">
        <v>6859</v>
      </c>
      <c r="BA535" s="3296"/>
      <c r="BB535" s="3297"/>
      <c r="BC535" s="3296"/>
      <c r="BD535" s="3298"/>
      <c r="BE535" s="3276"/>
      <c r="BF535" s="3281"/>
      <c r="BG535" s="3293">
        <v>38857</v>
      </c>
      <c r="BH535" s="3267" t="s">
        <v>2998</v>
      </c>
      <c r="BI535" s="3314" t="s">
        <v>3305</v>
      </c>
      <c r="BJ535" s="3283">
        <v>38862</v>
      </c>
      <c r="BK535" s="3283"/>
      <c r="BL535" s="3267" t="s">
        <v>3249</v>
      </c>
      <c r="BM535" s="3276" t="s">
        <v>2879</v>
      </c>
      <c r="BN535" s="3276" t="s">
        <v>2999</v>
      </c>
      <c r="BO535" s="3276" t="s">
        <v>3146</v>
      </c>
      <c r="BP535" s="3276"/>
      <c r="BQ535" s="3276" t="e">
        <v>#DIV/0!</v>
      </c>
      <c r="BR535" s="3276" t="e">
        <v>#DIV/0!</v>
      </c>
      <c r="BS535" s="3285"/>
      <c r="BT535" s="3285"/>
      <c r="BU535" s="3285"/>
    </row>
    <row r="536" spans="1:73" hidden="1">
      <c r="A536" s="3267" t="s">
        <v>6860</v>
      </c>
      <c r="B536" s="3267" t="s">
        <v>6861</v>
      </c>
      <c r="C536" s="3269" t="s">
        <v>6862</v>
      </c>
      <c r="D536" s="3267">
        <v>13311010298</v>
      </c>
      <c r="E536" s="3267" t="s">
        <v>2985</v>
      </c>
      <c r="F536" s="3267" t="s">
        <v>6863</v>
      </c>
      <c r="G536" s="3267"/>
      <c r="H536" s="3267" t="s">
        <v>3402</v>
      </c>
      <c r="I536" s="3267"/>
      <c r="J536" s="3267" t="s">
        <v>6864</v>
      </c>
      <c r="K536" s="3267" t="s">
        <v>6861</v>
      </c>
      <c r="L536" s="3267">
        <v>86.44</v>
      </c>
      <c r="M536" s="3267">
        <v>5</v>
      </c>
      <c r="N536" s="3267" t="s">
        <v>3098</v>
      </c>
      <c r="O536" s="3267"/>
      <c r="P536" s="3267" t="s">
        <v>2963</v>
      </c>
      <c r="Q536" s="3267">
        <v>633000</v>
      </c>
      <c r="R536" s="3267">
        <v>7323</v>
      </c>
      <c r="S536" s="3272">
        <v>61.01</v>
      </c>
      <c r="T536" s="3273">
        <v>610100</v>
      </c>
      <c r="U536" s="3267">
        <v>7059</v>
      </c>
      <c r="V536" s="3274">
        <v>0.2</v>
      </c>
      <c r="W536" s="3272">
        <v>48.8</v>
      </c>
      <c r="X536" s="3275">
        <v>488000</v>
      </c>
      <c r="Y536" s="3267">
        <v>2006</v>
      </c>
      <c r="Z536" s="3267">
        <v>6</v>
      </c>
      <c r="AA536" s="3276">
        <v>24</v>
      </c>
      <c r="AB536" s="3267">
        <v>1500</v>
      </c>
      <c r="AC536" s="3267" t="s">
        <v>2980</v>
      </c>
      <c r="AD536" s="3267"/>
      <c r="AE536" s="3276" t="s">
        <v>3304</v>
      </c>
      <c r="AF536" s="3267" t="s">
        <v>2966</v>
      </c>
      <c r="AG536" s="3267" t="s">
        <v>2967</v>
      </c>
      <c r="AH536" s="3267"/>
      <c r="AI536" s="3267" t="s">
        <v>2992</v>
      </c>
      <c r="AJ536" s="3284"/>
      <c r="AK536" s="3267" t="s">
        <v>3160</v>
      </c>
      <c r="AL536" s="3267">
        <v>67641700</v>
      </c>
      <c r="AM536" s="3267"/>
      <c r="AN536" s="3267" t="s">
        <v>3114</v>
      </c>
      <c r="AO536" s="3267"/>
      <c r="AP536" s="3267" t="s">
        <v>4806</v>
      </c>
      <c r="AQ536" s="3267" t="s">
        <v>3228</v>
      </c>
      <c r="AR536" s="3267"/>
      <c r="AS536" s="3267"/>
      <c r="AT536" s="3267"/>
      <c r="AU536" s="3267"/>
      <c r="AV536" s="3267"/>
      <c r="AW536" s="3267" t="s">
        <v>3171</v>
      </c>
      <c r="AX536" s="3267"/>
      <c r="AY536" s="3269"/>
      <c r="AZ536" s="3268" t="s">
        <v>6865</v>
      </c>
      <c r="BA536" s="3267"/>
      <c r="BB536" s="3267"/>
      <c r="BC536" s="3267"/>
      <c r="BD536" s="3267"/>
      <c r="BE536" s="3267"/>
      <c r="BF536" s="3267"/>
      <c r="BG536" s="3307">
        <v>38852</v>
      </c>
      <c r="BH536" s="3267"/>
      <c r="BI536" s="3267" t="s">
        <v>4806</v>
      </c>
      <c r="BJ536" s="3283">
        <v>38854</v>
      </c>
      <c r="BK536" s="3283"/>
      <c r="BL536" s="3267" t="s">
        <v>3249</v>
      </c>
      <c r="BM536" s="3267"/>
      <c r="BN536" s="3267"/>
      <c r="BO536" s="3267"/>
      <c r="BP536" s="3267"/>
      <c r="BQ536" s="3276" t="e">
        <v>#DIV/0!</v>
      </c>
      <c r="BR536" s="3276" t="e">
        <v>#DIV/0!</v>
      </c>
      <c r="BS536" s="3285"/>
      <c r="BT536" s="3285"/>
      <c r="BU536" s="3285"/>
    </row>
    <row r="537" spans="1:73" hidden="1">
      <c r="A537" s="3268" t="s">
        <v>6866</v>
      </c>
      <c r="B537" s="3267" t="s">
        <v>6867</v>
      </c>
      <c r="C537" s="3269" t="s">
        <v>6868</v>
      </c>
      <c r="D537" s="3269" t="s">
        <v>6869</v>
      </c>
      <c r="E537" s="3267" t="s">
        <v>2985</v>
      </c>
      <c r="F537" s="3268" t="s">
        <v>6063</v>
      </c>
      <c r="G537" s="3267"/>
      <c r="H537" s="3267" t="s">
        <v>3130</v>
      </c>
      <c r="I537" s="3267"/>
      <c r="J537" s="3269" t="s">
        <v>6870</v>
      </c>
      <c r="K537" s="3267" t="s">
        <v>6867</v>
      </c>
      <c r="L537" s="3267">
        <v>52.11</v>
      </c>
      <c r="M537" s="3267">
        <v>7</v>
      </c>
      <c r="N537" s="3267" t="s">
        <v>3122</v>
      </c>
      <c r="O537" s="3267"/>
      <c r="P537" s="3267" t="s">
        <v>2963</v>
      </c>
      <c r="Q537" s="3271">
        <v>385000</v>
      </c>
      <c r="R537" s="3267">
        <v>7388</v>
      </c>
      <c r="S537" s="3272">
        <v>36.19</v>
      </c>
      <c r="T537" s="3273">
        <v>361900</v>
      </c>
      <c r="U537" s="3267">
        <v>6945</v>
      </c>
      <c r="V537" s="3289">
        <v>0.2</v>
      </c>
      <c r="W537" s="3272">
        <v>28.95</v>
      </c>
      <c r="X537" s="3275">
        <v>289500</v>
      </c>
      <c r="Y537" s="3267">
        <v>2006</v>
      </c>
      <c r="Z537" s="3276">
        <v>5</v>
      </c>
      <c r="AA537" s="3276">
        <v>29</v>
      </c>
      <c r="AB537" s="3267">
        <v>1085</v>
      </c>
      <c r="AC537" s="3267" t="s">
        <v>2980</v>
      </c>
      <c r="AD537" s="3267"/>
      <c r="AE537" s="3279" t="s">
        <v>3238</v>
      </c>
      <c r="AF537" s="3267" t="s">
        <v>2966</v>
      </c>
      <c r="AG537" s="3267" t="s">
        <v>2967</v>
      </c>
      <c r="AH537" s="3267" t="s">
        <v>2968</v>
      </c>
      <c r="AI537" s="3279" t="s">
        <v>3295</v>
      </c>
      <c r="AJ537" s="3284"/>
      <c r="AK537" s="3278">
        <v>5</v>
      </c>
      <c r="AL537" s="3276">
        <v>67641700</v>
      </c>
      <c r="AM537" s="3276"/>
      <c r="AN537" s="3279" t="s">
        <v>2994</v>
      </c>
      <c r="AO537" s="3276" t="s">
        <v>2968</v>
      </c>
      <c r="AP537" s="3276" t="s">
        <v>3305</v>
      </c>
      <c r="AQ537" s="3276" t="s">
        <v>3113</v>
      </c>
      <c r="AR537" s="3276"/>
      <c r="AS537" s="3276"/>
      <c r="AT537" s="3276"/>
      <c r="AU537" s="3276"/>
      <c r="AV537" s="3276" t="s">
        <v>2968</v>
      </c>
      <c r="AW537" s="3276" t="s">
        <v>3171</v>
      </c>
      <c r="AX537" s="3276"/>
      <c r="AY537" s="3291"/>
      <c r="AZ537" s="3267"/>
      <c r="BA537" s="3276"/>
      <c r="BB537" s="3291"/>
      <c r="BC537" s="3276"/>
      <c r="BD537" s="3292"/>
      <c r="BE537" s="3276"/>
      <c r="BF537" s="3281"/>
      <c r="BG537" s="3290">
        <v>38770</v>
      </c>
      <c r="BH537" s="3276"/>
      <c r="BI537" s="3267" t="s">
        <v>3238</v>
      </c>
      <c r="BJ537" s="3290">
        <v>38862</v>
      </c>
      <c r="BK537" s="3283"/>
      <c r="BL537" s="3267"/>
      <c r="BM537" s="3276" t="s">
        <v>2879</v>
      </c>
      <c r="BN537" s="3276" t="s">
        <v>2999</v>
      </c>
      <c r="BO537" s="3276" t="s">
        <v>3446</v>
      </c>
      <c r="BP537" s="3276"/>
      <c r="BQ537" s="3276" t="e">
        <v>#DIV/0!</v>
      </c>
      <c r="BR537" s="3276" t="e">
        <v>#DIV/0!</v>
      </c>
      <c r="BS537" s="3285"/>
      <c r="BT537" s="3285"/>
      <c r="BU537" s="3285"/>
    </row>
    <row r="538" spans="1:73" hidden="1">
      <c r="A538" s="3267" t="s">
        <v>6871</v>
      </c>
      <c r="B538" s="3267" t="s">
        <v>6872</v>
      </c>
      <c r="C538" s="3269" t="s">
        <v>6873</v>
      </c>
      <c r="D538" s="3268" t="s">
        <v>6874</v>
      </c>
      <c r="E538" s="3267" t="s">
        <v>2985</v>
      </c>
      <c r="F538" s="3268" t="s">
        <v>3292</v>
      </c>
      <c r="G538" s="3267"/>
      <c r="H538" s="3267" t="s">
        <v>3182</v>
      </c>
      <c r="I538" s="3267"/>
      <c r="J538" s="3269" t="s">
        <v>6875</v>
      </c>
      <c r="K538" s="3267" t="s">
        <v>6876</v>
      </c>
      <c r="L538" s="3300">
        <v>110.19</v>
      </c>
      <c r="M538" s="3267">
        <v>2</v>
      </c>
      <c r="N538" s="3267" t="s">
        <v>3125</v>
      </c>
      <c r="O538" s="3267"/>
      <c r="P538" s="3267" t="s">
        <v>2963</v>
      </c>
      <c r="Q538" s="3317">
        <v>550950</v>
      </c>
      <c r="R538" s="3288">
        <v>5000</v>
      </c>
      <c r="S538" s="3272">
        <v>50.68</v>
      </c>
      <c r="T538" s="3273">
        <v>506800</v>
      </c>
      <c r="U538" s="3317">
        <v>4600</v>
      </c>
      <c r="V538" s="3289">
        <v>0.2</v>
      </c>
      <c r="W538" s="3272">
        <v>40.54</v>
      </c>
      <c r="X538" s="3273">
        <v>405400</v>
      </c>
      <c r="Y538" s="3276">
        <v>2006</v>
      </c>
      <c r="Z538" s="3276">
        <v>6</v>
      </c>
      <c r="AA538" s="3276">
        <v>16</v>
      </c>
      <c r="AB538" s="3267">
        <v>1500</v>
      </c>
      <c r="AC538" s="3267" t="s">
        <v>2980</v>
      </c>
      <c r="AD538" s="3267"/>
      <c r="AE538" s="3276" t="s">
        <v>3295</v>
      </c>
      <c r="AF538" s="3267" t="s">
        <v>2966</v>
      </c>
      <c r="AG538" s="3267" t="s">
        <v>2967</v>
      </c>
      <c r="AH538" s="3267"/>
      <c r="AI538" s="3267" t="s">
        <v>2992</v>
      </c>
      <c r="AJ538" s="3290"/>
      <c r="AK538" s="3316" t="s">
        <v>3160</v>
      </c>
      <c r="AL538" s="3276">
        <v>67641700</v>
      </c>
      <c r="AM538" s="3267" t="s">
        <v>2968</v>
      </c>
      <c r="AN538" s="3279" t="s">
        <v>3114</v>
      </c>
      <c r="AO538" s="3267" t="s">
        <v>6877</v>
      </c>
      <c r="AP538" s="3267" t="s">
        <v>3305</v>
      </c>
      <c r="AQ538" s="3267" t="s">
        <v>3228</v>
      </c>
      <c r="AR538" s="3276"/>
      <c r="AS538" s="3276"/>
      <c r="AT538" s="3276"/>
      <c r="AU538" s="3267"/>
      <c r="AV538" s="3267"/>
      <c r="AW538" s="3267" t="s">
        <v>2997</v>
      </c>
      <c r="AX538" s="3267"/>
      <c r="AY538" s="3267"/>
      <c r="AZ538" s="3267" t="s">
        <v>6876</v>
      </c>
      <c r="BA538" s="3267"/>
      <c r="BB538" s="3267"/>
      <c r="BC538" s="3267"/>
      <c r="BD538" s="3267"/>
      <c r="BE538" s="3267">
        <v>13601281635</v>
      </c>
      <c r="BF538" s="3267"/>
      <c r="BG538" s="3299">
        <v>38862</v>
      </c>
      <c r="BH538" s="3269" t="s">
        <v>2998</v>
      </c>
      <c r="BI538" s="3276" t="s">
        <v>4230</v>
      </c>
      <c r="BJ538" s="3283">
        <v>38870</v>
      </c>
      <c r="BK538" s="3283"/>
      <c r="BL538" s="3267" t="s">
        <v>3249</v>
      </c>
      <c r="BM538" s="3267" t="s">
        <v>6878</v>
      </c>
      <c r="BN538" s="3267" t="s">
        <v>3111</v>
      </c>
      <c r="BO538" s="3267" t="s">
        <v>3000</v>
      </c>
      <c r="BP538" s="3267"/>
      <c r="BQ538" s="3276" t="e">
        <v>#DIV/0!</v>
      </c>
      <c r="BR538" s="3276" t="e">
        <v>#DIV/0!</v>
      </c>
      <c r="BS538" s="3285"/>
      <c r="BT538" s="3285"/>
      <c r="BU538" s="3285"/>
    </row>
    <row r="539" spans="1:73" hidden="1">
      <c r="A539" s="3267" t="s">
        <v>6879</v>
      </c>
      <c r="B539" s="3267" t="s">
        <v>6880</v>
      </c>
      <c r="C539" s="3269" t="s">
        <v>6881</v>
      </c>
      <c r="D539" s="3269">
        <v>13167300535</v>
      </c>
      <c r="E539" s="3268" t="s">
        <v>2985</v>
      </c>
      <c r="F539" s="3268" t="s">
        <v>3224</v>
      </c>
      <c r="G539" s="3267"/>
      <c r="H539" s="3267" t="s">
        <v>4253</v>
      </c>
      <c r="I539" s="3268"/>
      <c r="J539" s="3267" t="s">
        <v>6094</v>
      </c>
      <c r="K539" s="3267" t="s">
        <v>6880</v>
      </c>
      <c r="L539" s="3267">
        <v>80.02</v>
      </c>
      <c r="M539" s="3267">
        <v>7</v>
      </c>
      <c r="N539" s="3267" t="s">
        <v>3122</v>
      </c>
      <c r="O539" s="3267">
        <v>63.74</v>
      </c>
      <c r="P539" s="3267" t="s">
        <v>2963</v>
      </c>
      <c r="Q539" s="3271">
        <v>420000</v>
      </c>
      <c r="R539" s="3267">
        <v>5249</v>
      </c>
      <c r="S539" s="3272">
        <v>36.28</v>
      </c>
      <c r="T539" s="3273">
        <v>362800</v>
      </c>
      <c r="U539" s="3267">
        <v>4535</v>
      </c>
      <c r="V539" s="3289">
        <v>0.2</v>
      </c>
      <c r="W539" s="3272">
        <v>29.02</v>
      </c>
      <c r="X539" s="3275">
        <v>290200</v>
      </c>
      <c r="Y539" s="3276">
        <v>2006</v>
      </c>
      <c r="Z539" s="3276">
        <v>6</v>
      </c>
      <c r="AA539" s="3276">
        <v>5</v>
      </c>
      <c r="AB539" s="3267">
        <v>1085</v>
      </c>
      <c r="AC539" s="3267" t="s">
        <v>2980</v>
      </c>
      <c r="AD539" s="3267"/>
      <c r="AE539" s="3279" t="s">
        <v>3180</v>
      </c>
      <c r="AF539" s="3268" t="s">
        <v>2966</v>
      </c>
      <c r="AG539" s="3279" t="s">
        <v>2967</v>
      </c>
      <c r="AH539" s="3267"/>
      <c r="AI539" s="3279" t="s">
        <v>2992</v>
      </c>
      <c r="AJ539" s="3284"/>
      <c r="AK539" s="3278">
        <v>6</v>
      </c>
      <c r="AL539" s="3276">
        <v>67641700</v>
      </c>
      <c r="AM539" s="3276"/>
      <c r="AN539" s="3279" t="s">
        <v>3140</v>
      </c>
      <c r="AO539" s="3267"/>
      <c r="AP539" s="3279" t="s">
        <v>3305</v>
      </c>
      <c r="AQ539" s="3267" t="s">
        <v>3228</v>
      </c>
      <c r="AR539" s="3276"/>
      <c r="AS539" s="3276"/>
      <c r="AT539" s="3276"/>
      <c r="AU539" s="3276"/>
      <c r="AV539" s="3276"/>
      <c r="AW539" s="3276" t="s">
        <v>2997</v>
      </c>
      <c r="AX539" s="3276"/>
      <c r="AY539" s="3291"/>
      <c r="AZ539" s="3267" t="s">
        <v>6882</v>
      </c>
      <c r="BA539" s="3296"/>
      <c r="BB539" s="3297"/>
      <c r="BC539" s="3296"/>
      <c r="BD539" s="3298"/>
      <c r="BE539" s="3276"/>
      <c r="BF539" s="3281"/>
      <c r="BG539" s="3293">
        <v>38838</v>
      </c>
      <c r="BH539" s="3267" t="s">
        <v>2998</v>
      </c>
      <c r="BI539" s="3314" t="s">
        <v>3305</v>
      </c>
      <c r="BJ539" s="3283">
        <v>38863</v>
      </c>
      <c r="BK539" s="3283"/>
      <c r="BL539" s="3267" t="s">
        <v>3249</v>
      </c>
      <c r="BM539" s="3276" t="s">
        <v>2879</v>
      </c>
      <c r="BN539" s="3276" t="s">
        <v>2999</v>
      </c>
      <c r="BO539" s="3276" t="s">
        <v>3000</v>
      </c>
      <c r="BP539" s="3276"/>
      <c r="BQ539" s="3276">
        <v>5692</v>
      </c>
      <c r="BR539" s="3276">
        <v>6589</v>
      </c>
      <c r="BS539" s="3285"/>
      <c r="BT539" s="3285"/>
      <c r="BU539" s="3285"/>
    </row>
    <row r="540" spans="1:73" hidden="1">
      <c r="A540" s="3267" t="s">
        <v>6883</v>
      </c>
      <c r="B540" s="3267" t="s">
        <v>6884</v>
      </c>
      <c r="C540" s="3269" t="s">
        <v>6885</v>
      </c>
      <c r="D540" s="3269" t="s">
        <v>6886</v>
      </c>
      <c r="E540" s="3267" t="s">
        <v>2985</v>
      </c>
      <c r="F540" s="3267" t="s">
        <v>6887</v>
      </c>
      <c r="G540" s="3267"/>
      <c r="H540" s="3267" t="s">
        <v>6888</v>
      </c>
      <c r="I540" s="3267" t="s">
        <v>3458</v>
      </c>
      <c r="J540" s="3269" t="s">
        <v>3156</v>
      </c>
      <c r="K540" s="3267" t="s">
        <v>6889</v>
      </c>
      <c r="L540" s="3286">
        <v>66.12</v>
      </c>
      <c r="M540" s="3267">
        <v>6</v>
      </c>
      <c r="N540" s="3268" t="s">
        <v>3122</v>
      </c>
      <c r="O540" s="3267"/>
      <c r="P540" s="3267" t="s">
        <v>2963</v>
      </c>
      <c r="Q540" s="3287">
        <v>400000</v>
      </c>
      <c r="R540" s="3267">
        <v>6050</v>
      </c>
      <c r="S540" s="3272">
        <v>40.5</v>
      </c>
      <c r="T540" s="3273">
        <v>405000</v>
      </c>
      <c r="U540" s="3267">
        <v>6126</v>
      </c>
      <c r="V540" s="3289">
        <v>0.2</v>
      </c>
      <c r="W540" s="3272">
        <v>32.4</v>
      </c>
      <c r="X540" s="3275">
        <v>324000</v>
      </c>
      <c r="Y540" s="3276">
        <v>2006</v>
      </c>
      <c r="Z540" s="3276">
        <v>6</v>
      </c>
      <c r="AA540" s="3276">
        <v>8</v>
      </c>
      <c r="AB540" s="3267">
        <v>1215</v>
      </c>
      <c r="AC540" s="3267" t="s">
        <v>2980</v>
      </c>
      <c r="AD540" s="3267"/>
      <c r="AE540" s="3276" t="s">
        <v>3304</v>
      </c>
      <c r="AF540" s="3267" t="s">
        <v>2966</v>
      </c>
      <c r="AG540" s="3279" t="s">
        <v>2967</v>
      </c>
      <c r="AH540" s="3267"/>
      <c r="AI540" s="3267" t="s">
        <v>3295</v>
      </c>
      <c r="AJ540" s="3284"/>
      <c r="AK540" s="3316" t="s">
        <v>3160</v>
      </c>
      <c r="AL540" s="3267">
        <v>67641700</v>
      </c>
      <c r="AM540" s="3267"/>
      <c r="AN540" s="3279" t="s">
        <v>3140</v>
      </c>
      <c r="AO540" s="3267"/>
      <c r="AP540" s="3267" t="s">
        <v>3342</v>
      </c>
      <c r="AQ540" s="3267" t="s">
        <v>3228</v>
      </c>
      <c r="AR540" s="3276"/>
      <c r="AS540" s="3276"/>
      <c r="AT540" s="3276"/>
      <c r="AU540" s="3276"/>
      <c r="AV540" s="3276"/>
      <c r="AW540" s="3276" t="s">
        <v>2968</v>
      </c>
      <c r="AX540" s="3276"/>
      <c r="AY540" s="3291"/>
      <c r="AZ540" s="3267" t="s">
        <v>6889</v>
      </c>
      <c r="BA540" s="3276"/>
      <c r="BB540" s="3291"/>
      <c r="BC540" s="3276"/>
      <c r="BD540" s="3292"/>
      <c r="BE540" s="3276"/>
      <c r="BF540" s="3281"/>
      <c r="BG540" s="3299">
        <v>38863</v>
      </c>
      <c r="BH540" s="3276"/>
      <c r="BI540" s="3267" t="s">
        <v>3342</v>
      </c>
      <c r="BJ540" s="3283">
        <v>38863</v>
      </c>
      <c r="BK540" s="3283"/>
      <c r="BL540" s="3267" t="s">
        <v>2998</v>
      </c>
      <c r="BM540" s="3276" t="s">
        <v>2879</v>
      </c>
      <c r="BN540" s="3276" t="s">
        <v>2999</v>
      </c>
      <c r="BO540" s="3276" t="s">
        <v>3146</v>
      </c>
      <c r="BP540" s="3276"/>
      <c r="BQ540" s="3276"/>
      <c r="BR540" s="3276"/>
      <c r="BS540" s="3285"/>
      <c r="BT540" s="3285"/>
      <c r="BU540" s="3285"/>
    </row>
    <row r="541" spans="1:73" hidden="1">
      <c r="A541" s="3267" t="s">
        <v>6890</v>
      </c>
      <c r="B541" s="3267" t="s">
        <v>6891</v>
      </c>
      <c r="C541" s="3269" t="s">
        <v>6892</v>
      </c>
      <c r="D541" s="3269">
        <v>13381138691</v>
      </c>
      <c r="E541" s="3268" t="s">
        <v>2985</v>
      </c>
      <c r="F541" s="3268" t="s">
        <v>3813</v>
      </c>
      <c r="G541" s="3267"/>
      <c r="H541" s="3267" t="s">
        <v>4724</v>
      </c>
      <c r="I541" s="3268"/>
      <c r="J541" s="3267" t="s">
        <v>3165</v>
      </c>
      <c r="K541" s="3267" t="s">
        <v>6891</v>
      </c>
      <c r="L541" s="3267">
        <v>69.06</v>
      </c>
      <c r="M541" s="3267">
        <v>6</v>
      </c>
      <c r="N541" s="3267" t="s">
        <v>3152</v>
      </c>
      <c r="O541" s="3267">
        <v>54.52</v>
      </c>
      <c r="P541" s="3267" t="s">
        <v>2963</v>
      </c>
      <c r="Q541" s="3271">
        <v>340000</v>
      </c>
      <c r="R541" s="3267">
        <v>4923</v>
      </c>
      <c r="S541" s="3272">
        <v>37.29</v>
      </c>
      <c r="T541" s="3273">
        <v>372900</v>
      </c>
      <c r="U541" s="3267">
        <v>5400</v>
      </c>
      <c r="V541" s="3289">
        <v>0.2</v>
      </c>
      <c r="W541" s="3272">
        <v>29.83</v>
      </c>
      <c r="X541" s="3275">
        <v>298300</v>
      </c>
      <c r="Y541" s="3276">
        <v>2006</v>
      </c>
      <c r="Z541" s="3276">
        <v>5</v>
      </c>
      <c r="AA541" s="3276">
        <v>29</v>
      </c>
      <c r="AB541" s="3267">
        <v>1115</v>
      </c>
      <c r="AC541" s="3267" t="s">
        <v>2980</v>
      </c>
      <c r="AD541" s="3267"/>
      <c r="AE541" s="3314" t="s">
        <v>3245</v>
      </c>
      <c r="AF541" s="3268" t="s">
        <v>2966</v>
      </c>
      <c r="AG541" s="3279" t="s">
        <v>2967</v>
      </c>
      <c r="AH541" s="3267"/>
      <c r="AI541" s="3279" t="s">
        <v>2992</v>
      </c>
      <c r="AJ541" s="3284"/>
      <c r="AK541" s="3278">
        <v>5</v>
      </c>
      <c r="AL541" s="3276">
        <v>67641700</v>
      </c>
      <c r="AM541" s="3276"/>
      <c r="AN541" s="3279" t="s">
        <v>2994</v>
      </c>
      <c r="AO541" s="3267"/>
      <c r="AP541" s="3279" t="s">
        <v>3305</v>
      </c>
      <c r="AQ541" s="3276" t="s">
        <v>3113</v>
      </c>
      <c r="AR541" s="3276"/>
      <c r="AS541" s="3276"/>
      <c r="AT541" s="3276"/>
      <c r="AU541" s="3276"/>
      <c r="AV541" s="3276"/>
      <c r="AW541" s="3276" t="s">
        <v>2997</v>
      </c>
      <c r="AX541" s="3276"/>
      <c r="AY541" s="3291"/>
      <c r="AZ541" s="3267" t="s">
        <v>6893</v>
      </c>
      <c r="BA541" s="3296"/>
      <c r="BB541" s="3297"/>
      <c r="BC541" s="3296"/>
      <c r="BD541" s="3298"/>
      <c r="BE541" s="3276">
        <v>13910656852</v>
      </c>
      <c r="BF541" s="3281"/>
      <c r="BG541" s="3293">
        <v>38854</v>
      </c>
      <c r="BH541" s="3267" t="s">
        <v>2998</v>
      </c>
      <c r="BI541" s="3314" t="s">
        <v>3305</v>
      </c>
      <c r="BJ541" s="3283">
        <v>38863</v>
      </c>
      <c r="BK541" s="3283"/>
      <c r="BL541" s="3267" t="s">
        <v>3249</v>
      </c>
      <c r="BM541" s="3276" t="s">
        <v>2879</v>
      </c>
      <c r="BN541" s="3276" t="s">
        <v>3111</v>
      </c>
      <c r="BO541" s="3276" t="s">
        <v>3146</v>
      </c>
      <c r="BP541" s="3276"/>
      <c r="BQ541" s="3276">
        <v>6840</v>
      </c>
      <c r="BR541" s="3276">
        <v>6236</v>
      </c>
      <c r="BS541" s="3285"/>
      <c r="BT541" s="3285"/>
      <c r="BU541" s="3285"/>
    </row>
    <row r="542" spans="1:73" hidden="1">
      <c r="A542" s="3267" t="s">
        <v>6894</v>
      </c>
      <c r="B542" s="3267" t="s">
        <v>6895</v>
      </c>
      <c r="C542" s="3269" t="s">
        <v>6896</v>
      </c>
      <c r="D542" s="3269" t="s">
        <v>6897</v>
      </c>
      <c r="E542" s="3268" t="s">
        <v>2985</v>
      </c>
      <c r="F542" s="3268" t="s">
        <v>3919</v>
      </c>
      <c r="G542" s="3267"/>
      <c r="H542" s="3267" t="s">
        <v>3118</v>
      </c>
      <c r="I542" s="3268"/>
      <c r="J542" s="3267">
        <v>1909</v>
      </c>
      <c r="K542" s="3267" t="s">
        <v>2949</v>
      </c>
      <c r="L542" s="3267">
        <v>63.77</v>
      </c>
      <c r="M542" s="3267">
        <v>19</v>
      </c>
      <c r="N542" s="3268" t="s">
        <v>3152</v>
      </c>
      <c r="O542" s="3267">
        <v>51.62</v>
      </c>
      <c r="P542" s="3268" t="s">
        <v>2963</v>
      </c>
      <c r="Q542" s="3271">
        <v>400000</v>
      </c>
      <c r="R542" s="3267">
        <v>6273</v>
      </c>
      <c r="S542" s="3272">
        <v>38.130000000000003</v>
      </c>
      <c r="T542" s="3362">
        <v>381300</v>
      </c>
      <c r="U542" s="3267">
        <v>5980</v>
      </c>
      <c r="V542" s="3289">
        <v>0.2</v>
      </c>
      <c r="W542" s="3272">
        <v>30.5</v>
      </c>
      <c r="X542" s="3275">
        <v>305000</v>
      </c>
      <c r="Y542" s="3276">
        <v>2006</v>
      </c>
      <c r="Z542" s="3276">
        <v>6</v>
      </c>
      <c r="AA542" s="3267">
        <v>21</v>
      </c>
      <c r="AB542" s="3267">
        <v>1140</v>
      </c>
      <c r="AC542" s="3267" t="s">
        <v>2980</v>
      </c>
      <c r="AD542" s="3267"/>
      <c r="AE542" s="3279" t="s">
        <v>3304</v>
      </c>
      <c r="AF542" s="3268" t="s">
        <v>2966</v>
      </c>
      <c r="AG542" s="3279" t="s">
        <v>2967</v>
      </c>
      <c r="AH542" s="3267" t="s">
        <v>2968</v>
      </c>
      <c r="AI542" s="3279" t="s">
        <v>2992</v>
      </c>
      <c r="AJ542" s="3284"/>
      <c r="AK542" s="3278">
        <v>6</v>
      </c>
      <c r="AL542" s="3276">
        <v>67641700</v>
      </c>
      <c r="AM542" s="3276"/>
      <c r="AN542" s="3279" t="s">
        <v>2994</v>
      </c>
      <c r="AO542" s="3276"/>
      <c r="AP542" s="3276" t="s">
        <v>3396</v>
      </c>
      <c r="AQ542" s="3267" t="s">
        <v>3228</v>
      </c>
      <c r="AR542" s="3276"/>
      <c r="AS542" s="3276"/>
      <c r="AT542" s="3276"/>
      <c r="AU542" s="3276" t="s">
        <v>2968</v>
      </c>
      <c r="AV542" s="3276" t="s">
        <v>2968</v>
      </c>
      <c r="AW542" s="3276" t="s">
        <v>3171</v>
      </c>
      <c r="AX542" s="3276"/>
      <c r="AY542" s="3291"/>
      <c r="AZ542" s="3267" t="s">
        <v>2949</v>
      </c>
      <c r="BA542" s="3296"/>
      <c r="BB542" s="3297"/>
      <c r="BC542" s="3296"/>
      <c r="BD542" s="3298"/>
      <c r="BE542" s="3276"/>
      <c r="BF542" s="3281"/>
      <c r="BG542" s="3293">
        <v>38490</v>
      </c>
      <c r="BH542" s="3267"/>
      <c r="BI542" s="3276" t="s">
        <v>3396</v>
      </c>
      <c r="BJ542" s="3283">
        <v>38863</v>
      </c>
      <c r="BK542" s="3283" t="s">
        <v>2968</v>
      </c>
      <c r="BL542" s="3267" t="s">
        <v>2998</v>
      </c>
      <c r="BM542" s="3276" t="s">
        <v>2879</v>
      </c>
      <c r="BN542" s="3276" t="s">
        <v>3111</v>
      </c>
      <c r="BO542" s="3276" t="s">
        <v>3000</v>
      </c>
      <c r="BP542" s="3276"/>
      <c r="BQ542" s="3276">
        <v>7388</v>
      </c>
      <c r="BR542" s="3276">
        <v>7749</v>
      </c>
      <c r="BS542" s="3285"/>
      <c r="BT542" s="3285"/>
      <c r="BU542" s="3285"/>
    </row>
    <row r="543" spans="1:73" hidden="1">
      <c r="A543" s="3267" t="s">
        <v>6898</v>
      </c>
      <c r="B543" s="3268" t="s">
        <v>6899</v>
      </c>
      <c r="C543" s="3269" t="s">
        <v>6900</v>
      </c>
      <c r="D543" s="3268">
        <v>13501070380</v>
      </c>
      <c r="E543" s="3267" t="s">
        <v>2985</v>
      </c>
      <c r="F543" s="3268" t="s">
        <v>3733</v>
      </c>
      <c r="G543" s="3268"/>
      <c r="H543" s="3268" t="s">
        <v>3411</v>
      </c>
      <c r="I543" s="3268"/>
      <c r="J543" s="3280" t="s">
        <v>6901</v>
      </c>
      <c r="K543" s="3268" t="s">
        <v>6899</v>
      </c>
      <c r="L543" s="3270">
        <v>73.75</v>
      </c>
      <c r="M543" s="3270">
        <v>3</v>
      </c>
      <c r="N543" s="3268" t="s">
        <v>3122</v>
      </c>
      <c r="O543" s="3270"/>
      <c r="P543" s="3267" t="s">
        <v>2963</v>
      </c>
      <c r="Q543" s="3271">
        <v>500000</v>
      </c>
      <c r="R543" s="3267">
        <v>6780</v>
      </c>
      <c r="S543" s="3272">
        <v>42.4</v>
      </c>
      <c r="T543" s="3273">
        <v>424000</v>
      </c>
      <c r="U543" s="3267">
        <v>5750</v>
      </c>
      <c r="V543" s="3274">
        <v>0.2</v>
      </c>
      <c r="W543" s="3272">
        <v>33.92</v>
      </c>
      <c r="X543" s="3275">
        <v>339200</v>
      </c>
      <c r="Y543" s="3276">
        <v>2006</v>
      </c>
      <c r="Z543" s="3276">
        <v>6</v>
      </c>
      <c r="AA543" s="3276">
        <v>2</v>
      </c>
      <c r="AB543" s="3267">
        <v>1270</v>
      </c>
      <c r="AC543" s="3267" t="s">
        <v>2980</v>
      </c>
      <c r="AD543" s="3268"/>
      <c r="AE543" s="3267" t="s">
        <v>3304</v>
      </c>
      <c r="AF543" s="3268" t="s">
        <v>2966</v>
      </c>
      <c r="AG543" s="3268" t="s">
        <v>2967</v>
      </c>
      <c r="AH543" s="3268"/>
      <c r="AI543" s="3279" t="s">
        <v>2992</v>
      </c>
      <c r="AJ543" s="3290"/>
      <c r="AK543" s="3278" t="s">
        <v>3160</v>
      </c>
      <c r="AL543" s="3276">
        <v>67641700</v>
      </c>
      <c r="AM543" s="3276"/>
      <c r="AN543" s="3276" t="s">
        <v>3131</v>
      </c>
      <c r="AO543" s="3276"/>
      <c r="AP543" s="3279" t="s">
        <v>3305</v>
      </c>
      <c r="AQ543" s="3276" t="s">
        <v>3113</v>
      </c>
      <c r="AR543" s="3267"/>
      <c r="AS543" s="3267"/>
      <c r="AT543" s="3267"/>
      <c r="AU543" s="3267"/>
      <c r="AV543" s="3277"/>
      <c r="AW543" s="3306" t="s">
        <v>2997</v>
      </c>
      <c r="AX543" s="3268"/>
      <c r="AY543" s="3268"/>
      <c r="AZ543" s="3268" t="s">
        <v>6902</v>
      </c>
      <c r="BA543" s="3268"/>
      <c r="BB543" s="3280"/>
      <c r="BC543" s="3268"/>
      <c r="BD543" s="3268"/>
      <c r="BE543" s="3268"/>
      <c r="BF543" s="3281"/>
      <c r="BG543" s="3307">
        <v>38829</v>
      </c>
      <c r="BH543" s="3368" t="s">
        <v>2998</v>
      </c>
      <c r="BI543" s="3314" t="s">
        <v>4230</v>
      </c>
      <c r="BJ543" s="3299">
        <v>38863</v>
      </c>
      <c r="BK543" s="3284"/>
      <c r="BL543" s="3267" t="s">
        <v>3249</v>
      </c>
      <c r="BM543" s="3267" t="s">
        <v>2879</v>
      </c>
      <c r="BN543" s="3276" t="s">
        <v>3111</v>
      </c>
      <c r="BO543" s="3267" t="s">
        <v>3146</v>
      </c>
      <c r="BP543" s="3276"/>
      <c r="BQ543" s="3276" t="e">
        <v>#DIV/0!</v>
      </c>
      <c r="BR543" s="3276" t="e">
        <v>#DIV/0!</v>
      </c>
      <c r="BS543" s="3285"/>
      <c r="BT543" s="3285"/>
      <c r="BU543" s="3285"/>
    </row>
    <row r="544" spans="1:73" hidden="1">
      <c r="A544" s="3267" t="s">
        <v>6903</v>
      </c>
      <c r="B544" s="3268" t="s">
        <v>6904</v>
      </c>
      <c r="C544" s="3269" t="s">
        <v>6905</v>
      </c>
      <c r="D544" s="3268">
        <v>13671048139</v>
      </c>
      <c r="E544" s="3267" t="s">
        <v>2985</v>
      </c>
      <c r="F544" s="3268" t="s">
        <v>3719</v>
      </c>
      <c r="G544" s="3268"/>
      <c r="H544" s="3268" t="s">
        <v>6364</v>
      </c>
      <c r="I544" s="3268"/>
      <c r="J544" s="3280" t="s">
        <v>3878</v>
      </c>
      <c r="K544" s="3268" t="s">
        <v>6906</v>
      </c>
      <c r="L544" s="3270">
        <v>87.19</v>
      </c>
      <c r="M544" s="3270">
        <v>6</v>
      </c>
      <c r="N544" s="3268" t="s">
        <v>3122</v>
      </c>
      <c r="O544" s="3270">
        <v>71.650000000000006</v>
      </c>
      <c r="P544" s="3267" t="s">
        <v>2963</v>
      </c>
      <c r="Q544" s="3271">
        <v>600000</v>
      </c>
      <c r="R544" s="3267">
        <v>6882</v>
      </c>
      <c r="S544" s="3272">
        <v>47.25</v>
      </c>
      <c r="T544" s="3273">
        <v>472500</v>
      </c>
      <c r="U544" s="3267">
        <v>5420</v>
      </c>
      <c r="V544" s="3274">
        <v>0.2</v>
      </c>
      <c r="W544" s="3272">
        <v>37.799999999999997</v>
      </c>
      <c r="X544" s="3275">
        <v>378000</v>
      </c>
      <c r="Y544" s="3276">
        <v>2006</v>
      </c>
      <c r="Z544" s="3276">
        <v>6</v>
      </c>
      <c r="AA544" s="3276">
        <v>15</v>
      </c>
      <c r="AB544" s="3267">
        <v>1415</v>
      </c>
      <c r="AC544" s="3267" t="s">
        <v>2980</v>
      </c>
      <c r="AD544" s="3268"/>
      <c r="AE544" s="3267" t="s">
        <v>3304</v>
      </c>
      <c r="AF544" s="3268" t="s">
        <v>2966</v>
      </c>
      <c r="AG544" s="3268" t="s">
        <v>2967</v>
      </c>
      <c r="AH544" s="3268"/>
      <c r="AI544" s="3279" t="s">
        <v>2992</v>
      </c>
      <c r="AJ544" s="3290"/>
      <c r="AK544" s="3278" t="s">
        <v>3160</v>
      </c>
      <c r="AL544" s="3276">
        <v>67641700</v>
      </c>
      <c r="AM544" s="3276"/>
      <c r="AN544" s="3276" t="s">
        <v>3114</v>
      </c>
      <c r="AO544" s="3276" t="s">
        <v>6907</v>
      </c>
      <c r="AP544" s="3279" t="s">
        <v>3305</v>
      </c>
      <c r="AQ544" s="3267" t="s">
        <v>3228</v>
      </c>
      <c r="AR544" s="3267"/>
      <c r="AS544" s="3267"/>
      <c r="AT544" s="3267"/>
      <c r="AU544" s="3267"/>
      <c r="AV544" s="3277"/>
      <c r="AW544" s="3306" t="s">
        <v>2997</v>
      </c>
      <c r="AX544" s="3268"/>
      <c r="AY544" s="3268"/>
      <c r="AZ544" s="3268" t="s">
        <v>6906</v>
      </c>
      <c r="BA544" s="3268"/>
      <c r="BB544" s="3280"/>
      <c r="BC544" s="3268"/>
      <c r="BD544" s="3268"/>
      <c r="BE544" s="3268">
        <v>13693044177</v>
      </c>
      <c r="BF544" s="3281"/>
      <c r="BG544" s="3307">
        <v>38863</v>
      </c>
      <c r="BH544" s="3368" t="s">
        <v>2998</v>
      </c>
      <c r="BI544" s="3314" t="s">
        <v>4230</v>
      </c>
      <c r="BJ544" s="3299">
        <v>38863</v>
      </c>
      <c r="BK544" s="3284"/>
      <c r="BL544" s="3267" t="s">
        <v>3249</v>
      </c>
      <c r="BM544" s="3267" t="s">
        <v>2879</v>
      </c>
      <c r="BN544" s="3276" t="s">
        <v>3111</v>
      </c>
      <c r="BO544" s="3267" t="s">
        <v>3146</v>
      </c>
      <c r="BP544" s="3276"/>
      <c r="BQ544" s="3276">
        <v>6595</v>
      </c>
      <c r="BR544" s="3276">
        <v>8374</v>
      </c>
      <c r="BS544" s="3285"/>
      <c r="BT544" s="3285"/>
      <c r="BU544" s="3285"/>
    </row>
    <row r="545" spans="1:73" hidden="1">
      <c r="A545" s="3267" t="s">
        <v>6908</v>
      </c>
      <c r="B545" s="3268" t="s">
        <v>6909</v>
      </c>
      <c r="C545" s="3269" t="s">
        <v>6910</v>
      </c>
      <c r="D545" s="3268">
        <v>13910180557</v>
      </c>
      <c r="E545" s="3268" t="s">
        <v>2985</v>
      </c>
      <c r="F545" s="3268" t="s">
        <v>6911</v>
      </c>
      <c r="G545" s="3268"/>
      <c r="H545" s="3268" t="s">
        <v>3263</v>
      </c>
      <c r="I545" s="3268"/>
      <c r="J545" s="3268" t="s">
        <v>6912</v>
      </c>
      <c r="K545" s="3268" t="s">
        <v>6913</v>
      </c>
      <c r="L545" s="3270">
        <v>139.44999999999999</v>
      </c>
      <c r="M545" s="3270">
        <v>8</v>
      </c>
      <c r="N545" s="3267" t="s">
        <v>3116</v>
      </c>
      <c r="O545" s="3270">
        <v>115.96</v>
      </c>
      <c r="P545" s="3267" t="s">
        <v>2963</v>
      </c>
      <c r="Q545" s="3271">
        <v>751000</v>
      </c>
      <c r="R545" s="3267">
        <v>5385</v>
      </c>
      <c r="S545" s="3272">
        <v>77.599999999999994</v>
      </c>
      <c r="T545" s="3273">
        <v>776000</v>
      </c>
      <c r="U545" s="3267">
        <v>5565</v>
      </c>
      <c r="V545" s="3289">
        <v>0.2</v>
      </c>
      <c r="W545" s="3272">
        <v>62.08</v>
      </c>
      <c r="X545" s="3275">
        <v>620800</v>
      </c>
      <c r="Y545" s="3276">
        <v>2006</v>
      </c>
      <c r="Z545" s="3276">
        <v>6</v>
      </c>
      <c r="AA545" s="3276">
        <v>21</v>
      </c>
      <c r="AB545" s="3267">
        <v>1500</v>
      </c>
      <c r="AC545" s="3267" t="s">
        <v>2980</v>
      </c>
      <c r="AD545" s="3268"/>
      <c r="AE545" s="3279" t="s">
        <v>3344</v>
      </c>
      <c r="AF545" s="3267" t="s">
        <v>2966</v>
      </c>
      <c r="AG545" s="3268" t="s">
        <v>2967</v>
      </c>
      <c r="AH545" s="3268"/>
      <c r="AI545" s="3267" t="s">
        <v>2992</v>
      </c>
      <c r="AJ545" s="3290"/>
      <c r="AK545" s="3278">
        <v>6</v>
      </c>
      <c r="AL545" s="3276">
        <v>67641700</v>
      </c>
      <c r="AM545" s="3276"/>
      <c r="AN545" s="3279" t="s">
        <v>2994</v>
      </c>
      <c r="AO545" s="3267"/>
      <c r="AP545" s="3279" t="s">
        <v>3305</v>
      </c>
      <c r="AQ545" s="3267" t="s">
        <v>3228</v>
      </c>
      <c r="AR545" s="3267"/>
      <c r="AS545" s="3267"/>
      <c r="AT545" s="3267"/>
      <c r="AU545" s="3267"/>
      <c r="AV545" s="3277"/>
      <c r="AW545" s="3276" t="s">
        <v>2997</v>
      </c>
      <c r="AX545" s="3276"/>
      <c r="AY545" s="3276"/>
      <c r="AZ545" s="3267" t="s">
        <v>6913</v>
      </c>
      <c r="BA545" s="3296"/>
      <c r="BB545" s="3297"/>
      <c r="BC545" s="3296"/>
      <c r="BD545" s="3298"/>
      <c r="BE545" s="3276">
        <v>13241112881</v>
      </c>
      <c r="BF545" s="3281"/>
      <c r="BG545" s="3293">
        <v>38817</v>
      </c>
      <c r="BH545" s="3267" t="s">
        <v>2998</v>
      </c>
      <c r="BI545" s="3314" t="s">
        <v>3305</v>
      </c>
      <c r="BJ545" s="3283">
        <v>38866</v>
      </c>
      <c r="BK545" s="3284"/>
      <c r="BL545" s="3267" t="s">
        <v>3249</v>
      </c>
      <c r="BM545" s="3267" t="s">
        <v>2879</v>
      </c>
      <c r="BN545" s="3267" t="s">
        <v>2999</v>
      </c>
      <c r="BO545" s="3267" t="s">
        <v>3146</v>
      </c>
      <c r="BP545" s="3276"/>
      <c r="BQ545" s="3276">
        <v>6692</v>
      </c>
      <c r="BR545" s="3276">
        <v>6476</v>
      </c>
      <c r="BS545" s="3285"/>
      <c r="BT545" s="3285"/>
      <c r="BU545" s="3285"/>
    </row>
    <row r="546" spans="1:73" hidden="1">
      <c r="A546" s="3268" t="s">
        <v>6914</v>
      </c>
      <c r="B546" s="3268" t="s">
        <v>6915</v>
      </c>
      <c r="C546" s="3269" t="s">
        <v>6916</v>
      </c>
      <c r="D546" s="3268">
        <v>13681299175</v>
      </c>
      <c r="E546" s="3268" t="s">
        <v>2985</v>
      </c>
      <c r="F546" s="3267" t="s">
        <v>4285</v>
      </c>
      <c r="G546" s="3267"/>
      <c r="H546" s="3270" t="s">
        <v>3150</v>
      </c>
      <c r="I546" s="3268" t="s">
        <v>6917</v>
      </c>
      <c r="J546" s="3270" t="s">
        <v>6918</v>
      </c>
      <c r="K546" s="3267" t="s">
        <v>6919</v>
      </c>
      <c r="L546" s="3267">
        <v>80.709999999999994</v>
      </c>
      <c r="M546" s="3270">
        <v>12</v>
      </c>
      <c r="N546" s="3267" t="s">
        <v>3125</v>
      </c>
      <c r="O546" s="3267"/>
      <c r="P546" s="3267" t="s">
        <v>2963</v>
      </c>
      <c r="Q546" s="3271">
        <v>550000</v>
      </c>
      <c r="R546" s="3267">
        <v>6815</v>
      </c>
      <c r="S546" s="3272">
        <v>56.86</v>
      </c>
      <c r="T546" s="3273">
        <v>568600</v>
      </c>
      <c r="U546" s="3267">
        <v>7046</v>
      </c>
      <c r="V546" s="3289">
        <v>0.2</v>
      </c>
      <c r="W546" s="3272">
        <v>45.48</v>
      </c>
      <c r="X546" s="3275">
        <v>454800</v>
      </c>
      <c r="Y546" s="3276">
        <v>2006</v>
      </c>
      <c r="Z546" s="3276">
        <v>6</v>
      </c>
      <c r="AA546" s="3267">
        <v>20</v>
      </c>
      <c r="AB546" s="3267">
        <v>1500</v>
      </c>
      <c r="AC546" s="3267" t="s">
        <v>2980</v>
      </c>
      <c r="AD546" s="3267"/>
      <c r="AE546" s="3268" t="s">
        <v>3238</v>
      </c>
      <c r="AF546" s="3268" t="s">
        <v>2966</v>
      </c>
      <c r="AG546" s="3279" t="s">
        <v>2967</v>
      </c>
      <c r="AH546" s="3267" t="s">
        <v>2968</v>
      </c>
      <c r="AI546" s="3268" t="s">
        <v>2992</v>
      </c>
      <c r="AJ546" s="3284"/>
      <c r="AK546" s="3278">
        <v>6</v>
      </c>
      <c r="AL546" s="3276">
        <v>67641700</v>
      </c>
      <c r="AM546" s="3276"/>
      <c r="AN546" s="3279" t="s">
        <v>2994</v>
      </c>
      <c r="AO546" s="3268" t="s">
        <v>6920</v>
      </c>
      <c r="AP546" s="3268" t="s">
        <v>4395</v>
      </c>
      <c r="AQ546" s="3267" t="s">
        <v>3228</v>
      </c>
      <c r="AR546" s="3267"/>
      <c r="AS546" s="3267"/>
      <c r="AT546" s="3267"/>
      <c r="AU546" s="3267"/>
      <c r="AV546" s="3267" t="s">
        <v>2968</v>
      </c>
      <c r="AW546" s="3267" t="s">
        <v>3171</v>
      </c>
      <c r="AX546" s="3267"/>
      <c r="AY546" s="3269"/>
      <c r="AZ546" s="3267" t="s">
        <v>6919</v>
      </c>
      <c r="BA546" s="3267"/>
      <c r="BB546" s="3269"/>
      <c r="BC546" s="3267"/>
      <c r="BD546" s="3267"/>
      <c r="BE546" s="3267"/>
      <c r="BF546" s="3305"/>
      <c r="BG546" s="3284">
        <v>38866</v>
      </c>
      <c r="BH546" s="3356"/>
      <c r="BI546" s="3268" t="s">
        <v>3238</v>
      </c>
      <c r="BJ546" s="3283">
        <v>38869</v>
      </c>
      <c r="BK546" s="3303"/>
      <c r="BL546" s="3267" t="s">
        <v>2998</v>
      </c>
      <c r="BM546" s="3276" t="s">
        <v>3345</v>
      </c>
      <c r="BN546" s="3276" t="s">
        <v>2999</v>
      </c>
      <c r="BO546" s="3276" t="s">
        <v>3446</v>
      </c>
      <c r="BP546" s="3276"/>
      <c r="BQ546" s="3276" t="e">
        <v>#DIV/0!</v>
      </c>
      <c r="BR546" s="3276" t="e">
        <v>#DIV/0!</v>
      </c>
      <c r="BS546" s="3285"/>
      <c r="BT546" s="3285"/>
      <c r="BU546" s="3285"/>
    </row>
    <row r="547" spans="1:73" hidden="1">
      <c r="A547" s="3267" t="s">
        <v>6921</v>
      </c>
      <c r="B547" s="3267" t="s">
        <v>6922</v>
      </c>
      <c r="C547" s="3269" t="s">
        <v>6923</v>
      </c>
      <c r="D547" s="3269" t="s">
        <v>6924</v>
      </c>
      <c r="E547" s="3267" t="s">
        <v>2985</v>
      </c>
      <c r="F547" s="3244" t="s">
        <v>6925</v>
      </c>
      <c r="G547" s="3267"/>
      <c r="H547" s="3267" t="s">
        <v>5490</v>
      </c>
      <c r="I547" s="3267"/>
      <c r="J547" s="3269" t="s">
        <v>4317</v>
      </c>
      <c r="K547" s="3267" t="s">
        <v>6926</v>
      </c>
      <c r="L547" s="3267">
        <v>120.92</v>
      </c>
      <c r="M547" s="3267">
        <v>10</v>
      </c>
      <c r="N547" s="3267" t="s">
        <v>3303</v>
      </c>
      <c r="O547" s="3267">
        <v>103.34</v>
      </c>
      <c r="P547" s="3267" t="s">
        <v>2963</v>
      </c>
      <c r="Q547" s="3271">
        <v>418988</v>
      </c>
      <c r="R547" s="3267">
        <v>3465</v>
      </c>
      <c r="S547" s="3272">
        <v>41.89</v>
      </c>
      <c r="T547" s="3273">
        <v>418900</v>
      </c>
      <c r="U547" s="3267">
        <v>3465</v>
      </c>
      <c r="V547" s="3289">
        <v>0.2</v>
      </c>
      <c r="W547" s="3272">
        <v>33.51</v>
      </c>
      <c r="X547" s="3275">
        <v>335100</v>
      </c>
      <c r="Y547" s="3276">
        <v>2006</v>
      </c>
      <c r="Z547" s="3276">
        <v>6</v>
      </c>
      <c r="AA547" s="3276">
        <v>28</v>
      </c>
      <c r="AB547" s="3267">
        <v>1255</v>
      </c>
      <c r="AC547" s="3267" t="s">
        <v>2980</v>
      </c>
      <c r="AD547" s="3267"/>
      <c r="AE547" s="3276" t="s">
        <v>3245</v>
      </c>
      <c r="AF547" s="3267" t="s">
        <v>2966</v>
      </c>
      <c r="AG547" s="3279" t="s">
        <v>5571</v>
      </c>
      <c r="AH547" s="3267"/>
      <c r="AI547" s="3267" t="s">
        <v>2992</v>
      </c>
      <c r="AJ547" s="3284"/>
      <c r="AK547" s="3316" t="s">
        <v>3160</v>
      </c>
      <c r="AL547" s="3276">
        <v>67641700</v>
      </c>
      <c r="AM547" s="3276"/>
      <c r="AN547" s="3276" t="s">
        <v>3099</v>
      </c>
      <c r="AO547" s="3276"/>
      <c r="AP547" s="3276" t="s">
        <v>3305</v>
      </c>
      <c r="AQ547" s="3267" t="s">
        <v>3228</v>
      </c>
      <c r="AR547" s="3276"/>
      <c r="AS547" s="3276"/>
      <c r="AT547" s="3276"/>
      <c r="AU547" s="3276"/>
      <c r="AV547" s="3276"/>
      <c r="AW547" s="3276" t="s">
        <v>2997</v>
      </c>
      <c r="AX547" s="3276" t="s">
        <v>6927</v>
      </c>
      <c r="AY547" s="3291" t="s">
        <v>6928</v>
      </c>
      <c r="AZ547" s="3276" t="s">
        <v>6926</v>
      </c>
      <c r="BA547" s="3276"/>
      <c r="BB547" s="3291"/>
      <c r="BC547" s="3276"/>
      <c r="BD547" s="3292"/>
      <c r="BE547" s="3276">
        <v>13911765976</v>
      </c>
      <c r="BF547" s="3281"/>
      <c r="BG547" s="3299">
        <v>38863</v>
      </c>
      <c r="BH547" s="3276" t="s">
        <v>2998</v>
      </c>
      <c r="BI547" s="3276" t="s">
        <v>4230</v>
      </c>
      <c r="BJ547" s="3283">
        <v>38867</v>
      </c>
      <c r="BK547" s="3283"/>
      <c r="BL547" s="3267" t="s">
        <v>3249</v>
      </c>
      <c r="BM547" s="3276" t="s">
        <v>2879</v>
      </c>
      <c r="BN547" s="3276" t="s">
        <v>3111</v>
      </c>
      <c r="BO547" s="3276" t="s">
        <v>3000</v>
      </c>
      <c r="BP547" s="3276"/>
      <c r="BQ547" s="3276">
        <v>4054</v>
      </c>
      <c r="BR547" s="3276">
        <v>4054</v>
      </c>
      <c r="BS547" s="3285"/>
      <c r="BT547" s="3285"/>
      <c r="BU547" s="3285"/>
    </row>
    <row r="548" spans="1:73" hidden="1">
      <c r="A548" s="3267" t="s">
        <v>6929</v>
      </c>
      <c r="B548" s="3267" t="s">
        <v>6930</v>
      </c>
      <c r="C548" s="3269" t="s">
        <v>6931</v>
      </c>
      <c r="D548" s="3268">
        <v>13501108837</v>
      </c>
      <c r="E548" s="3267" t="s">
        <v>2985</v>
      </c>
      <c r="F548" s="3268" t="s">
        <v>6932</v>
      </c>
      <c r="G548" s="3267"/>
      <c r="H548" s="3267" t="s">
        <v>6933</v>
      </c>
      <c r="I548" s="3267" t="s">
        <v>4544</v>
      </c>
      <c r="J548" s="3269" t="s">
        <v>6934</v>
      </c>
      <c r="K548" s="3267" t="s">
        <v>6930</v>
      </c>
      <c r="L548" s="3267">
        <v>98.76</v>
      </c>
      <c r="M548" s="3267">
        <v>13</v>
      </c>
      <c r="N548" s="3267" t="s">
        <v>3122</v>
      </c>
      <c r="O548" s="3267"/>
      <c r="P548" s="3267" t="s">
        <v>2963</v>
      </c>
      <c r="Q548" s="3367">
        <v>600000</v>
      </c>
      <c r="R548" s="3267">
        <v>6075</v>
      </c>
      <c r="S548" s="3272">
        <v>56.19</v>
      </c>
      <c r="T548" s="3273">
        <v>561900</v>
      </c>
      <c r="U548" s="3267">
        <v>5690</v>
      </c>
      <c r="V548" s="3289">
        <v>0.2</v>
      </c>
      <c r="W548" s="3272">
        <v>44.95</v>
      </c>
      <c r="X548" s="3275">
        <v>449500</v>
      </c>
      <c r="Y548" s="3276">
        <v>2006</v>
      </c>
      <c r="Z548" s="3276">
        <v>6</v>
      </c>
      <c r="AA548" s="3276">
        <v>1</v>
      </c>
      <c r="AB548" s="3267">
        <v>1500</v>
      </c>
      <c r="AC548" s="3267" t="s">
        <v>2980</v>
      </c>
      <c r="AD548" s="3267"/>
      <c r="AE548" s="3267" t="s">
        <v>3304</v>
      </c>
      <c r="AF548" s="3267" t="s">
        <v>2966</v>
      </c>
      <c r="AG548" s="3267" t="s">
        <v>2967</v>
      </c>
      <c r="AH548" s="3267"/>
      <c r="AI548" s="3267" t="s">
        <v>2992</v>
      </c>
      <c r="AJ548" s="3284"/>
      <c r="AK548" s="3316" t="s">
        <v>3160</v>
      </c>
      <c r="AL548" s="3276">
        <v>67641700</v>
      </c>
      <c r="AM548" s="3276"/>
      <c r="AN548" s="3279" t="s">
        <v>3131</v>
      </c>
      <c r="AO548" s="3267"/>
      <c r="AP548" s="3267" t="s">
        <v>3305</v>
      </c>
      <c r="AQ548" s="3276" t="s">
        <v>3113</v>
      </c>
      <c r="AR548" s="3276"/>
      <c r="AS548" s="3276"/>
      <c r="AT548" s="3276"/>
      <c r="AU548" s="3276"/>
      <c r="AV548" s="3276"/>
      <c r="AW548" s="3276" t="s">
        <v>3119</v>
      </c>
      <c r="AX548" s="3276"/>
      <c r="AY548" s="3291"/>
      <c r="AZ548" s="3267" t="s">
        <v>6935</v>
      </c>
      <c r="BA548" s="3276"/>
      <c r="BB548" s="3292"/>
      <c r="BC548" s="3276"/>
      <c r="BD548" s="3292"/>
      <c r="BE548" s="3276"/>
      <c r="BF548" s="3281"/>
      <c r="BG548" s="3299">
        <v>38807</v>
      </c>
      <c r="BH548" s="3267" t="s">
        <v>2998</v>
      </c>
      <c r="BI548" s="3276" t="s">
        <v>4230</v>
      </c>
      <c r="BJ548" s="3299">
        <v>38867</v>
      </c>
      <c r="BK548" s="3283"/>
      <c r="BL548" s="3267" t="s">
        <v>3249</v>
      </c>
      <c r="BM548" s="3276" t="s">
        <v>2879</v>
      </c>
      <c r="BN548" s="3276" t="s">
        <v>2999</v>
      </c>
      <c r="BO548" s="3276" t="s">
        <v>3000</v>
      </c>
      <c r="BP548" s="3276"/>
      <c r="BQ548" s="3276" t="e">
        <v>#DIV/0!</v>
      </c>
      <c r="BR548" s="3276" t="e">
        <v>#DIV/0!</v>
      </c>
      <c r="BS548" s="3285"/>
      <c r="BT548" s="3285"/>
      <c r="BU548" s="3285"/>
    </row>
    <row r="549" spans="1:73" hidden="1">
      <c r="A549" s="3268" t="s">
        <v>6936</v>
      </c>
      <c r="B549" s="3267" t="s">
        <v>6937</v>
      </c>
      <c r="C549" s="3267" t="s">
        <v>6938</v>
      </c>
      <c r="D549" s="3267">
        <v>13911321215</v>
      </c>
      <c r="E549" s="3267" t="s">
        <v>2985</v>
      </c>
      <c r="F549" s="3267" t="s">
        <v>3613</v>
      </c>
      <c r="G549" s="3267"/>
      <c r="H549" s="3267" t="s">
        <v>3402</v>
      </c>
      <c r="I549" s="3267"/>
      <c r="J549" s="3267" t="s">
        <v>6939</v>
      </c>
      <c r="K549" s="3267" t="s">
        <v>6940</v>
      </c>
      <c r="L549" s="3267">
        <v>62.82</v>
      </c>
      <c r="M549" s="3267">
        <v>5</v>
      </c>
      <c r="N549" s="3267" t="s">
        <v>3122</v>
      </c>
      <c r="O549" s="3267"/>
      <c r="P549" s="3267" t="s">
        <v>2963</v>
      </c>
      <c r="Q549" s="3267">
        <v>500000</v>
      </c>
      <c r="R549" s="3288">
        <v>7959</v>
      </c>
      <c r="S549" s="3272">
        <v>43.79</v>
      </c>
      <c r="T549" s="3273">
        <v>437900</v>
      </c>
      <c r="U549" s="3267">
        <v>6972</v>
      </c>
      <c r="V549" s="3289">
        <v>0.2</v>
      </c>
      <c r="W549" s="3272">
        <v>35.03</v>
      </c>
      <c r="X549" s="3273">
        <v>350300</v>
      </c>
      <c r="Y549" s="3267">
        <v>2006</v>
      </c>
      <c r="Z549" s="3276">
        <v>7</v>
      </c>
      <c r="AA549" s="3267">
        <v>5</v>
      </c>
      <c r="AB549" s="3267">
        <v>1310</v>
      </c>
      <c r="AC549" s="3267" t="s">
        <v>2980</v>
      </c>
      <c r="AD549" s="3267"/>
      <c r="AE549" s="3267" t="s">
        <v>3537</v>
      </c>
      <c r="AF549" s="3267" t="s">
        <v>2966</v>
      </c>
      <c r="AG549" s="3267" t="s">
        <v>2967</v>
      </c>
      <c r="AH549" s="3267"/>
      <c r="AI549" s="3267" t="s">
        <v>3115</v>
      </c>
      <c r="AJ549" s="3267"/>
      <c r="AK549" s="3278">
        <v>7</v>
      </c>
      <c r="AL549" s="3267">
        <v>82253558</v>
      </c>
      <c r="AM549" s="3267"/>
      <c r="AN549" s="3267" t="s">
        <v>3131</v>
      </c>
      <c r="AO549" s="3267"/>
      <c r="AP549" s="3267" t="s">
        <v>3180</v>
      </c>
      <c r="AQ549" s="3267" t="s">
        <v>3228</v>
      </c>
      <c r="AR549" s="3267"/>
      <c r="AS549" s="3267"/>
      <c r="AT549" s="3276"/>
      <c r="AU549" s="3267"/>
      <c r="AV549" s="3267"/>
      <c r="AW549" s="3267" t="s">
        <v>2997</v>
      </c>
      <c r="AX549" s="3267"/>
      <c r="AY549" s="3267"/>
      <c r="AZ549" s="3267" t="s">
        <v>6940</v>
      </c>
      <c r="BA549" s="3267"/>
      <c r="BB549" s="3267"/>
      <c r="BC549" s="3267"/>
      <c r="BD549" s="3267"/>
      <c r="BE549" s="3267">
        <v>13651237895</v>
      </c>
      <c r="BF549" s="3267"/>
      <c r="BG549" s="3290">
        <v>38890</v>
      </c>
      <c r="BH549" s="3267" t="s">
        <v>3054</v>
      </c>
      <c r="BI549" s="3268" t="s">
        <v>3537</v>
      </c>
      <c r="BJ549" s="3290">
        <v>38890</v>
      </c>
      <c r="BK549" s="3267"/>
      <c r="BL549" s="3267" t="s">
        <v>2998</v>
      </c>
      <c r="BM549" s="3267" t="s">
        <v>2879</v>
      </c>
      <c r="BN549" s="3267" t="s">
        <v>3111</v>
      </c>
      <c r="BO549" s="3267" t="s">
        <v>3616</v>
      </c>
      <c r="BP549" s="3267"/>
      <c r="BQ549" s="3276" t="e">
        <v>#DIV/0!</v>
      </c>
      <c r="BR549" s="3276" t="e">
        <v>#DIV/0!</v>
      </c>
      <c r="BS549" s="3285"/>
      <c r="BT549" s="3285"/>
      <c r="BU549" s="3285"/>
    </row>
    <row r="550" spans="1:73" hidden="1">
      <c r="A550" s="3267" t="s">
        <v>6941</v>
      </c>
      <c r="B550" s="3268" t="s">
        <v>6942</v>
      </c>
      <c r="C550" s="3269" t="s">
        <v>6943</v>
      </c>
      <c r="D550" s="3268">
        <v>13811201166</v>
      </c>
      <c r="E550" s="3267" t="s">
        <v>2985</v>
      </c>
      <c r="F550" s="3268" t="s">
        <v>6944</v>
      </c>
      <c r="G550" s="3268"/>
      <c r="H550" s="3268" t="s">
        <v>3182</v>
      </c>
      <c r="I550" s="3268" t="s">
        <v>3608</v>
      </c>
      <c r="J550" s="3280" t="s">
        <v>3165</v>
      </c>
      <c r="K550" s="3268" t="s">
        <v>6942</v>
      </c>
      <c r="L550" s="3270">
        <v>88.7</v>
      </c>
      <c r="M550" s="3270">
        <v>6</v>
      </c>
      <c r="N550" s="3268" t="s">
        <v>3122</v>
      </c>
      <c r="O550" s="3270">
        <v>80.209999999999994</v>
      </c>
      <c r="P550" s="3267" t="s">
        <v>2963</v>
      </c>
      <c r="Q550" s="3271">
        <v>590000</v>
      </c>
      <c r="R550" s="3267">
        <v>6652</v>
      </c>
      <c r="S550" s="3272">
        <v>45.39</v>
      </c>
      <c r="T550" s="3273">
        <v>453900</v>
      </c>
      <c r="U550" s="3267">
        <v>5118</v>
      </c>
      <c r="V550" s="3274">
        <v>0.2</v>
      </c>
      <c r="W550" s="3272">
        <v>36.31</v>
      </c>
      <c r="X550" s="3275">
        <v>363100</v>
      </c>
      <c r="Y550" s="3276">
        <v>2006</v>
      </c>
      <c r="Z550" s="3276">
        <v>6</v>
      </c>
      <c r="AA550" s="3276">
        <v>23</v>
      </c>
      <c r="AB550" s="3267">
        <v>1360</v>
      </c>
      <c r="AC550" s="3267" t="s">
        <v>2980</v>
      </c>
      <c r="AD550" s="3268"/>
      <c r="AE550" s="3267" t="s">
        <v>3304</v>
      </c>
      <c r="AF550" s="3268" t="s">
        <v>2966</v>
      </c>
      <c r="AG550" s="3268" t="s">
        <v>2967</v>
      </c>
      <c r="AH550" s="3268"/>
      <c r="AI550" s="3279" t="s">
        <v>2992</v>
      </c>
      <c r="AJ550" s="3290"/>
      <c r="AK550" s="3278" t="s">
        <v>3160</v>
      </c>
      <c r="AL550" s="3276">
        <v>67641700</v>
      </c>
      <c r="AM550" s="3276"/>
      <c r="AN550" s="3276" t="s">
        <v>2994</v>
      </c>
      <c r="AO550" s="3276"/>
      <c r="AP550" s="3279" t="s">
        <v>3305</v>
      </c>
      <c r="AQ550" s="3267" t="s">
        <v>3228</v>
      </c>
      <c r="AR550" s="3267"/>
      <c r="AS550" s="3267"/>
      <c r="AT550" s="3267"/>
      <c r="AU550" s="3267"/>
      <c r="AV550" s="3277"/>
      <c r="AW550" s="3306" t="s">
        <v>3119</v>
      </c>
      <c r="AX550" s="3268"/>
      <c r="AY550" s="3268"/>
      <c r="AZ550" s="3268" t="s">
        <v>6945</v>
      </c>
      <c r="BA550" s="3268"/>
      <c r="BB550" s="3280"/>
      <c r="BC550" s="3268"/>
      <c r="BD550" s="3268"/>
      <c r="BE550" s="3268" t="s">
        <v>6946</v>
      </c>
      <c r="BF550" s="3281"/>
      <c r="BG550" s="3307">
        <v>38867</v>
      </c>
      <c r="BH550" s="3368" t="s">
        <v>2998</v>
      </c>
      <c r="BI550" s="3276" t="s">
        <v>4230</v>
      </c>
      <c r="BJ550" s="3299">
        <v>38867</v>
      </c>
      <c r="BK550" s="3284"/>
      <c r="BL550" s="3267" t="s">
        <v>3249</v>
      </c>
      <c r="BM550" s="3267" t="s">
        <v>2879</v>
      </c>
      <c r="BN550" s="3276" t="s">
        <v>2999</v>
      </c>
      <c r="BO550" s="3267" t="s">
        <v>3146</v>
      </c>
      <c r="BP550" s="3276"/>
      <c r="BQ550" s="3276">
        <v>5659</v>
      </c>
      <c r="BR550" s="3276">
        <v>7356</v>
      </c>
      <c r="BS550" s="3285"/>
      <c r="BT550" s="3285"/>
      <c r="BU550" s="3285"/>
    </row>
    <row r="551" spans="1:73" hidden="1">
      <c r="A551" s="3267" t="s">
        <v>6947</v>
      </c>
      <c r="B551" s="3267" t="s">
        <v>6948</v>
      </c>
      <c r="C551" s="3269" t="s">
        <v>6949</v>
      </c>
      <c r="D551" s="3269" t="s">
        <v>6950</v>
      </c>
      <c r="E551" s="3268" t="s">
        <v>2985</v>
      </c>
      <c r="F551" s="3268" t="s">
        <v>5426</v>
      </c>
      <c r="G551" s="3267"/>
      <c r="H551" s="3267" t="s">
        <v>4253</v>
      </c>
      <c r="I551" s="3268" t="s">
        <v>4347</v>
      </c>
      <c r="J551" s="3267" t="s">
        <v>6951</v>
      </c>
      <c r="K551" s="3267" t="s">
        <v>6952</v>
      </c>
      <c r="L551" s="3267">
        <v>102.82</v>
      </c>
      <c r="M551" s="3267">
        <v>3</v>
      </c>
      <c r="N551" s="3267" t="s">
        <v>5916</v>
      </c>
      <c r="O551" s="3267" t="s">
        <v>2968</v>
      </c>
      <c r="P551" s="3267" t="s">
        <v>2963</v>
      </c>
      <c r="Q551" s="3271">
        <v>605000</v>
      </c>
      <c r="R551" s="3267">
        <v>5884</v>
      </c>
      <c r="S551" s="3272">
        <v>56.55</v>
      </c>
      <c r="T551" s="3273">
        <v>565500</v>
      </c>
      <c r="U551" s="3267">
        <v>5500</v>
      </c>
      <c r="V551" s="3289">
        <v>0.2</v>
      </c>
      <c r="W551" s="3272">
        <v>45.24</v>
      </c>
      <c r="X551" s="3275">
        <v>452400</v>
      </c>
      <c r="Y551" s="3276">
        <v>2006</v>
      </c>
      <c r="Z551" s="3276">
        <v>6</v>
      </c>
      <c r="AA551" s="3276">
        <v>19</v>
      </c>
      <c r="AB551" s="3267">
        <v>1500</v>
      </c>
      <c r="AC551" s="3267" t="s">
        <v>2980</v>
      </c>
      <c r="AD551" s="3267"/>
      <c r="AE551" s="3314" t="s">
        <v>3245</v>
      </c>
      <c r="AF551" s="3268" t="s">
        <v>2966</v>
      </c>
      <c r="AG551" s="3279" t="s">
        <v>2967</v>
      </c>
      <c r="AH551" s="3267"/>
      <c r="AI551" s="3279" t="s">
        <v>2992</v>
      </c>
      <c r="AJ551" s="3284"/>
      <c r="AK551" s="3278">
        <v>6</v>
      </c>
      <c r="AL551" s="3276">
        <v>67641700</v>
      </c>
      <c r="AM551" s="3276"/>
      <c r="AN551" s="3279" t="s">
        <v>2994</v>
      </c>
      <c r="AO551" s="3267"/>
      <c r="AP551" s="3279" t="s">
        <v>3305</v>
      </c>
      <c r="AQ551" s="3267" t="s">
        <v>3228</v>
      </c>
      <c r="AR551" s="3276"/>
      <c r="AS551" s="3276"/>
      <c r="AT551" s="3276"/>
      <c r="AU551" s="3276"/>
      <c r="AV551" s="3276"/>
      <c r="AW551" s="3276" t="s">
        <v>3119</v>
      </c>
      <c r="AX551" s="3276"/>
      <c r="AY551" s="3291"/>
      <c r="AZ551" s="3267" t="s">
        <v>6952</v>
      </c>
      <c r="BA551" s="3296"/>
      <c r="BB551" s="3297"/>
      <c r="BC551" s="3296"/>
      <c r="BD551" s="3298"/>
      <c r="BE551" s="3276"/>
      <c r="BF551" s="3281"/>
      <c r="BG551" s="3293">
        <v>38863</v>
      </c>
      <c r="BH551" s="3267" t="s">
        <v>2998</v>
      </c>
      <c r="BI551" s="3314" t="s">
        <v>3305</v>
      </c>
      <c r="BJ551" s="3283">
        <v>38868</v>
      </c>
      <c r="BK551" s="3283"/>
      <c r="BL551" s="3267" t="s">
        <v>3249</v>
      </c>
      <c r="BM551" s="3276" t="s">
        <v>2879</v>
      </c>
      <c r="BN551" s="3276" t="s">
        <v>3111</v>
      </c>
      <c r="BO551" s="3276" t="s">
        <v>3146</v>
      </c>
      <c r="BP551" s="3276"/>
      <c r="BQ551" s="3276" t="e">
        <v>#VALUE!</v>
      </c>
      <c r="BR551" s="3276" t="e">
        <v>#VALUE!</v>
      </c>
      <c r="BS551" s="3285"/>
      <c r="BT551" s="3285"/>
      <c r="BU551" s="3285"/>
    </row>
    <row r="552" spans="1:73" hidden="1">
      <c r="A552" s="3267" t="s">
        <v>6953</v>
      </c>
      <c r="B552" s="3267" t="s">
        <v>6954</v>
      </c>
      <c r="C552" s="3269" t="s">
        <v>6955</v>
      </c>
      <c r="D552" s="3269" t="s">
        <v>6956</v>
      </c>
      <c r="E552" s="3268" t="s">
        <v>2985</v>
      </c>
      <c r="F552" s="3268" t="s">
        <v>3864</v>
      </c>
      <c r="G552" s="3267"/>
      <c r="H552" s="3267" t="s">
        <v>4015</v>
      </c>
      <c r="I552" s="3268" t="s">
        <v>6093</v>
      </c>
      <c r="J552" s="3267" t="s">
        <v>6957</v>
      </c>
      <c r="K552" s="3267" t="s">
        <v>6954</v>
      </c>
      <c r="L552" s="3267">
        <v>103.7</v>
      </c>
      <c r="M552" s="3267">
        <v>28</v>
      </c>
      <c r="N552" s="3267" t="s">
        <v>3125</v>
      </c>
      <c r="O552" s="3267">
        <v>85.3</v>
      </c>
      <c r="P552" s="3267" t="s">
        <v>2963</v>
      </c>
      <c r="Q552" s="3271">
        <v>620000</v>
      </c>
      <c r="R552" s="3267">
        <v>5979</v>
      </c>
      <c r="S552" s="3272">
        <v>60.97</v>
      </c>
      <c r="T552" s="3273">
        <v>609700</v>
      </c>
      <c r="U552" s="3267">
        <v>5880</v>
      </c>
      <c r="V552" s="3289">
        <v>0.2</v>
      </c>
      <c r="W552" s="3272">
        <v>48.77</v>
      </c>
      <c r="X552" s="3275">
        <v>487700</v>
      </c>
      <c r="Y552" s="3276">
        <v>2006</v>
      </c>
      <c r="Z552" s="3276">
        <v>6</v>
      </c>
      <c r="AA552" s="3276">
        <v>21</v>
      </c>
      <c r="AB552" s="3267">
        <v>1500</v>
      </c>
      <c r="AC552" s="3267" t="s">
        <v>2980</v>
      </c>
      <c r="AD552" s="3267"/>
      <c r="AE552" s="3279" t="s">
        <v>3180</v>
      </c>
      <c r="AF552" s="3268" t="s">
        <v>2966</v>
      </c>
      <c r="AG552" s="3279" t="s">
        <v>2967</v>
      </c>
      <c r="AH552" s="3267"/>
      <c r="AI552" s="3279" t="s">
        <v>2992</v>
      </c>
      <c r="AJ552" s="3284"/>
      <c r="AK552" s="3278">
        <v>6</v>
      </c>
      <c r="AL552" s="3276">
        <v>67641700</v>
      </c>
      <c r="AM552" s="3276" t="s">
        <v>2968</v>
      </c>
      <c r="AN552" s="3279" t="s">
        <v>2994</v>
      </c>
      <c r="AO552" s="3267"/>
      <c r="AP552" s="3279" t="s">
        <v>3305</v>
      </c>
      <c r="AQ552" s="3267" t="s">
        <v>3228</v>
      </c>
      <c r="AR552" s="3276"/>
      <c r="AS552" s="3276"/>
      <c r="AT552" s="3276"/>
      <c r="AU552" s="3276"/>
      <c r="AV552" s="3276"/>
      <c r="AW552" s="3276" t="s">
        <v>2997</v>
      </c>
      <c r="AX552" s="3276"/>
      <c r="AY552" s="3291"/>
      <c r="AZ552" s="3267" t="s">
        <v>6958</v>
      </c>
      <c r="BA552" s="3296"/>
      <c r="BB552" s="3297"/>
      <c r="BC552" s="3296"/>
      <c r="BD552" s="3298"/>
      <c r="BE552" s="3276"/>
      <c r="BF552" s="3281"/>
      <c r="BG552" s="3293">
        <v>38854</v>
      </c>
      <c r="BH552" s="3267" t="s">
        <v>2998</v>
      </c>
      <c r="BI552" s="3314" t="s">
        <v>3305</v>
      </c>
      <c r="BJ552" s="3283">
        <v>38868</v>
      </c>
      <c r="BK552" s="3283"/>
      <c r="BL552" s="3267" t="s">
        <v>3249</v>
      </c>
      <c r="BM552" s="3276" t="s">
        <v>2879</v>
      </c>
      <c r="BN552" s="3276" t="s">
        <v>2999</v>
      </c>
      <c r="BO552" s="3276" t="s">
        <v>3146</v>
      </c>
      <c r="BP552" s="3276"/>
      <c r="BQ552" s="3276">
        <v>7148</v>
      </c>
      <c r="BR552" s="3276">
        <v>7268</v>
      </c>
      <c r="BS552" s="3285"/>
      <c r="BT552" s="3285"/>
      <c r="BU552" s="3285"/>
    </row>
    <row r="553" spans="1:73" hidden="1">
      <c r="A553" s="3267" t="s">
        <v>6959</v>
      </c>
      <c r="B553" s="3268" t="s">
        <v>6960</v>
      </c>
      <c r="C553" s="3269" t="s">
        <v>6961</v>
      </c>
      <c r="D553" s="3268" t="s">
        <v>6962</v>
      </c>
      <c r="E553" s="3267" t="s">
        <v>2985</v>
      </c>
      <c r="F553" s="3267" t="s">
        <v>6963</v>
      </c>
      <c r="G553" s="3267"/>
      <c r="H553" s="3270" t="s">
        <v>3139</v>
      </c>
      <c r="I553" s="3268" t="s">
        <v>3458</v>
      </c>
      <c r="J553" s="3270" t="s">
        <v>6964</v>
      </c>
      <c r="K553" s="3267" t="s">
        <v>6960</v>
      </c>
      <c r="L553" s="3286">
        <v>57.27</v>
      </c>
      <c r="M553" s="3270">
        <v>5</v>
      </c>
      <c r="N553" s="3267" t="s">
        <v>3122</v>
      </c>
      <c r="O553" s="3267" t="s">
        <v>2968</v>
      </c>
      <c r="P553" s="3267" t="s">
        <v>2963</v>
      </c>
      <c r="Q553" s="3287">
        <v>320000</v>
      </c>
      <c r="R553" s="3288">
        <v>5588</v>
      </c>
      <c r="S553" s="3272">
        <v>26.28</v>
      </c>
      <c r="T553" s="3273">
        <v>262800</v>
      </c>
      <c r="U553" s="3287">
        <v>4590</v>
      </c>
      <c r="V553" s="3289">
        <v>0.2</v>
      </c>
      <c r="W553" s="3272">
        <v>21.02</v>
      </c>
      <c r="X553" s="3273">
        <v>210200</v>
      </c>
      <c r="Y553" s="3267">
        <v>2006</v>
      </c>
      <c r="Z553" s="3276">
        <v>7</v>
      </c>
      <c r="AA553" s="3276">
        <v>11</v>
      </c>
      <c r="AB553" s="3267">
        <v>785</v>
      </c>
      <c r="AC553" s="3267" t="s">
        <v>2980</v>
      </c>
      <c r="AD553" s="3280"/>
      <c r="AE553" s="3267" t="s">
        <v>3180</v>
      </c>
      <c r="AF553" s="3267" t="s">
        <v>2966</v>
      </c>
      <c r="AG553" s="3267" t="s">
        <v>2967</v>
      </c>
      <c r="AH553" s="3268"/>
      <c r="AI553" s="3279" t="s">
        <v>2992</v>
      </c>
      <c r="AJ553" s="3290"/>
      <c r="AK553" s="3278">
        <v>7</v>
      </c>
      <c r="AL553" s="3276">
        <v>26</v>
      </c>
      <c r="AM553" s="3267" t="s">
        <v>6965</v>
      </c>
      <c r="AN553" s="3279" t="s">
        <v>3140</v>
      </c>
      <c r="AO553" s="3267"/>
      <c r="AP553" s="3279" t="s">
        <v>3305</v>
      </c>
      <c r="AQ553" s="3267" t="s">
        <v>3228</v>
      </c>
      <c r="AR553" s="3276"/>
      <c r="AS553" s="3276"/>
      <c r="AT553" s="3276"/>
      <c r="AU553" s="3267"/>
      <c r="AV553" s="3267"/>
      <c r="AW553" s="3267" t="s">
        <v>2997</v>
      </c>
      <c r="AX553" s="3267"/>
      <c r="AY553" s="3276"/>
      <c r="AZ553" s="3267" t="s">
        <v>6966</v>
      </c>
      <c r="BA553" s="3296"/>
      <c r="BB553" s="3297"/>
      <c r="BC553" s="3296"/>
      <c r="BD553" s="3298"/>
      <c r="BE553" s="3276"/>
      <c r="BF553" s="3281"/>
      <c r="BG553" s="3293">
        <v>38849</v>
      </c>
      <c r="BH553" s="3267" t="s">
        <v>2998</v>
      </c>
      <c r="BI553" s="3314" t="s">
        <v>3305</v>
      </c>
      <c r="BJ553" s="3283">
        <v>38868</v>
      </c>
      <c r="BK553" s="3284"/>
      <c r="BL553" s="3267" t="s">
        <v>3249</v>
      </c>
      <c r="BM553" s="3267" t="s">
        <v>2879</v>
      </c>
      <c r="BN553" s="3267" t="s">
        <v>3111</v>
      </c>
      <c r="BO553" s="3267" t="s">
        <v>3146</v>
      </c>
      <c r="BP553" s="3267"/>
      <c r="BQ553" s="3276" t="e">
        <v>#VALUE!</v>
      </c>
      <c r="BR553" s="3276" t="e">
        <v>#VALUE!</v>
      </c>
      <c r="BS553" s="3285"/>
      <c r="BT553" s="3285"/>
      <c r="BU553" s="3285"/>
    </row>
    <row r="554" spans="1:73" hidden="1">
      <c r="A554" s="3267" t="s">
        <v>6967</v>
      </c>
      <c r="B554" s="3267" t="s">
        <v>6968</v>
      </c>
      <c r="C554" s="3269" t="s">
        <v>6969</v>
      </c>
      <c r="D554" s="3269" t="s">
        <v>6970</v>
      </c>
      <c r="E554" s="3267" t="s">
        <v>2985</v>
      </c>
      <c r="F554" s="3308" t="s">
        <v>3324</v>
      </c>
      <c r="G554" s="3267"/>
      <c r="H554" s="3267" t="s">
        <v>3594</v>
      </c>
      <c r="I554" s="3268" t="s">
        <v>3823</v>
      </c>
      <c r="J554" s="3269" t="s">
        <v>6971</v>
      </c>
      <c r="K554" s="3267" t="s">
        <v>6972</v>
      </c>
      <c r="L554" s="3267">
        <v>97.23</v>
      </c>
      <c r="M554" s="3269">
        <v>14</v>
      </c>
      <c r="N554" s="3267" t="s">
        <v>3125</v>
      </c>
      <c r="O554" s="3267"/>
      <c r="P554" s="3267" t="s">
        <v>2963</v>
      </c>
      <c r="Q554" s="3271">
        <v>680000</v>
      </c>
      <c r="R554" s="3267">
        <v>6994</v>
      </c>
      <c r="S554" s="3272">
        <v>54.74</v>
      </c>
      <c r="T554" s="3273">
        <v>547400</v>
      </c>
      <c r="U554" s="3267">
        <v>5630</v>
      </c>
      <c r="V554" s="3289">
        <v>0.2</v>
      </c>
      <c r="W554" s="3272">
        <v>43.79</v>
      </c>
      <c r="X554" s="3275">
        <v>437900</v>
      </c>
      <c r="Y554" s="3276">
        <v>2006</v>
      </c>
      <c r="Z554" s="3276">
        <v>6</v>
      </c>
      <c r="AA554" s="3276">
        <v>15</v>
      </c>
      <c r="AB554" s="3267">
        <v>1500</v>
      </c>
      <c r="AC554" s="3267" t="s">
        <v>2980</v>
      </c>
      <c r="AD554" s="3267"/>
      <c r="AE554" s="3276" t="s">
        <v>3245</v>
      </c>
      <c r="AF554" s="3267" t="s">
        <v>2966</v>
      </c>
      <c r="AG554" s="3279" t="s">
        <v>2967</v>
      </c>
      <c r="AH554" s="3267"/>
      <c r="AI554" s="3279" t="s">
        <v>2992</v>
      </c>
      <c r="AJ554" s="3284"/>
      <c r="AK554" s="3278">
        <v>6</v>
      </c>
      <c r="AL554" s="3276">
        <v>67641700</v>
      </c>
      <c r="AM554" s="3276"/>
      <c r="AN554" s="3279" t="s">
        <v>3114</v>
      </c>
      <c r="AO554" s="3267" t="s">
        <v>6973</v>
      </c>
      <c r="AP554" s="3279" t="s">
        <v>3305</v>
      </c>
      <c r="AQ554" s="3267" t="s">
        <v>3228</v>
      </c>
      <c r="AR554" s="3276"/>
      <c r="AS554" s="3276"/>
      <c r="AT554" s="3276"/>
      <c r="AU554" s="3276"/>
      <c r="AV554" s="3276"/>
      <c r="AW554" s="3276" t="s">
        <v>2997</v>
      </c>
      <c r="AX554" s="3276"/>
      <c r="AY554" s="3291"/>
      <c r="AZ554" s="3267" t="s">
        <v>6972</v>
      </c>
      <c r="BA554" s="3276"/>
      <c r="BB554" s="3291"/>
      <c r="BC554" s="3276"/>
      <c r="BD554" s="3292"/>
      <c r="BE554" s="3276"/>
      <c r="BF554" s="3281"/>
      <c r="BG554" s="3299">
        <v>38832</v>
      </c>
      <c r="BH554" s="3267" t="s">
        <v>2998</v>
      </c>
      <c r="BI554" s="3314" t="s">
        <v>4230</v>
      </c>
      <c r="BJ554" s="3283">
        <v>38876</v>
      </c>
      <c r="BK554" s="3299"/>
      <c r="BL554" s="3267" t="s">
        <v>3249</v>
      </c>
      <c r="BM554" s="3276" t="s">
        <v>2879</v>
      </c>
      <c r="BN554" s="3276" t="s">
        <v>2999</v>
      </c>
      <c r="BO554" s="3276" t="s">
        <v>3146</v>
      </c>
      <c r="BP554" s="3276"/>
      <c r="BQ554" s="3276" t="e">
        <v>#DIV/0!</v>
      </c>
      <c r="BR554" s="3276" t="e">
        <v>#DIV/0!</v>
      </c>
      <c r="BS554" s="3285"/>
      <c r="BT554" s="3285"/>
      <c r="BU554" s="3285"/>
    </row>
    <row r="555" spans="1:73" hidden="1">
      <c r="A555" s="3267" t="s">
        <v>6974</v>
      </c>
      <c r="B555" s="3267" t="s">
        <v>6975</v>
      </c>
      <c r="C555" s="3269" t="s">
        <v>6976</v>
      </c>
      <c r="D555" s="3269" t="s">
        <v>6977</v>
      </c>
      <c r="E555" s="3268" t="s">
        <v>2985</v>
      </c>
      <c r="F555" s="3268" t="s">
        <v>6978</v>
      </c>
      <c r="G555" s="3267"/>
      <c r="H555" s="3267" t="s">
        <v>3225</v>
      </c>
      <c r="I555" s="3268" t="s">
        <v>4622</v>
      </c>
      <c r="J555" s="3267" t="s">
        <v>3173</v>
      </c>
      <c r="K555" s="3267" t="s">
        <v>6979</v>
      </c>
      <c r="L555" s="3267">
        <v>56.99</v>
      </c>
      <c r="M555" s="3267">
        <v>2</v>
      </c>
      <c r="N555" s="3267" t="s">
        <v>3122</v>
      </c>
      <c r="O555" s="3267" t="s">
        <v>2968</v>
      </c>
      <c r="P555" s="3267" t="s">
        <v>2963</v>
      </c>
      <c r="Q555" s="3271">
        <v>260000</v>
      </c>
      <c r="R555" s="3267">
        <v>4562</v>
      </c>
      <c r="S555" s="3272">
        <v>24.93</v>
      </c>
      <c r="T555" s="3273">
        <v>249300</v>
      </c>
      <c r="U555" s="3267">
        <v>4375</v>
      </c>
      <c r="V555" s="3289">
        <v>0.2</v>
      </c>
      <c r="W555" s="3272">
        <v>19.940000000000001</v>
      </c>
      <c r="X555" s="3275">
        <v>199400</v>
      </c>
      <c r="Y555" s="3276">
        <v>2006</v>
      </c>
      <c r="Z555" s="3276">
        <v>6</v>
      </c>
      <c r="AA555" s="3276">
        <v>20</v>
      </c>
      <c r="AB555" s="3267">
        <v>745</v>
      </c>
      <c r="AC555" s="3267" t="s">
        <v>2980</v>
      </c>
      <c r="AD555" s="3267"/>
      <c r="AE555" s="3279" t="s">
        <v>3180</v>
      </c>
      <c r="AF555" s="3268" t="s">
        <v>2966</v>
      </c>
      <c r="AG555" s="3279" t="s">
        <v>2967</v>
      </c>
      <c r="AH555" s="3267"/>
      <c r="AI555" s="3279" t="s">
        <v>2992</v>
      </c>
      <c r="AJ555" s="3284"/>
      <c r="AK555" s="3278">
        <v>6</v>
      </c>
      <c r="AL555" s="3276">
        <v>67641700</v>
      </c>
      <c r="AM555" s="3276" t="s">
        <v>2968</v>
      </c>
      <c r="AN555" s="3279" t="s">
        <v>2994</v>
      </c>
      <c r="AO555" s="3267"/>
      <c r="AP555" s="3279" t="s">
        <v>3305</v>
      </c>
      <c r="AQ555" s="3267" t="s">
        <v>3228</v>
      </c>
      <c r="AR555" s="3276"/>
      <c r="AS555" s="3276"/>
      <c r="AT555" s="3276"/>
      <c r="AU555" s="3276"/>
      <c r="AV555" s="3276"/>
      <c r="AW555" s="3276" t="s">
        <v>2997</v>
      </c>
      <c r="AX555" s="3276"/>
      <c r="AY555" s="3291"/>
      <c r="AZ555" s="3267" t="s">
        <v>6979</v>
      </c>
      <c r="BA555" s="3296"/>
      <c r="BB555" s="3297"/>
      <c r="BC555" s="3296"/>
      <c r="BD555" s="3298"/>
      <c r="BE555" s="3276"/>
      <c r="BF555" s="3281"/>
      <c r="BG555" s="3293">
        <v>38831</v>
      </c>
      <c r="BH555" s="3267" t="s">
        <v>2998</v>
      </c>
      <c r="BI555" s="3314" t="s">
        <v>3305</v>
      </c>
      <c r="BJ555" s="3283">
        <v>38868</v>
      </c>
      <c r="BK555" s="3283"/>
      <c r="BL555" s="3267" t="s">
        <v>3249</v>
      </c>
      <c r="BM555" s="3276" t="s">
        <v>2879</v>
      </c>
      <c r="BN555" s="3276" t="s">
        <v>2999</v>
      </c>
      <c r="BO555" s="3276" t="s">
        <v>3146</v>
      </c>
      <c r="BP555" s="3276"/>
      <c r="BQ555" s="3276" t="e">
        <v>#VALUE!</v>
      </c>
      <c r="BR555" s="3276" t="e">
        <v>#VALUE!</v>
      </c>
      <c r="BS555" s="3285"/>
      <c r="BT555" s="3285"/>
      <c r="BU555" s="3285"/>
    </row>
    <row r="556" spans="1:73" hidden="1">
      <c r="A556" s="3267" t="s">
        <v>6980</v>
      </c>
      <c r="B556" s="3267" t="s">
        <v>6981</v>
      </c>
      <c r="C556" s="3269" t="s">
        <v>6982</v>
      </c>
      <c r="D556" s="3269" t="s">
        <v>6983</v>
      </c>
      <c r="E556" s="3268" t="s">
        <v>2985</v>
      </c>
      <c r="F556" s="3268" t="s">
        <v>3864</v>
      </c>
      <c r="G556" s="3267"/>
      <c r="H556" s="3267" t="s">
        <v>6450</v>
      </c>
      <c r="I556" s="3268"/>
      <c r="J556" s="3267" t="s">
        <v>3787</v>
      </c>
      <c r="K556" s="3267" t="s">
        <v>6984</v>
      </c>
      <c r="L556" s="3267">
        <v>81.209999999999994</v>
      </c>
      <c r="M556" s="3267">
        <v>18</v>
      </c>
      <c r="N556" s="3267" t="s">
        <v>3122</v>
      </c>
      <c r="O556" s="3267">
        <v>64.64</v>
      </c>
      <c r="P556" s="3267" t="s">
        <v>2963</v>
      </c>
      <c r="Q556" s="3271">
        <v>520000</v>
      </c>
      <c r="R556" s="3267">
        <v>6403</v>
      </c>
      <c r="S556" s="3272">
        <v>50.89</v>
      </c>
      <c r="T556" s="3273">
        <v>508900</v>
      </c>
      <c r="U556" s="3267">
        <v>6267</v>
      </c>
      <c r="V556" s="3289">
        <v>0.2</v>
      </c>
      <c r="W556" s="3272">
        <v>40.71</v>
      </c>
      <c r="X556" s="3275">
        <v>407100</v>
      </c>
      <c r="Y556" s="3276">
        <v>2006</v>
      </c>
      <c r="Z556" s="3276">
        <v>6</v>
      </c>
      <c r="AA556" s="3276">
        <v>14</v>
      </c>
      <c r="AB556" s="3267">
        <v>1500</v>
      </c>
      <c r="AC556" s="3267" t="s">
        <v>2980</v>
      </c>
      <c r="AD556" s="3267"/>
      <c r="AE556" s="3279" t="s">
        <v>3180</v>
      </c>
      <c r="AF556" s="3268" t="s">
        <v>2966</v>
      </c>
      <c r="AG556" s="3279" t="s">
        <v>2967</v>
      </c>
      <c r="AH556" s="3267"/>
      <c r="AI556" s="3279" t="s">
        <v>2992</v>
      </c>
      <c r="AJ556" s="3284"/>
      <c r="AK556" s="3278">
        <v>6</v>
      </c>
      <c r="AL556" s="3276">
        <v>67641700</v>
      </c>
      <c r="AM556" s="3276" t="s">
        <v>2968</v>
      </c>
      <c r="AN556" s="3279" t="s">
        <v>3114</v>
      </c>
      <c r="AO556" s="3267"/>
      <c r="AP556" s="3279" t="s">
        <v>3305</v>
      </c>
      <c r="AQ556" s="3267" t="s">
        <v>3228</v>
      </c>
      <c r="AR556" s="3276"/>
      <c r="AS556" s="3276"/>
      <c r="AT556" s="3276"/>
      <c r="AU556" s="3276"/>
      <c r="AV556" s="3276"/>
      <c r="AW556" s="3276" t="s">
        <v>2997</v>
      </c>
      <c r="AX556" s="3276"/>
      <c r="AY556" s="3291"/>
      <c r="AZ556" s="3267" t="s">
        <v>6984</v>
      </c>
      <c r="BA556" s="3296"/>
      <c r="BB556" s="3297"/>
      <c r="BC556" s="3296"/>
      <c r="BD556" s="3298"/>
      <c r="BE556" s="3276"/>
      <c r="BF556" s="3281"/>
      <c r="BG556" s="3293">
        <v>38858</v>
      </c>
      <c r="BH556" s="3267" t="s">
        <v>2998</v>
      </c>
      <c r="BI556" s="3314" t="s">
        <v>3305</v>
      </c>
      <c r="BJ556" s="3283">
        <v>38868</v>
      </c>
      <c r="BK556" s="3283"/>
      <c r="BL556" s="3267" t="s">
        <v>3249</v>
      </c>
      <c r="BM556" s="3276" t="s">
        <v>2879</v>
      </c>
      <c r="BN556" s="3276" t="s">
        <v>2999</v>
      </c>
      <c r="BO556" s="3276" t="s">
        <v>3146</v>
      </c>
      <c r="BP556" s="3276"/>
      <c r="BQ556" s="3276">
        <v>7873</v>
      </c>
      <c r="BR556" s="3276">
        <v>8045</v>
      </c>
      <c r="BS556" s="3285"/>
      <c r="BT556" s="3285"/>
      <c r="BU556" s="3285"/>
    </row>
    <row r="557" spans="1:73" hidden="1">
      <c r="A557" s="3267" t="s">
        <v>6985</v>
      </c>
      <c r="B557" s="3267" t="s">
        <v>6986</v>
      </c>
      <c r="C557" s="3269" t="s">
        <v>6987</v>
      </c>
      <c r="D557" s="3267">
        <v>13683259894</v>
      </c>
      <c r="E557" s="3267" t="s">
        <v>2985</v>
      </c>
      <c r="F557" s="3267" t="s">
        <v>4412</v>
      </c>
      <c r="G557" s="3267"/>
      <c r="H557" s="3267" t="s">
        <v>6364</v>
      </c>
      <c r="I557" s="3267"/>
      <c r="J557" s="3267" t="s">
        <v>6988</v>
      </c>
      <c r="K557" s="3268" t="s">
        <v>6989</v>
      </c>
      <c r="L557" s="3267">
        <v>92.48</v>
      </c>
      <c r="M557" s="3267">
        <v>15</v>
      </c>
      <c r="N557" s="3267" t="s">
        <v>3122</v>
      </c>
      <c r="O557" s="3267">
        <v>79.73</v>
      </c>
      <c r="P557" s="3267" t="s">
        <v>2963</v>
      </c>
      <c r="Q557" s="3267">
        <v>680000</v>
      </c>
      <c r="R557" s="3267">
        <v>7353</v>
      </c>
      <c r="S557" s="3272">
        <v>60.8</v>
      </c>
      <c r="T557" s="3273">
        <v>608000</v>
      </c>
      <c r="U557" s="3267">
        <v>6575</v>
      </c>
      <c r="V557" s="3274">
        <v>0.2</v>
      </c>
      <c r="W557" s="3272">
        <v>48.64</v>
      </c>
      <c r="X557" s="3275">
        <v>486400</v>
      </c>
      <c r="Y557" s="3267">
        <v>2006</v>
      </c>
      <c r="Z557" s="3267">
        <v>6</v>
      </c>
      <c r="AA557" s="3276">
        <v>22</v>
      </c>
      <c r="AB557" s="3267">
        <v>1500</v>
      </c>
      <c r="AC557" s="3267" t="s">
        <v>2980</v>
      </c>
      <c r="AD557" s="3267"/>
      <c r="AE557" s="3276" t="s">
        <v>3304</v>
      </c>
      <c r="AF557" s="3267" t="s">
        <v>2966</v>
      </c>
      <c r="AG557" s="3267" t="s">
        <v>2967</v>
      </c>
      <c r="AH557" s="3267"/>
      <c r="AI557" s="3267" t="s">
        <v>2992</v>
      </c>
      <c r="AJ557" s="3284"/>
      <c r="AK557" s="3267" t="s">
        <v>3160</v>
      </c>
      <c r="AL557" s="3267">
        <v>67641700</v>
      </c>
      <c r="AM557" s="3267"/>
      <c r="AN557" s="3267" t="s">
        <v>2994</v>
      </c>
      <c r="AO557" s="3267" t="s">
        <v>2968</v>
      </c>
      <c r="AP557" s="3267" t="s">
        <v>3342</v>
      </c>
      <c r="AQ557" s="3267" t="s">
        <v>3228</v>
      </c>
      <c r="AR557" s="3267"/>
      <c r="AS557" s="3267"/>
      <c r="AT557" s="3267"/>
      <c r="AU557" s="3267"/>
      <c r="AV557" s="3267"/>
      <c r="AW557" s="3267" t="s">
        <v>2997</v>
      </c>
      <c r="AX557" s="3267"/>
      <c r="AY557" s="3269"/>
      <c r="AZ557" s="3267" t="s">
        <v>6989</v>
      </c>
      <c r="BA557" s="3267"/>
      <c r="BB557" s="3267"/>
      <c r="BC557" s="3267"/>
      <c r="BD557" s="3267"/>
      <c r="BE557" s="3267"/>
      <c r="BF557" s="3267"/>
      <c r="BG557" s="3307">
        <v>38867</v>
      </c>
      <c r="BH557" s="3267"/>
      <c r="BI557" s="3267" t="s">
        <v>3342</v>
      </c>
      <c r="BJ557" s="3283">
        <v>38868</v>
      </c>
      <c r="BK557" s="3283"/>
      <c r="BL557" s="3267" t="s">
        <v>2998</v>
      </c>
      <c r="BM557" s="3267" t="s">
        <v>2879</v>
      </c>
      <c r="BN557" s="3267" t="s">
        <v>2999</v>
      </c>
      <c r="BO557" s="3267" t="s">
        <v>3146</v>
      </c>
      <c r="BP557" s="3267"/>
      <c r="BQ557" s="3276">
        <v>7626</v>
      </c>
      <c r="BR557" s="3276">
        <v>8529</v>
      </c>
      <c r="BS557" s="3285"/>
      <c r="BT557" s="3285"/>
      <c r="BU557" s="3285"/>
    </row>
    <row r="558" spans="1:73" hidden="1">
      <c r="A558" s="3267" t="s">
        <v>6990</v>
      </c>
      <c r="B558" s="3267" t="s">
        <v>6991</v>
      </c>
      <c r="C558" s="3269" t="s">
        <v>6992</v>
      </c>
      <c r="D558" s="3269" t="s">
        <v>6993</v>
      </c>
      <c r="E558" s="3267" t="s">
        <v>2985</v>
      </c>
      <c r="F558" s="3267" t="s">
        <v>4621</v>
      </c>
      <c r="G558" s="3267"/>
      <c r="H558" s="3267" t="s">
        <v>3379</v>
      </c>
      <c r="I558" s="3267"/>
      <c r="J558" s="3269" t="s">
        <v>6994</v>
      </c>
      <c r="K558" s="3267" t="s">
        <v>6991</v>
      </c>
      <c r="L558" s="3286">
        <v>48.19</v>
      </c>
      <c r="M558" s="3267">
        <v>14</v>
      </c>
      <c r="N558" s="3268" t="s">
        <v>3152</v>
      </c>
      <c r="O558" s="3267"/>
      <c r="P558" s="3267" t="s">
        <v>2963</v>
      </c>
      <c r="Q558" s="3287">
        <v>280000</v>
      </c>
      <c r="R558" s="3267">
        <v>5810</v>
      </c>
      <c r="S558" s="3272">
        <v>29.99</v>
      </c>
      <c r="T558" s="3273">
        <v>299900</v>
      </c>
      <c r="U558" s="3267">
        <v>6224</v>
      </c>
      <c r="V558" s="3289">
        <v>0.2</v>
      </c>
      <c r="W558" s="3272">
        <v>23.99</v>
      </c>
      <c r="X558" s="3275">
        <v>239899.99999999997</v>
      </c>
      <c r="Y558" s="3276">
        <v>2006</v>
      </c>
      <c r="Z558" s="3276">
        <v>6</v>
      </c>
      <c r="AA558" s="3276">
        <v>6</v>
      </c>
      <c r="AB558" s="3267">
        <v>895</v>
      </c>
      <c r="AC558" s="3267" t="s">
        <v>2980</v>
      </c>
      <c r="AD558" s="3267"/>
      <c r="AE558" s="3276" t="s">
        <v>3304</v>
      </c>
      <c r="AF558" s="3267" t="s">
        <v>2966</v>
      </c>
      <c r="AG558" s="3279" t="s">
        <v>2967</v>
      </c>
      <c r="AH558" s="3267"/>
      <c r="AI558" s="3267" t="s">
        <v>3295</v>
      </c>
      <c r="AJ558" s="3284"/>
      <c r="AK558" s="3316" t="s">
        <v>3160</v>
      </c>
      <c r="AL558" s="3267">
        <v>67641700</v>
      </c>
      <c r="AM558" s="3267"/>
      <c r="AN558" s="3279" t="s">
        <v>3140</v>
      </c>
      <c r="AO558" s="3267"/>
      <c r="AP558" s="3267" t="s">
        <v>3342</v>
      </c>
      <c r="AQ558" s="3276" t="s">
        <v>3113</v>
      </c>
      <c r="AR558" s="3276"/>
      <c r="AS558" s="3276"/>
      <c r="AT558" s="3276"/>
      <c r="AU558" s="3276"/>
      <c r="AV558" s="3276"/>
      <c r="AW558" s="3276" t="s">
        <v>2968</v>
      </c>
      <c r="AX558" s="3276"/>
      <c r="AY558" s="3291"/>
      <c r="AZ558" s="3267" t="s">
        <v>6995</v>
      </c>
      <c r="BA558" s="3276"/>
      <c r="BB558" s="3291"/>
      <c r="BC558" s="3276"/>
      <c r="BD558" s="3292"/>
      <c r="BE558" s="3276"/>
      <c r="BF558" s="3281"/>
      <c r="BG558" s="3299">
        <v>38855</v>
      </c>
      <c r="BH558" s="3276"/>
      <c r="BI558" s="3267" t="s">
        <v>3342</v>
      </c>
      <c r="BJ558" s="3283">
        <v>38868</v>
      </c>
      <c r="BK558" s="3283"/>
      <c r="BL558" s="3267" t="s">
        <v>2998</v>
      </c>
      <c r="BM558" s="3276" t="s">
        <v>2879</v>
      </c>
      <c r="BN558" s="3276" t="s">
        <v>2999</v>
      </c>
      <c r="BO558" s="3276" t="s">
        <v>3146</v>
      </c>
      <c r="BP558" s="3276"/>
      <c r="BQ558" s="3276"/>
      <c r="BR558" s="3276"/>
      <c r="BS558" s="3285"/>
      <c r="BT558" s="3285"/>
      <c r="BU558" s="3285"/>
    </row>
    <row r="559" spans="1:73" hidden="1">
      <c r="A559" s="3267" t="s">
        <v>6996</v>
      </c>
      <c r="B559" s="3267" t="s">
        <v>6997</v>
      </c>
      <c r="C559" s="3269" t="s">
        <v>6998</v>
      </c>
      <c r="D559" s="3269" t="s">
        <v>6999</v>
      </c>
      <c r="E559" s="3267" t="s">
        <v>2985</v>
      </c>
      <c r="F559" s="3244" t="s">
        <v>4400</v>
      </c>
      <c r="G559" s="3267"/>
      <c r="H559" s="3267" t="s">
        <v>3668</v>
      </c>
      <c r="I559" s="3267"/>
      <c r="J559" s="3269" t="s">
        <v>7000</v>
      </c>
      <c r="K559" s="3267"/>
      <c r="L559" s="3267">
        <v>116.95</v>
      </c>
      <c r="M559" s="3267">
        <v>6</v>
      </c>
      <c r="N559" s="3267" t="s">
        <v>3116</v>
      </c>
      <c r="O559" s="3267"/>
      <c r="P559" s="3267" t="s">
        <v>2963</v>
      </c>
      <c r="Q559" s="3271">
        <v>785000</v>
      </c>
      <c r="R559" s="3267">
        <v>6712</v>
      </c>
      <c r="S559" s="3272">
        <v>66.95</v>
      </c>
      <c r="T559" s="3273">
        <v>669500</v>
      </c>
      <c r="U559" s="3267">
        <v>5725</v>
      </c>
      <c r="V559" s="3289">
        <v>0.2</v>
      </c>
      <c r="W559" s="3272">
        <v>53.56</v>
      </c>
      <c r="X559" s="3275">
        <v>535600</v>
      </c>
      <c r="Y559" s="3276">
        <v>2006</v>
      </c>
      <c r="Z559" s="3276">
        <v>6</v>
      </c>
      <c r="AA559" s="3276">
        <v>26</v>
      </c>
      <c r="AB559" s="3267">
        <v>1500</v>
      </c>
      <c r="AC559" s="3267" t="s">
        <v>2980</v>
      </c>
      <c r="AD559" s="3267"/>
      <c r="AE559" s="3276" t="s">
        <v>3487</v>
      </c>
      <c r="AF559" s="3267" t="s">
        <v>2966</v>
      </c>
      <c r="AG559" s="3279" t="s">
        <v>2967</v>
      </c>
      <c r="AH559" s="3267" t="s">
        <v>2968</v>
      </c>
      <c r="AI559" s="3267" t="s">
        <v>2992</v>
      </c>
      <c r="AJ559" s="3284"/>
      <c r="AK559" s="3316">
        <v>6</v>
      </c>
      <c r="AL559" s="3276">
        <v>67641700</v>
      </c>
      <c r="AM559" s="3276"/>
      <c r="AN559" s="3276" t="s">
        <v>2994</v>
      </c>
      <c r="AO559" s="3276" t="s">
        <v>2968</v>
      </c>
      <c r="AP559" s="3276" t="s">
        <v>3305</v>
      </c>
      <c r="AQ559" s="3276" t="s">
        <v>3113</v>
      </c>
      <c r="AR559" s="3276"/>
      <c r="AS559" s="3276"/>
      <c r="AT559" s="3276"/>
      <c r="AU559" s="3276"/>
      <c r="AV559" s="3276" t="s">
        <v>2968</v>
      </c>
      <c r="AW559" s="3276" t="s">
        <v>3171</v>
      </c>
      <c r="AX559" s="3276"/>
      <c r="AY559" s="3291"/>
      <c r="AZ559" s="3276"/>
      <c r="BA559" s="3276"/>
      <c r="BB559" s="3291"/>
      <c r="BC559" s="3276"/>
      <c r="BD559" s="3292"/>
      <c r="BE559" s="3276"/>
      <c r="BF559" s="3281"/>
      <c r="BG559" s="3299">
        <v>38857</v>
      </c>
      <c r="BH559" s="3276" t="s">
        <v>2998</v>
      </c>
      <c r="BI559" s="3276" t="s">
        <v>3487</v>
      </c>
      <c r="BJ559" s="3283">
        <v>38874</v>
      </c>
      <c r="BK559" s="3283"/>
      <c r="BL559" s="3267" t="s">
        <v>3249</v>
      </c>
      <c r="BM559" s="3276"/>
      <c r="BN559" s="3276"/>
      <c r="BO559" s="3276"/>
      <c r="BP559" s="3276"/>
      <c r="BQ559" s="3276" t="e">
        <v>#DIV/0!</v>
      </c>
      <c r="BR559" s="3276" t="e">
        <v>#DIV/0!</v>
      </c>
      <c r="BS559" s="3285"/>
      <c r="BT559" s="3285"/>
      <c r="BU559" s="3285"/>
    </row>
    <row r="560" spans="1:73" hidden="1">
      <c r="A560" s="3267" t="s">
        <v>7001</v>
      </c>
      <c r="B560" s="3267" t="s">
        <v>7002</v>
      </c>
      <c r="C560" s="3269" t="s">
        <v>7003</v>
      </c>
      <c r="D560" s="3269" t="s">
        <v>7004</v>
      </c>
      <c r="E560" s="3268" t="s">
        <v>2985</v>
      </c>
      <c r="F560" s="3268" t="s">
        <v>3557</v>
      </c>
      <c r="G560" s="3267"/>
      <c r="H560" s="3267" t="s">
        <v>3402</v>
      </c>
      <c r="I560" s="3268"/>
      <c r="J560" s="3267" t="s">
        <v>7005</v>
      </c>
      <c r="K560" s="3267" t="s">
        <v>7002</v>
      </c>
      <c r="L560" s="3267">
        <v>88.78</v>
      </c>
      <c r="M560" s="3267">
        <v>3</v>
      </c>
      <c r="N560" s="3267" t="s">
        <v>3122</v>
      </c>
      <c r="O560" s="3267"/>
      <c r="P560" s="3267" t="s">
        <v>2963</v>
      </c>
      <c r="Q560" s="3271">
        <v>410000</v>
      </c>
      <c r="R560" s="3267">
        <v>4618</v>
      </c>
      <c r="S560" s="3272">
        <v>49.36</v>
      </c>
      <c r="T560" s="3273">
        <v>493600</v>
      </c>
      <c r="U560" s="3267">
        <v>5560</v>
      </c>
      <c r="V560" s="3289">
        <v>0.2</v>
      </c>
      <c r="W560" s="3272">
        <v>39.479999999999997</v>
      </c>
      <c r="X560" s="3275">
        <v>394799.99999999994</v>
      </c>
      <c r="Y560" s="3276">
        <v>2006</v>
      </c>
      <c r="Z560" s="3276">
        <v>6</v>
      </c>
      <c r="AA560" s="3276">
        <v>7</v>
      </c>
      <c r="AB560" s="3267">
        <v>1480</v>
      </c>
      <c r="AC560" s="3267" t="s">
        <v>2980</v>
      </c>
      <c r="AD560" s="3267"/>
      <c r="AE560" s="3314" t="s">
        <v>3245</v>
      </c>
      <c r="AF560" s="3268" t="s">
        <v>2966</v>
      </c>
      <c r="AG560" s="3279" t="s">
        <v>2967</v>
      </c>
      <c r="AH560" s="3267"/>
      <c r="AI560" s="3279" t="s">
        <v>2992</v>
      </c>
      <c r="AJ560" s="3284"/>
      <c r="AK560" s="3278">
        <v>6</v>
      </c>
      <c r="AL560" s="3276">
        <v>67641700</v>
      </c>
      <c r="AM560" s="3276"/>
      <c r="AN560" s="3279" t="s">
        <v>3140</v>
      </c>
      <c r="AO560" s="3267"/>
      <c r="AP560" s="3279" t="s">
        <v>3305</v>
      </c>
      <c r="AQ560" s="3276" t="s">
        <v>3113</v>
      </c>
      <c r="AR560" s="3276"/>
      <c r="AS560" s="3276"/>
      <c r="AT560" s="3276"/>
      <c r="AU560" s="3276"/>
      <c r="AV560" s="3276"/>
      <c r="AW560" s="3276" t="s">
        <v>2997</v>
      </c>
      <c r="AX560" s="3276"/>
      <c r="AY560" s="3291"/>
      <c r="AZ560" s="3267" t="s">
        <v>7006</v>
      </c>
      <c r="BA560" s="3296"/>
      <c r="BB560" s="3297"/>
      <c r="BC560" s="3296"/>
      <c r="BD560" s="3298"/>
      <c r="BE560" s="3276"/>
      <c r="BF560" s="3281"/>
      <c r="BG560" s="3293">
        <v>38784</v>
      </c>
      <c r="BH560" s="3267" t="s">
        <v>2998</v>
      </c>
      <c r="BI560" s="3314" t="s">
        <v>3305</v>
      </c>
      <c r="BJ560" s="3283">
        <v>38869</v>
      </c>
      <c r="BK560" s="3283"/>
      <c r="BL560" s="3267" t="s">
        <v>3249</v>
      </c>
      <c r="BM560" s="3276" t="s">
        <v>2879</v>
      </c>
      <c r="BN560" s="3276" t="s">
        <v>3111</v>
      </c>
      <c r="BO560" s="3276" t="s">
        <v>3146</v>
      </c>
      <c r="BP560" s="3276"/>
      <c r="BQ560" s="3276" t="e">
        <v>#DIV/0!</v>
      </c>
      <c r="BR560" s="3276" t="e">
        <v>#DIV/0!</v>
      </c>
      <c r="BS560" s="3285"/>
      <c r="BT560" s="3285"/>
      <c r="BU560" s="3285"/>
    </row>
    <row r="561" spans="1:73" hidden="1">
      <c r="A561" s="3267" t="s">
        <v>7007</v>
      </c>
      <c r="B561" s="3268" t="s">
        <v>7008</v>
      </c>
      <c r="C561" s="3269" t="s">
        <v>7009</v>
      </c>
      <c r="D561" s="3268">
        <v>13671178705</v>
      </c>
      <c r="E561" s="3267" t="s">
        <v>2985</v>
      </c>
      <c r="F561" s="3268" t="s">
        <v>4268</v>
      </c>
      <c r="G561" s="3268"/>
      <c r="H561" s="3268" t="s">
        <v>3130</v>
      </c>
      <c r="I561" s="3268"/>
      <c r="J561" s="3280" t="s">
        <v>3578</v>
      </c>
      <c r="K561" s="3268" t="s">
        <v>7010</v>
      </c>
      <c r="L561" s="3270">
        <v>102.26</v>
      </c>
      <c r="M561" s="3282">
        <v>6</v>
      </c>
      <c r="N561" s="3268" t="s">
        <v>3122</v>
      </c>
      <c r="O561" s="3270">
        <v>79.91</v>
      </c>
      <c r="P561" s="3267" t="s">
        <v>2963</v>
      </c>
      <c r="Q561" s="3271">
        <v>650000</v>
      </c>
      <c r="R561" s="3267">
        <v>6356</v>
      </c>
      <c r="S561" s="3272">
        <v>63.21</v>
      </c>
      <c r="T561" s="3273">
        <v>632100</v>
      </c>
      <c r="U561" s="3267">
        <v>6182</v>
      </c>
      <c r="V561" s="3274">
        <v>0.2</v>
      </c>
      <c r="W561" s="3272">
        <v>50.56</v>
      </c>
      <c r="X561" s="3275">
        <v>505600</v>
      </c>
      <c r="Y561" s="3276">
        <v>2006</v>
      </c>
      <c r="Z561" s="3276">
        <v>6</v>
      </c>
      <c r="AA561" s="3276">
        <v>15</v>
      </c>
      <c r="AB561" s="3267">
        <v>1500</v>
      </c>
      <c r="AC561" s="3267" t="s">
        <v>2980</v>
      </c>
      <c r="AD561" s="3268"/>
      <c r="AE561" s="3267" t="s">
        <v>3304</v>
      </c>
      <c r="AF561" s="3268" t="s">
        <v>2966</v>
      </c>
      <c r="AG561" s="3268" t="s">
        <v>2967</v>
      </c>
      <c r="AH561" s="3268" t="s">
        <v>7011</v>
      </c>
      <c r="AI561" s="3279" t="s">
        <v>2992</v>
      </c>
      <c r="AJ561" s="3290"/>
      <c r="AK561" s="3278" t="s">
        <v>3160</v>
      </c>
      <c r="AL561" s="3276">
        <v>67641700</v>
      </c>
      <c r="AM561" s="3276"/>
      <c r="AN561" s="3276" t="s">
        <v>3114</v>
      </c>
      <c r="AO561" s="3276" t="s">
        <v>7012</v>
      </c>
      <c r="AP561" s="3279" t="s">
        <v>3305</v>
      </c>
      <c r="AQ561" s="3267" t="s">
        <v>3228</v>
      </c>
      <c r="AR561" s="3267"/>
      <c r="AS561" s="3267"/>
      <c r="AT561" s="3267"/>
      <c r="AU561" s="3267"/>
      <c r="AV561" s="3277"/>
      <c r="AW561" s="3306" t="s">
        <v>2997</v>
      </c>
      <c r="AX561" s="3268"/>
      <c r="AY561" s="3268"/>
      <c r="AZ561" s="3268" t="s">
        <v>7010</v>
      </c>
      <c r="BA561" s="3268"/>
      <c r="BB561" s="3280"/>
      <c r="BC561" s="3268"/>
      <c r="BD561" s="3268"/>
      <c r="BE561" s="3268">
        <v>13311093567</v>
      </c>
      <c r="BF561" s="3281"/>
      <c r="BG561" s="3307">
        <v>38869</v>
      </c>
      <c r="BH561" s="3368" t="s">
        <v>2998</v>
      </c>
      <c r="BI561" s="3276" t="s">
        <v>4230</v>
      </c>
      <c r="BJ561" s="3299">
        <v>38877</v>
      </c>
      <c r="BK561" s="3284"/>
      <c r="BL561" s="3267" t="s">
        <v>3249</v>
      </c>
      <c r="BM561" s="3267" t="s">
        <v>5652</v>
      </c>
      <c r="BN561" s="3276" t="s">
        <v>3111</v>
      </c>
      <c r="BO561" s="3267" t="s">
        <v>3146</v>
      </c>
      <c r="BP561" s="3276"/>
      <c r="BQ561" s="3276">
        <v>7910</v>
      </c>
      <c r="BR561" s="3276">
        <v>8134</v>
      </c>
      <c r="BS561" s="3285"/>
      <c r="BT561" s="3285"/>
      <c r="BU561" s="3285"/>
    </row>
    <row r="562" spans="1:73" hidden="1">
      <c r="A562" s="3267" t="s">
        <v>7013</v>
      </c>
      <c r="B562" s="3267" t="s">
        <v>7014</v>
      </c>
      <c r="C562" s="3269" t="s">
        <v>7015</v>
      </c>
      <c r="D562" s="3269" t="s">
        <v>7016</v>
      </c>
      <c r="E562" s="3267" t="s">
        <v>2985</v>
      </c>
      <c r="F562" s="3267" t="s">
        <v>4621</v>
      </c>
      <c r="G562" s="3267"/>
      <c r="H562" s="3267" t="s">
        <v>3178</v>
      </c>
      <c r="I562" s="3267"/>
      <c r="J562" s="3269" t="s">
        <v>5784</v>
      </c>
      <c r="K562" s="3267" t="s">
        <v>7017</v>
      </c>
      <c r="L562" s="3286">
        <v>64.69</v>
      </c>
      <c r="M562" s="3267">
        <v>12</v>
      </c>
      <c r="N562" s="3268" t="s">
        <v>3122</v>
      </c>
      <c r="O562" s="3267"/>
      <c r="P562" s="3267" t="s">
        <v>2963</v>
      </c>
      <c r="Q562" s="3287">
        <v>490000</v>
      </c>
      <c r="R562" s="3267">
        <v>7575</v>
      </c>
      <c r="S562" s="3272">
        <v>41.21</v>
      </c>
      <c r="T562" s="3273">
        <v>412100</v>
      </c>
      <c r="U562" s="3267">
        <v>6371</v>
      </c>
      <c r="V562" s="3289">
        <v>0.2</v>
      </c>
      <c r="W562" s="3272">
        <v>32.96</v>
      </c>
      <c r="X562" s="3275">
        <v>329600</v>
      </c>
      <c r="Y562" s="3276">
        <v>2006</v>
      </c>
      <c r="Z562" s="3276">
        <v>6</v>
      </c>
      <c r="AA562" s="3276">
        <v>27</v>
      </c>
      <c r="AB562" s="3267">
        <v>1235</v>
      </c>
      <c r="AC562" s="3267" t="s">
        <v>2980</v>
      </c>
      <c r="AD562" s="3267"/>
      <c r="AE562" s="3276" t="s">
        <v>3304</v>
      </c>
      <c r="AF562" s="3267" t="s">
        <v>2966</v>
      </c>
      <c r="AG562" s="3279" t="s">
        <v>2967</v>
      </c>
      <c r="AH562" s="3267"/>
      <c r="AI562" s="3267" t="s">
        <v>3295</v>
      </c>
      <c r="AJ562" s="3284"/>
      <c r="AK562" s="3316" t="s">
        <v>3160</v>
      </c>
      <c r="AL562" s="3267">
        <v>67641700</v>
      </c>
      <c r="AM562" s="3267"/>
      <c r="AN562" s="3279" t="s">
        <v>3099</v>
      </c>
      <c r="AO562" s="3267"/>
      <c r="AP562" s="3267" t="s">
        <v>3342</v>
      </c>
      <c r="AQ562" s="3267" t="s">
        <v>3228</v>
      </c>
      <c r="AR562" s="3276"/>
      <c r="AS562" s="3276"/>
      <c r="AT562" s="3276"/>
      <c r="AU562" s="3276"/>
      <c r="AV562" s="3276"/>
      <c r="AW562" s="3276" t="s">
        <v>2968</v>
      </c>
      <c r="AX562" s="3276"/>
      <c r="AY562" s="3291"/>
      <c r="AZ562" s="3267" t="s">
        <v>7017</v>
      </c>
      <c r="BA562" s="3276"/>
      <c r="BB562" s="3291"/>
      <c r="BC562" s="3276"/>
      <c r="BD562" s="3292"/>
      <c r="BE562" s="3276"/>
      <c r="BF562" s="3281"/>
      <c r="BG562" s="3299">
        <v>38869</v>
      </c>
      <c r="BH562" s="3276"/>
      <c r="BI562" s="3267" t="s">
        <v>3342</v>
      </c>
      <c r="BJ562" s="3283">
        <v>38869</v>
      </c>
      <c r="BK562" s="3283"/>
      <c r="BL562" s="3267" t="s">
        <v>2998</v>
      </c>
      <c r="BM562" s="3276" t="s">
        <v>2879</v>
      </c>
      <c r="BN562" s="3276" t="s">
        <v>2999</v>
      </c>
      <c r="BO562" s="3276" t="s">
        <v>3146</v>
      </c>
      <c r="BP562" s="3276"/>
      <c r="BQ562" s="3276"/>
      <c r="BR562" s="3276"/>
      <c r="BS562" s="3285"/>
      <c r="BT562" s="3285"/>
      <c r="BU562" s="3285"/>
    </row>
    <row r="563" spans="1:73" hidden="1">
      <c r="A563" s="3267" t="s">
        <v>7018</v>
      </c>
      <c r="B563" s="3267" t="s">
        <v>7019</v>
      </c>
      <c r="C563" s="3269" t="s">
        <v>7020</v>
      </c>
      <c r="D563" s="3269" t="s">
        <v>7021</v>
      </c>
      <c r="E563" s="3268" t="s">
        <v>2985</v>
      </c>
      <c r="F563" s="3268" t="s">
        <v>7022</v>
      </c>
      <c r="G563" s="3267"/>
      <c r="H563" s="3267" t="s">
        <v>7023</v>
      </c>
      <c r="I563" s="3268"/>
      <c r="J563" s="3267" t="s">
        <v>3528</v>
      </c>
      <c r="K563" s="3267" t="s">
        <v>7024</v>
      </c>
      <c r="L563" s="3267">
        <v>116.21</v>
      </c>
      <c r="M563" s="3267">
        <v>6</v>
      </c>
      <c r="N563" s="3267" t="s">
        <v>2989</v>
      </c>
      <c r="O563" s="3267">
        <v>96.92</v>
      </c>
      <c r="P563" s="3267" t="s">
        <v>2963</v>
      </c>
      <c r="Q563" s="3271">
        <v>820000</v>
      </c>
      <c r="R563" s="3267">
        <v>7056</v>
      </c>
      <c r="S563" s="3272">
        <v>81.55</v>
      </c>
      <c r="T563" s="3273">
        <v>815500</v>
      </c>
      <c r="U563" s="3267">
        <v>7018</v>
      </c>
      <c r="V563" s="3289">
        <v>0.2</v>
      </c>
      <c r="W563" s="3272">
        <v>65.239999999999995</v>
      </c>
      <c r="X563" s="3275">
        <v>652400</v>
      </c>
      <c r="Y563" s="3276">
        <v>2006</v>
      </c>
      <c r="Z563" s="3276">
        <v>6</v>
      </c>
      <c r="AA563" s="3276">
        <v>20</v>
      </c>
      <c r="AB563" s="3267">
        <v>1500</v>
      </c>
      <c r="AC563" s="3267" t="s">
        <v>2980</v>
      </c>
      <c r="AD563" s="3267"/>
      <c r="AE563" s="3279" t="s">
        <v>3180</v>
      </c>
      <c r="AF563" s="3268" t="s">
        <v>2966</v>
      </c>
      <c r="AG563" s="3279" t="s">
        <v>2967</v>
      </c>
      <c r="AH563" s="3267"/>
      <c r="AI563" s="3279" t="s">
        <v>2992</v>
      </c>
      <c r="AJ563" s="3284"/>
      <c r="AK563" s="3278">
        <v>6</v>
      </c>
      <c r="AL563" s="3276">
        <v>67641700</v>
      </c>
      <c r="AM563" s="3276" t="s">
        <v>2968</v>
      </c>
      <c r="AN563" s="3279" t="s">
        <v>2994</v>
      </c>
      <c r="AO563" s="3267"/>
      <c r="AP563" s="3279" t="s">
        <v>3305</v>
      </c>
      <c r="AQ563" s="3267" t="s">
        <v>3228</v>
      </c>
      <c r="AR563" s="3276"/>
      <c r="AS563" s="3276"/>
      <c r="AT563" s="3276"/>
      <c r="AU563" s="3276"/>
      <c r="AV563" s="3276"/>
      <c r="AW563" s="3276" t="s">
        <v>2997</v>
      </c>
      <c r="AX563" s="3276"/>
      <c r="AY563" s="3291"/>
      <c r="AZ563" s="3267" t="s">
        <v>7024</v>
      </c>
      <c r="BA563" s="3296"/>
      <c r="BB563" s="3297"/>
      <c r="BC563" s="3296"/>
      <c r="BD563" s="3298"/>
      <c r="BE563" s="3276"/>
      <c r="BF563" s="3281"/>
      <c r="BG563" s="3293">
        <v>38857</v>
      </c>
      <c r="BH563" s="3267" t="s">
        <v>2998</v>
      </c>
      <c r="BI563" s="3314" t="s">
        <v>3305</v>
      </c>
      <c r="BJ563" s="3283">
        <v>38869</v>
      </c>
      <c r="BK563" s="3283"/>
      <c r="BL563" s="3267" t="s">
        <v>3249</v>
      </c>
      <c r="BM563" s="3276" t="s">
        <v>2879</v>
      </c>
      <c r="BN563" s="3276" t="s">
        <v>2999</v>
      </c>
      <c r="BO563" s="3276" t="s">
        <v>3146</v>
      </c>
      <c r="BP563" s="3276"/>
      <c r="BQ563" s="3276">
        <v>8414</v>
      </c>
      <c r="BR563" s="3276">
        <v>8461</v>
      </c>
      <c r="BS563" s="3285"/>
      <c r="BT563" s="3285"/>
      <c r="BU563" s="3285"/>
    </row>
    <row r="564" spans="1:73" hidden="1">
      <c r="A564" s="3268" t="s">
        <v>7025</v>
      </c>
      <c r="B564" s="3268" t="s">
        <v>7026</v>
      </c>
      <c r="C564" s="3269" t="s">
        <v>7027</v>
      </c>
      <c r="D564" s="3268">
        <v>13381267860</v>
      </c>
      <c r="E564" s="3268" t="s">
        <v>2985</v>
      </c>
      <c r="F564" s="3267" t="s">
        <v>4501</v>
      </c>
      <c r="G564" s="3267"/>
      <c r="H564" s="3270" t="s">
        <v>3668</v>
      </c>
      <c r="I564" s="3268" t="s">
        <v>7028</v>
      </c>
      <c r="J564" s="3270" t="s">
        <v>3165</v>
      </c>
      <c r="K564" s="3267" t="s">
        <v>7026</v>
      </c>
      <c r="L564" s="3267">
        <v>58.79</v>
      </c>
      <c r="M564" s="3270">
        <v>6</v>
      </c>
      <c r="N564" s="3267" t="s">
        <v>3122</v>
      </c>
      <c r="O564" s="3267"/>
      <c r="P564" s="3267" t="s">
        <v>2963</v>
      </c>
      <c r="Q564" s="3271">
        <v>520000</v>
      </c>
      <c r="R564" s="3267">
        <v>8845</v>
      </c>
      <c r="S564" s="3272">
        <v>41.48</v>
      </c>
      <c r="T564" s="3273">
        <v>414800</v>
      </c>
      <c r="U564" s="3267">
        <v>7056</v>
      </c>
      <c r="V564" s="3289">
        <v>0.2</v>
      </c>
      <c r="W564" s="3272">
        <v>33.18</v>
      </c>
      <c r="X564" s="3275">
        <v>331800</v>
      </c>
      <c r="Y564" s="3276">
        <v>2006</v>
      </c>
      <c r="Z564" s="3276">
        <v>7</v>
      </c>
      <c r="AA564" s="3267">
        <v>12</v>
      </c>
      <c r="AB564" s="3267">
        <v>1240</v>
      </c>
      <c r="AC564" s="3267" t="s">
        <v>2980</v>
      </c>
      <c r="AD564" s="3267"/>
      <c r="AE564" s="3268" t="s">
        <v>3238</v>
      </c>
      <c r="AF564" s="3268" t="s">
        <v>2966</v>
      </c>
      <c r="AG564" s="3279" t="s">
        <v>2967</v>
      </c>
      <c r="AH564" s="3267" t="s">
        <v>2968</v>
      </c>
      <c r="AI564" s="3268" t="s">
        <v>2992</v>
      </c>
      <c r="AJ564" s="3284"/>
      <c r="AK564" s="3278">
        <v>7</v>
      </c>
      <c r="AL564" s="3276">
        <v>32</v>
      </c>
      <c r="AM564" s="3276" t="s">
        <v>7029</v>
      </c>
      <c r="AN564" s="3279" t="s">
        <v>3140</v>
      </c>
      <c r="AO564" s="3268"/>
      <c r="AP564" s="3276" t="s">
        <v>3238</v>
      </c>
      <c r="AQ564" s="3267" t="s">
        <v>3228</v>
      </c>
      <c r="AR564" s="3267"/>
      <c r="AS564" s="3267"/>
      <c r="AT564" s="3267"/>
      <c r="AU564" s="3267"/>
      <c r="AV564" s="3267" t="s">
        <v>2968</v>
      </c>
      <c r="AW564" s="3267" t="s">
        <v>3171</v>
      </c>
      <c r="AX564" s="3267"/>
      <c r="AY564" s="3269"/>
      <c r="AZ564" s="3267" t="s">
        <v>7030</v>
      </c>
      <c r="BA564" s="3267"/>
      <c r="BB564" s="3269"/>
      <c r="BC564" s="3267"/>
      <c r="BD564" s="3267"/>
      <c r="BE564" s="3276">
        <v>13501204180</v>
      </c>
      <c r="BF564" s="3305"/>
      <c r="BG564" s="3284">
        <v>38855</v>
      </c>
      <c r="BH564" s="3356"/>
      <c r="BI564" s="3268" t="s">
        <v>3238</v>
      </c>
      <c r="BJ564" s="3283">
        <v>38870</v>
      </c>
      <c r="BK564" s="3303"/>
      <c r="BL564" s="3267" t="s">
        <v>2998</v>
      </c>
      <c r="BM564" s="3276" t="s">
        <v>3345</v>
      </c>
      <c r="BN564" s="3276" t="s">
        <v>2999</v>
      </c>
      <c r="BO564" s="3276" t="s">
        <v>3446</v>
      </c>
      <c r="BP564" s="3276"/>
      <c r="BQ564" s="3276" t="e">
        <v>#DIV/0!</v>
      </c>
      <c r="BR564" s="3276" t="e">
        <v>#DIV/0!</v>
      </c>
      <c r="BS564" s="3285"/>
      <c r="BT564" s="3285"/>
      <c r="BU564" s="3285"/>
    </row>
    <row r="565" spans="1:73">
      <c r="A565" s="3267" t="s">
        <v>7031</v>
      </c>
      <c r="B565" s="3268" t="s">
        <v>7032</v>
      </c>
      <c r="C565" s="3269" t="s">
        <v>7033</v>
      </c>
      <c r="D565" s="3268" t="s">
        <v>7034</v>
      </c>
      <c r="E565" s="3267" t="s">
        <v>2985</v>
      </c>
      <c r="F565" s="3268" t="s">
        <v>7035</v>
      </c>
      <c r="G565" s="3268"/>
      <c r="H565" s="3268" t="s">
        <v>3526</v>
      </c>
      <c r="I565" s="3268" t="s">
        <v>4622</v>
      </c>
      <c r="J565" s="3280" t="s">
        <v>3512</v>
      </c>
      <c r="K565" s="3268" t="s">
        <v>7032</v>
      </c>
      <c r="L565" s="3270">
        <v>72.52</v>
      </c>
      <c r="M565" s="3270">
        <v>5</v>
      </c>
      <c r="N565" s="3268" t="s">
        <v>3125</v>
      </c>
      <c r="O565" s="3270"/>
      <c r="P565" s="3267" t="s">
        <v>2963</v>
      </c>
      <c r="Q565" s="3271">
        <v>400000</v>
      </c>
      <c r="R565" s="3267">
        <v>5516</v>
      </c>
      <c r="S565" s="3272">
        <v>41.82</v>
      </c>
      <c r="T565" s="3273">
        <v>418200</v>
      </c>
      <c r="U565" s="3267">
        <v>5767</v>
      </c>
      <c r="V565" s="3274">
        <v>0.2</v>
      </c>
      <c r="W565" s="3272">
        <v>33.450000000000003</v>
      </c>
      <c r="X565" s="3275">
        <v>334500</v>
      </c>
      <c r="Y565" s="3276">
        <v>2006</v>
      </c>
      <c r="Z565" s="3276">
        <v>6</v>
      </c>
      <c r="AA565" s="3276">
        <v>21</v>
      </c>
      <c r="AB565" s="3267">
        <v>1250</v>
      </c>
      <c r="AC565" s="3267" t="s">
        <v>2980</v>
      </c>
      <c r="AD565" s="3268"/>
      <c r="AE565" s="3267" t="s">
        <v>3304</v>
      </c>
      <c r="AF565" s="3268" t="s">
        <v>2966</v>
      </c>
      <c r="AG565" s="3268" t="s">
        <v>2967</v>
      </c>
      <c r="AH565" s="3268"/>
      <c r="AI565" s="3279" t="s">
        <v>2992</v>
      </c>
      <c r="AJ565" s="3290"/>
      <c r="AK565" s="3278" t="s">
        <v>3160</v>
      </c>
      <c r="AL565" s="3276">
        <v>67641700</v>
      </c>
      <c r="AM565" s="3276"/>
      <c r="AN565" s="3276" t="s">
        <v>2994</v>
      </c>
      <c r="AO565" s="3276"/>
      <c r="AP565" s="3279" t="s">
        <v>3305</v>
      </c>
      <c r="AQ565" s="3267" t="s">
        <v>3228</v>
      </c>
      <c r="AR565" s="3267"/>
      <c r="AS565" s="3267"/>
      <c r="AT565" s="3267"/>
      <c r="AU565" s="3267"/>
      <c r="AV565" s="3277"/>
      <c r="AW565" s="3306" t="s">
        <v>3119</v>
      </c>
      <c r="AX565" s="3268"/>
      <c r="AY565" s="3268"/>
      <c r="AZ565" s="3268" t="s">
        <v>7036</v>
      </c>
      <c r="BA565" s="3268"/>
      <c r="BB565" s="3280"/>
      <c r="BC565" s="3268"/>
      <c r="BD565" s="3268"/>
      <c r="BE565" s="3268">
        <v>84964868</v>
      </c>
      <c r="BF565" s="3281"/>
      <c r="BG565" s="3307">
        <v>38870</v>
      </c>
      <c r="BH565" s="3368" t="s">
        <v>2998</v>
      </c>
      <c r="BI565" s="3276" t="s">
        <v>4230</v>
      </c>
      <c r="BJ565" s="3299">
        <v>38870</v>
      </c>
      <c r="BK565" s="3284"/>
      <c r="BL565" s="3267" t="s">
        <v>3249</v>
      </c>
      <c r="BM565" s="3267" t="s">
        <v>2879</v>
      </c>
      <c r="BN565" s="3276" t="s">
        <v>2999</v>
      </c>
      <c r="BO565" s="3267" t="s">
        <v>3146</v>
      </c>
      <c r="BP565" s="3276"/>
      <c r="BQ565" s="3276" t="e">
        <v>#DIV/0!</v>
      </c>
      <c r="BR565" s="3276" t="e">
        <v>#DIV/0!</v>
      </c>
      <c r="BS565" s="3285"/>
      <c r="BT565" s="3285"/>
      <c r="BU565" s="3285"/>
    </row>
    <row r="566" spans="1:73" hidden="1">
      <c r="A566" s="3267" t="s">
        <v>7037</v>
      </c>
      <c r="B566" s="3268" t="s">
        <v>3184</v>
      </c>
      <c r="C566" s="3269" t="s">
        <v>7038</v>
      </c>
      <c r="D566" s="3268">
        <v>13810992212</v>
      </c>
      <c r="E566" s="3267" t="s">
        <v>2985</v>
      </c>
      <c r="F566" s="3268" t="s">
        <v>7039</v>
      </c>
      <c r="G566" s="3268"/>
      <c r="H566" s="3268" t="s">
        <v>3182</v>
      </c>
      <c r="I566" s="3268"/>
      <c r="J566" s="3280" t="s">
        <v>7040</v>
      </c>
      <c r="K566" s="3268" t="s">
        <v>7041</v>
      </c>
      <c r="L566" s="3270">
        <v>40.68</v>
      </c>
      <c r="M566" s="3270">
        <v>5</v>
      </c>
      <c r="N566" s="3268" t="s">
        <v>3152</v>
      </c>
      <c r="O566" s="3270"/>
      <c r="P566" s="3267" t="s">
        <v>2963</v>
      </c>
      <c r="Q566" s="3271">
        <v>258000</v>
      </c>
      <c r="R566" s="3267">
        <v>6342</v>
      </c>
      <c r="S566" s="3272">
        <v>20.53</v>
      </c>
      <c r="T566" s="3273">
        <v>205300</v>
      </c>
      <c r="U566" s="3267">
        <v>5049</v>
      </c>
      <c r="V566" s="3274">
        <v>0.2</v>
      </c>
      <c r="W566" s="3272">
        <v>16.420000000000002</v>
      </c>
      <c r="X566" s="3275">
        <v>164200</v>
      </c>
      <c r="Y566" s="3276">
        <v>2006</v>
      </c>
      <c r="Z566" s="3276">
        <v>6</v>
      </c>
      <c r="AA566" s="3276">
        <v>16</v>
      </c>
      <c r="AB566" s="3267">
        <v>615</v>
      </c>
      <c r="AC566" s="3267" t="s">
        <v>2980</v>
      </c>
      <c r="AD566" s="3268"/>
      <c r="AE566" s="3267" t="s">
        <v>3304</v>
      </c>
      <c r="AF566" s="3268" t="s">
        <v>2966</v>
      </c>
      <c r="AG566" s="3268" t="s">
        <v>2967</v>
      </c>
      <c r="AH566" s="3268"/>
      <c r="AI566" s="3279" t="s">
        <v>2992</v>
      </c>
      <c r="AJ566" s="3290"/>
      <c r="AK566" s="3278" t="s">
        <v>3160</v>
      </c>
      <c r="AL566" s="3276">
        <v>67641700</v>
      </c>
      <c r="AM566" s="3276"/>
      <c r="AN566" s="3276" t="s">
        <v>3114</v>
      </c>
      <c r="AO566" s="3276"/>
      <c r="AP566" s="3279" t="s">
        <v>3305</v>
      </c>
      <c r="AQ566" s="3267" t="s">
        <v>3228</v>
      </c>
      <c r="AR566" s="3267"/>
      <c r="AS566" s="3267"/>
      <c r="AT566" s="3267"/>
      <c r="AU566" s="3267"/>
      <c r="AV566" s="3277"/>
      <c r="AW566" s="3306" t="s">
        <v>2997</v>
      </c>
      <c r="AX566" s="3268"/>
      <c r="AY566" s="3268"/>
      <c r="AZ566" s="3268" t="s">
        <v>7041</v>
      </c>
      <c r="BA566" s="3268"/>
      <c r="BB566" s="3280"/>
      <c r="BC566" s="3268"/>
      <c r="BD566" s="3268"/>
      <c r="BE566" s="3268">
        <v>13911091304</v>
      </c>
      <c r="BF566" s="3281"/>
      <c r="BG566" s="3307">
        <v>38865</v>
      </c>
      <c r="BH566" s="3368" t="s">
        <v>2998</v>
      </c>
      <c r="BI566" s="3276" t="s">
        <v>4230</v>
      </c>
      <c r="BJ566" s="3299">
        <v>38870</v>
      </c>
      <c r="BK566" s="3284"/>
      <c r="BL566" s="3267" t="s">
        <v>3249</v>
      </c>
      <c r="BM566" s="3267" t="s">
        <v>2879</v>
      </c>
      <c r="BN566" s="3276" t="s">
        <v>2999</v>
      </c>
      <c r="BO566" s="3267" t="s">
        <v>3146</v>
      </c>
      <c r="BP566" s="3276"/>
      <c r="BQ566" s="3276" t="e">
        <v>#DIV/0!</v>
      </c>
      <c r="BR566" s="3276" t="e">
        <v>#DIV/0!</v>
      </c>
      <c r="BS566" s="3285"/>
      <c r="BT566" s="3285"/>
      <c r="BU566" s="3285"/>
    </row>
    <row r="567" spans="1:73" hidden="1">
      <c r="A567" s="3267" t="s">
        <v>7042</v>
      </c>
      <c r="B567" s="3267" t="s">
        <v>7043</v>
      </c>
      <c r="C567" s="3269" t="s">
        <v>7044</v>
      </c>
      <c r="D567" s="3268">
        <v>13581704625</v>
      </c>
      <c r="E567" s="3267" t="s">
        <v>2985</v>
      </c>
      <c r="F567" s="3308" t="s">
        <v>7045</v>
      </c>
      <c r="G567" s="3267"/>
      <c r="H567" s="3267" t="s">
        <v>7046</v>
      </c>
      <c r="I567" s="3267" t="s">
        <v>3191</v>
      </c>
      <c r="J567" s="3267">
        <v>501</v>
      </c>
      <c r="K567" s="3268" t="s">
        <v>7047</v>
      </c>
      <c r="L567" s="3286">
        <v>54.58</v>
      </c>
      <c r="M567" s="3270">
        <v>6</v>
      </c>
      <c r="N567" s="3267" t="s">
        <v>3122</v>
      </c>
      <c r="O567" s="3267"/>
      <c r="P567" s="3267" t="s">
        <v>2963</v>
      </c>
      <c r="Q567" s="3287">
        <v>370000</v>
      </c>
      <c r="R567" s="3267">
        <v>6779</v>
      </c>
      <c r="S567" s="3286">
        <v>31.59</v>
      </c>
      <c r="T567" s="3273">
        <v>315900</v>
      </c>
      <c r="U567" s="3267">
        <v>5789</v>
      </c>
      <c r="V567" s="3289">
        <v>0.2</v>
      </c>
      <c r="W567" s="3272">
        <v>25.27</v>
      </c>
      <c r="X567" s="3275">
        <v>252700</v>
      </c>
      <c r="Y567" s="3276">
        <v>2006</v>
      </c>
      <c r="Z567" s="3276">
        <v>7</v>
      </c>
      <c r="AA567" s="3276">
        <v>4</v>
      </c>
      <c r="AB567" s="3267">
        <v>945</v>
      </c>
      <c r="AC567" s="3267" t="s">
        <v>2980</v>
      </c>
      <c r="AD567" s="3267"/>
      <c r="AE567" s="3276" t="s">
        <v>3396</v>
      </c>
      <c r="AF567" s="3267" t="s">
        <v>2966</v>
      </c>
      <c r="AG567" s="3279" t="s">
        <v>2967</v>
      </c>
      <c r="AH567" s="3267"/>
      <c r="AI567" s="3267" t="s">
        <v>2992</v>
      </c>
      <c r="AJ567" s="3290"/>
      <c r="AK567" s="3278">
        <v>7</v>
      </c>
      <c r="AL567" s="3276">
        <v>44</v>
      </c>
      <c r="AM567" s="3276" t="s">
        <v>7048</v>
      </c>
      <c r="AN567" s="3279" t="s">
        <v>3131</v>
      </c>
      <c r="AO567" s="3267" t="s">
        <v>2968</v>
      </c>
      <c r="AP567" s="3267" t="s">
        <v>3396</v>
      </c>
      <c r="AQ567" s="3267" t="s">
        <v>3228</v>
      </c>
      <c r="AR567" s="3276"/>
      <c r="AS567" s="3276"/>
      <c r="AT567" s="3276"/>
      <c r="AU567" s="3276"/>
      <c r="AV567" s="3276"/>
      <c r="AW567" s="3267" t="s">
        <v>3119</v>
      </c>
      <c r="AX567" s="3276"/>
      <c r="AY567" s="3291"/>
      <c r="AZ567" s="3276" t="s">
        <v>7049</v>
      </c>
      <c r="BA567" s="3276"/>
      <c r="BB567" s="3291"/>
      <c r="BC567" s="3276"/>
      <c r="BD567" s="3292"/>
      <c r="BE567" s="3276"/>
      <c r="BF567" s="3281"/>
      <c r="BG567" s="3293">
        <v>38863</v>
      </c>
      <c r="BH567" s="3267" t="s">
        <v>2998</v>
      </c>
      <c r="BI567" s="3314" t="s">
        <v>3396</v>
      </c>
      <c r="BJ567" s="3299">
        <v>38870</v>
      </c>
      <c r="BK567" s="3283"/>
      <c r="BL567" s="3276" t="s">
        <v>2998</v>
      </c>
      <c r="BM567" s="3276" t="s">
        <v>3345</v>
      </c>
      <c r="BN567" s="3267" t="s">
        <v>2999</v>
      </c>
      <c r="BO567" s="3276"/>
      <c r="BP567" s="3276"/>
      <c r="BQ567" s="3276" t="e">
        <v>#DIV/0!</v>
      </c>
      <c r="BR567" s="3276" t="e">
        <v>#DIV/0!</v>
      </c>
      <c r="BS567" s="3285"/>
      <c r="BT567" s="3285"/>
      <c r="BU567" s="3285"/>
    </row>
    <row r="568" spans="1:73" hidden="1">
      <c r="A568" s="3267" t="s">
        <v>7050</v>
      </c>
      <c r="B568" s="3268" t="s">
        <v>7051</v>
      </c>
      <c r="C568" s="3269" t="s">
        <v>7052</v>
      </c>
      <c r="D568" s="3268">
        <v>13910021186</v>
      </c>
      <c r="E568" s="3267" t="s">
        <v>2985</v>
      </c>
      <c r="F568" s="3268" t="s">
        <v>3309</v>
      </c>
      <c r="G568" s="3268"/>
      <c r="H568" s="3268" t="s">
        <v>4614</v>
      </c>
      <c r="I568" s="3268"/>
      <c r="J568" s="3280" t="s">
        <v>7053</v>
      </c>
      <c r="K568" s="3268" t="s">
        <v>7051</v>
      </c>
      <c r="L568" s="3270">
        <v>78.680000000000007</v>
      </c>
      <c r="M568" s="3270">
        <v>10</v>
      </c>
      <c r="N568" s="3268" t="s">
        <v>3122</v>
      </c>
      <c r="O568" s="3270"/>
      <c r="P568" s="3267" t="s">
        <v>2963</v>
      </c>
      <c r="Q568" s="3271">
        <v>560000</v>
      </c>
      <c r="R568" s="3267">
        <v>7117</v>
      </c>
      <c r="S568" s="3272">
        <v>45.53</v>
      </c>
      <c r="T568" s="3273">
        <v>455300</v>
      </c>
      <c r="U568" s="3267">
        <v>5788</v>
      </c>
      <c r="V568" s="3274">
        <v>0.2</v>
      </c>
      <c r="W568" s="3272">
        <v>36.42</v>
      </c>
      <c r="X568" s="3275">
        <v>364200</v>
      </c>
      <c r="Y568" s="3276">
        <v>2006</v>
      </c>
      <c r="Z568" s="3276">
        <v>6</v>
      </c>
      <c r="AA568" s="3276">
        <v>6</v>
      </c>
      <c r="AB568" s="3267">
        <v>1365</v>
      </c>
      <c r="AC568" s="3267" t="s">
        <v>2980</v>
      </c>
      <c r="AD568" s="3268"/>
      <c r="AE568" s="3267" t="s">
        <v>3304</v>
      </c>
      <c r="AF568" s="3268" t="s">
        <v>2966</v>
      </c>
      <c r="AG568" s="3268" t="s">
        <v>2967</v>
      </c>
      <c r="AH568" s="3268"/>
      <c r="AI568" s="3279" t="s">
        <v>2992</v>
      </c>
      <c r="AJ568" s="3290"/>
      <c r="AK568" s="3278" t="s">
        <v>3160</v>
      </c>
      <c r="AL568" s="3276">
        <v>67641700</v>
      </c>
      <c r="AM568" s="3276"/>
      <c r="AN568" s="3276" t="s">
        <v>3140</v>
      </c>
      <c r="AO568" s="3276"/>
      <c r="AP568" s="3279" t="s">
        <v>3305</v>
      </c>
      <c r="AQ568" s="3276" t="s">
        <v>3113</v>
      </c>
      <c r="AR568" s="3267"/>
      <c r="AS568" s="3267"/>
      <c r="AT568" s="3267"/>
      <c r="AU568" s="3267"/>
      <c r="AV568" s="3277"/>
      <c r="AW568" s="3306" t="s">
        <v>3119</v>
      </c>
      <c r="AX568" s="3268"/>
      <c r="AY568" s="3268"/>
      <c r="AZ568" s="3268" t="s">
        <v>7054</v>
      </c>
      <c r="BA568" s="3268"/>
      <c r="BB568" s="3280"/>
      <c r="BC568" s="3268"/>
      <c r="BD568" s="3268"/>
      <c r="BE568" s="3268">
        <v>81906855</v>
      </c>
      <c r="BF568" s="3281"/>
      <c r="BG568" s="3307">
        <v>38846</v>
      </c>
      <c r="BH568" s="3368" t="s">
        <v>2998</v>
      </c>
      <c r="BI568" s="3276" t="s">
        <v>4230</v>
      </c>
      <c r="BJ568" s="3299">
        <v>38870</v>
      </c>
      <c r="BK568" s="3284"/>
      <c r="BL568" s="3267" t="s">
        <v>3249</v>
      </c>
      <c r="BM568" s="3267" t="s">
        <v>2879</v>
      </c>
      <c r="BN568" s="3276" t="s">
        <v>2999</v>
      </c>
      <c r="BO568" s="3267" t="s">
        <v>3146</v>
      </c>
      <c r="BP568" s="3276"/>
      <c r="BQ568" s="3276" t="e">
        <v>#DIV/0!</v>
      </c>
      <c r="BR568" s="3276" t="e">
        <v>#DIV/0!</v>
      </c>
      <c r="BS568" s="3285"/>
      <c r="BT568" s="3285"/>
      <c r="BU568" s="3285"/>
    </row>
    <row r="569" spans="1:73" hidden="1">
      <c r="A569" s="3267" t="s">
        <v>7055</v>
      </c>
      <c r="B569" s="3267" t="s">
        <v>7056</v>
      </c>
      <c r="C569" s="3269" t="s">
        <v>7057</v>
      </c>
      <c r="D569" s="3269" t="s">
        <v>7058</v>
      </c>
      <c r="E569" s="3268" t="s">
        <v>2985</v>
      </c>
      <c r="F569" s="3268" t="s">
        <v>3813</v>
      </c>
      <c r="G569" s="3267"/>
      <c r="H569" s="3267" t="s">
        <v>7059</v>
      </c>
      <c r="I569" s="3268"/>
      <c r="J569" s="3267" t="s">
        <v>7060</v>
      </c>
      <c r="K569" s="3267" t="s">
        <v>7056</v>
      </c>
      <c r="L569" s="3267">
        <v>69.12</v>
      </c>
      <c r="M569" s="3267">
        <v>4</v>
      </c>
      <c r="N569" s="3267" t="s">
        <v>3152</v>
      </c>
      <c r="O569" s="3267">
        <v>54.71</v>
      </c>
      <c r="P569" s="3267" t="s">
        <v>2963</v>
      </c>
      <c r="Q569" s="3271">
        <v>310000</v>
      </c>
      <c r="R569" s="3267">
        <v>4485</v>
      </c>
      <c r="S569" s="3272">
        <v>34.97</v>
      </c>
      <c r="T569" s="3273">
        <v>349700</v>
      </c>
      <c r="U569" s="3267">
        <v>5060</v>
      </c>
      <c r="V569" s="3289">
        <v>0.2</v>
      </c>
      <c r="W569" s="3272">
        <v>27.97</v>
      </c>
      <c r="X569" s="3275">
        <v>279700</v>
      </c>
      <c r="Y569" s="3276">
        <v>2006</v>
      </c>
      <c r="Z569" s="3276">
        <v>7</v>
      </c>
      <c r="AA569" s="3276">
        <v>12</v>
      </c>
      <c r="AB569" s="3267">
        <v>1045</v>
      </c>
      <c r="AC569" s="3267" t="s">
        <v>2980</v>
      </c>
      <c r="AD569" s="3267"/>
      <c r="AE569" s="3267" t="s">
        <v>3304</v>
      </c>
      <c r="AF569" s="3268" t="s">
        <v>2966</v>
      </c>
      <c r="AG569" s="3279" t="s">
        <v>2967</v>
      </c>
      <c r="AH569" s="3267"/>
      <c r="AI569" s="3279" t="s">
        <v>2992</v>
      </c>
      <c r="AJ569" s="3284"/>
      <c r="AK569" s="3278" t="s">
        <v>2993</v>
      </c>
      <c r="AL569" s="3276">
        <v>51</v>
      </c>
      <c r="AM569" s="3276" t="s">
        <v>7061</v>
      </c>
      <c r="AN569" s="3267" t="s">
        <v>4663</v>
      </c>
      <c r="AO569" s="3267"/>
      <c r="AP569" s="3279" t="s">
        <v>4230</v>
      </c>
      <c r="AQ569" s="3267" t="s">
        <v>3228</v>
      </c>
      <c r="AR569" s="3276"/>
      <c r="AS569" s="3276"/>
      <c r="AT569" s="3276"/>
      <c r="AU569" s="3276"/>
      <c r="AV569" s="3276"/>
      <c r="AW569" s="3276" t="s">
        <v>3119</v>
      </c>
      <c r="AX569" s="3276"/>
      <c r="AY569" s="3291"/>
      <c r="AZ569" s="3267" t="s">
        <v>7062</v>
      </c>
      <c r="BA569" s="3296"/>
      <c r="BB569" s="3297"/>
      <c r="BC569" s="3296"/>
      <c r="BD569" s="3298"/>
      <c r="BE569" s="3276"/>
      <c r="BF569" s="3281"/>
      <c r="BG569" s="3293">
        <v>38868</v>
      </c>
      <c r="BH569" s="3267" t="s">
        <v>2998</v>
      </c>
      <c r="BI569" s="3267" t="s">
        <v>4230</v>
      </c>
      <c r="BJ569" s="3283">
        <v>38870</v>
      </c>
      <c r="BK569" s="3283"/>
      <c r="BL569" s="3267" t="s">
        <v>3249</v>
      </c>
      <c r="BM569" s="3276" t="s">
        <v>2879</v>
      </c>
      <c r="BN569" s="3267" t="s">
        <v>3111</v>
      </c>
      <c r="BO569" s="3276" t="s">
        <v>3146</v>
      </c>
      <c r="BP569" s="3276"/>
      <c r="BQ569" s="3276">
        <v>6392</v>
      </c>
      <c r="BR569" s="3276">
        <v>5666</v>
      </c>
      <c r="BS569" s="3285"/>
      <c r="BT569" s="3285"/>
      <c r="BU569" s="3285"/>
    </row>
    <row r="570" spans="1:73" hidden="1">
      <c r="A570" s="3267" t="s">
        <v>7063</v>
      </c>
      <c r="B570" s="3267" t="s">
        <v>4103</v>
      </c>
      <c r="C570" s="3269" t="s">
        <v>7064</v>
      </c>
      <c r="D570" s="3269" t="s">
        <v>7065</v>
      </c>
      <c r="E570" s="3268" t="s">
        <v>2985</v>
      </c>
      <c r="F570" s="3268" t="s">
        <v>4589</v>
      </c>
      <c r="G570" s="3267"/>
      <c r="H570" s="3267" t="s">
        <v>7066</v>
      </c>
      <c r="I570" s="3268"/>
      <c r="J570" s="3267" t="s">
        <v>7067</v>
      </c>
      <c r="K570" s="3267" t="s">
        <v>4103</v>
      </c>
      <c r="L570" s="3267">
        <v>106.28</v>
      </c>
      <c r="M570" s="3267">
        <v>16</v>
      </c>
      <c r="N570" s="3267" t="s">
        <v>3116</v>
      </c>
      <c r="O570" s="3267">
        <v>88.89</v>
      </c>
      <c r="P570" s="3267" t="s">
        <v>2963</v>
      </c>
      <c r="Q570" s="3271">
        <v>720000</v>
      </c>
      <c r="R570" s="3267">
        <v>6775</v>
      </c>
      <c r="S570" s="3272">
        <v>58.45</v>
      </c>
      <c r="T570" s="3273">
        <v>584500</v>
      </c>
      <c r="U570" s="3267">
        <v>5500</v>
      </c>
      <c r="V570" s="3289">
        <v>0.2</v>
      </c>
      <c r="W570" s="3272">
        <v>46.76</v>
      </c>
      <c r="X570" s="3275">
        <v>467600</v>
      </c>
      <c r="Y570" s="3276">
        <v>2006</v>
      </c>
      <c r="Z570" s="3276">
        <v>6</v>
      </c>
      <c r="AA570" s="3276">
        <v>23</v>
      </c>
      <c r="AB570" s="3267">
        <v>1500</v>
      </c>
      <c r="AC570" s="3267" t="s">
        <v>2980</v>
      </c>
      <c r="AD570" s="3267"/>
      <c r="AE570" s="3267" t="s">
        <v>3304</v>
      </c>
      <c r="AF570" s="3268" t="s">
        <v>2966</v>
      </c>
      <c r="AG570" s="3279" t="s">
        <v>2967</v>
      </c>
      <c r="AH570" s="3267"/>
      <c r="AI570" s="3279" t="s">
        <v>2992</v>
      </c>
      <c r="AJ570" s="3284"/>
      <c r="AK570" s="3278">
        <v>6</v>
      </c>
      <c r="AL570" s="3276">
        <v>67641700</v>
      </c>
      <c r="AM570" s="3276"/>
      <c r="AN570" s="3267" t="s">
        <v>2994</v>
      </c>
      <c r="AO570" s="3267"/>
      <c r="AP570" s="3279" t="s">
        <v>3305</v>
      </c>
      <c r="AQ570" s="3267" t="s">
        <v>3228</v>
      </c>
      <c r="AR570" s="3276"/>
      <c r="AS570" s="3276"/>
      <c r="AT570" s="3276"/>
      <c r="AU570" s="3276"/>
      <c r="AV570" s="3276"/>
      <c r="AW570" s="3276" t="s">
        <v>2997</v>
      </c>
      <c r="AX570" s="3276"/>
      <c r="AY570" s="3291"/>
      <c r="AZ570" s="3267" t="s">
        <v>7068</v>
      </c>
      <c r="BA570" s="3296"/>
      <c r="BB570" s="3297"/>
      <c r="BC570" s="3296"/>
      <c r="BD570" s="3298"/>
      <c r="BE570" s="3276"/>
      <c r="BF570" s="3281"/>
      <c r="BG570" s="3293">
        <v>38867</v>
      </c>
      <c r="BH570" s="3267" t="s">
        <v>2998</v>
      </c>
      <c r="BI570" s="3267" t="s">
        <v>4230</v>
      </c>
      <c r="BJ570" s="3283">
        <v>38870</v>
      </c>
      <c r="BK570" s="3283"/>
      <c r="BL570" s="3267" t="s">
        <v>3249</v>
      </c>
      <c r="BM570" s="3276" t="s">
        <v>2879</v>
      </c>
      <c r="BN570" s="3267" t="s">
        <v>3111</v>
      </c>
      <c r="BO570" s="3276" t="s">
        <v>3146</v>
      </c>
      <c r="BP570" s="3276"/>
      <c r="BQ570" s="3276">
        <v>6576</v>
      </c>
      <c r="BR570" s="3276">
        <v>8100</v>
      </c>
      <c r="BS570" s="3285"/>
      <c r="BT570" s="3285"/>
      <c r="BU570" s="3285"/>
    </row>
    <row r="571" spans="1:73" hidden="1">
      <c r="A571" s="3267" t="s">
        <v>7069</v>
      </c>
      <c r="B571" s="3267" t="s">
        <v>7070</v>
      </c>
      <c r="C571" s="3269" t="s">
        <v>7071</v>
      </c>
      <c r="D571" s="3269" t="s">
        <v>7072</v>
      </c>
      <c r="E571" s="3267" t="s">
        <v>2985</v>
      </c>
      <c r="F571" s="3308" t="s">
        <v>3926</v>
      </c>
      <c r="G571" s="3267"/>
      <c r="H571" s="3267" t="s">
        <v>3927</v>
      </c>
      <c r="I571" s="3268"/>
      <c r="J571" s="3269" t="s">
        <v>7073</v>
      </c>
      <c r="K571" s="3267" t="s">
        <v>7074</v>
      </c>
      <c r="L571" s="3267">
        <v>91.28</v>
      </c>
      <c r="M571" s="3269">
        <v>5</v>
      </c>
      <c r="N571" s="3267" t="s">
        <v>3098</v>
      </c>
      <c r="O571" s="3267">
        <v>75.61</v>
      </c>
      <c r="P571" s="3267" t="s">
        <v>2963</v>
      </c>
      <c r="Q571" s="3271">
        <v>650000</v>
      </c>
      <c r="R571" s="3267">
        <v>7121</v>
      </c>
      <c r="S571" s="3272">
        <v>57.73</v>
      </c>
      <c r="T571" s="3273">
        <v>577300</v>
      </c>
      <c r="U571" s="3267">
        <v>6325</v>
      </c>
      <c r="V571" s="3289">
        <v>0.2</v>
      </c>
      <c r="W571" s="3272">
        <v>46.18</v>
      </c>
      <c r="X571" s="3275">
        <v>461800</v>
      </c>
      <c r="Y571" s="3276">
        <v>2006</v>
      </c>
      <c r="Z571" s="3276">
        <v>6</v>
      </c>
      <c r="AA571" s="3276">
        <v>15</v>
      </c>
      <c r="AB571" s="3267">
        <v>1500</v>
      </c>
      <c r="AC571" s="3267" t="s">
        <v>2980</v>
      </c>
      <c r="AD571" s="3267"/>
      <c r="AE571" s="3276" t="s">
        <v>2991</v>
      </c>
      <c r="AF571" s="3267" t="s">
        <v>2966</v>
      </c>
      <c r="AG571" s="3279" t="s">
        <v>2967</v>
      </c>
      <c r="AH571" s="3267"/>
      <c r="AI571" s="3279" t="s">
        <v>2992</v>
      </c>
      <c r="AJ571" s="3284"/>
      <c r="AK571" s="3278">
        <v>6</v>
      </c>
      <c r="AL571" s="3276">
        <v>67641700</v>
      </c>
      <c r="AM571" s="3276"/>
      <c r="AN571" s="3279" t="s">
        <v>3114</v>
      </c>
      <c r="AO571" s="3267"/>
      <c r="AP571" s="3279" t="s">
        <v>3305</v>
      </c>
      <c r="AQ571" s="3267" t="s">
        <v>3228</v>
      </c>
      <c r="AR571" s="3276"/>
      <c r="AS571" s="3276"/>
      <c r="AT571" s="3276"/>
      <c r="AU571" s="3276"/>
      <c r="AV571" s="3276"/>
      <c r="AW571" s="3276" t="s">
        <v>2997</v>
      </c>
      <c r="AX571" s="3276"/>
      <c r="AY571" s="3291"/>
      <c r="AZ571" s="3267" t="s">
        <v>7074</v>
      </c>
      <c r="BA571" s="3276"/>
      <c r="BB571" s="3291"/>
      <c r="BC571" s="3276"/>
      <c r="BD571" s="3292"/>
      <c r="BE571" s="3276"/>
      <c r="BF571" s="3281"/>
      <c r="BG571" s="3299">
        <v>38866</v>
      </c>
      <c r="BH571" s="3267" t="s">
        <v>2998</v>
      </c>
      <c r="BI571" s="3314" t="s">
        <v>4230</v>
      </c>
      <c r="BJ571" s="3283">
        <v>38874</v>
      </c>
      <c r="BK571" s="3299"/>
      <c r="BL571" s="3267" t="s">
        <v>3249</v>
      </c>
      <c r="BM571" s="3276" t="s">
        <v>2879</v>
      </c>
      <c r="BN571" s="3276" t="s">
        <v>2999</v>
      </c>
      <c r="BO571" s="3276" t="s">
        <v>7075</v>
      </c>
      <c r="BP571" s="3276"/>
      <c r="BQ571" s="3276">
        <v>7635</v>
      </c>
      <c r="BR571" s="3276">
        <v>8597</v>
      </c>
      <c r="BS571" s="3285"/>
      <c r="BT571" s="3285"/>
      <c r="BU571" s="3285"/>
    </row>
    <row r="572" spans="1:73" hidden="1">
      <c r="A572" s="3267" t="s">
        <v>7076</v>
      </c>
      <c r="B572" s="3267" t="s">
        <v>7077</v>
      </c>
      <c r="C572" s="3269" t="s">
        <v>7078</v>
      </c>
      <c r="D572" s="3269">
        <v>13811502314</v>
      </c>
      <c r="E572" s="3268" t="s">
        <v>2985</v>
      </c>
      <c r="F572" s="3268" t="s">
        <v>3470</v>
      </c>
      <c r="G572" s="3267"/>
      <c r="H572" s="3268" t="s">
        <v>3194</v>
      </c>
      <c r="I572" s="3268"/>
      <c r="J572" s="3267" t="s">
        <v>7079</v>
      </c>
      <c r="K572" s="3267" t="s">
        <v>7080</v>
      </c>
      <c r="L572" s="3267">
        <v>80.16</v>
      </c>
      <c r="M572" s="3267">
        <v>18</v>
      </c>
      <c r="N572" s="3267" t="s">
        <v>3122</v>
      </c>
      <c r="O572" s="3267">
        <v>65.760000000000005</v>
      </c>
      <c r="P572" s="3267" t="s">
        <v>2963</v>
      </c>
      <c r="Q572" s="3271">
        <v>560000</v>
      </c>
      <c r="R572" s="3267">
        <v>6986</v>
      </c>
      <c r="S572" s="3272">
        <v>32.06</v>
      </c>
      <c r="T572" s="3273">
        <v>320600</v>
      </c>
      <c r="U572" s="3267">
        <v>4000</v>
      </c>
      <c r="V572" s="3289">
        <v>0.2</v>
      </c>
      <c r="W572" s="3272">
        <v>25.64</v>
      </c>
      <c r="X572" s="3275">
        <v>256400</v>
      </c>
      <c r="Y572" s="3276">
        <v>2006</v>
      </c>
      <c r="Z572" s="3276">
        <v>6</v>
      </c>
      <c r="AA572" s="3276">
        <v>13</v>
      </c>
      <c r="AB572" s="3267">
        <v>960</v>
      </c>
      <c r="AC572" s="3267" t="s">
        <v>2980</v>
      </c>
      <c r="AD572" s="3267"/>
      <c r="AE572" s="3279" t="s">
        <v>3537</v>
      </c>
      <c r="AF572" s="3268" t="s">
        <v>2966</v>
      </c>
      <c r="AG572" s="3279" t="s">
        <v>3473</v>
      </c>
      <c r="AH572" s="3267"/>
      <c r="AI572" s="3279" t="s">
        <v>2992</v>
      </c>
      <c r="AJ572" s="3284"/>
      <c r="AK572" s="3278">
        <v>6</v>
      </c>
      <c r="AL572" s="3276">
        <v>67641700</v>
      </c>
      <c r="AM572" s="3276"/>
      <c r="AN572" s="3279" t="s">
        <v>3114</v>
      </c>
      <c r="AO572" s="3267" t="s">
        <v>2968</v>
      </c>
      <c r="AP572" s="3279" t="s">
        <v>3305</v>
      </c>
      <c r="AQ572" s="3267" t="s">
        <v>3228</v>
      </c>
      <c r="AR572" s="3276"/>
      <c r="AS572" s="3276"/>
      <c r="AT572" s="3276"/>
      <c r="AU572" s="3276"/>
      <c r="AV572" s="3276"/>
      <c r="AW572" s="3276" t="s">
        <v>2997</v>
      </c>
      <c r="AX572" s="3276"/>
      <c r="AY572" s="3291"/>
      <c r="AZ572" s="3267" t="s">
        <v>7080</v>
      </c>
      <c r="BA572" s="3296"/>
      <c r="BB572" s="3297"/>
      <c r="BC572" s="3296"/>
      <c r="BD572" s="3298"/>
      <c r="BE572" s="3276">
        <v>13501105866</v>
      </c>
      <c r="BF572" s="3281"/>
      <c r="BG572" s="3293">
        <v>38874</v>
      </c>
      <c r="BH572" s="3267" t="s">
        <v>2998</v>
      </c>
      <c r="BI572" s="3314" t="s">
        <v>3305</v>
      </c>
      <c r="BJ572" s="3283">
        <v>38874</v>
      </c>
      <c r="BK572" s="3283"/>
      <c r="BL572" s="3267" t="s">
        <v>3249</v>
      </c>
      <c r="BM572" s="3276" t="s">
        <v>3345</v>
      </c>
      <c r="BN572" s="3276" t="s">
        <v>2999</v>
      </c>
      <c r="BO572" s="3276" t="s">
        <v>3146</v>
      </c>
      <c r="BP572" s="3276"/>
      <c r="BQ572" s="3276">
        <v>4875</v>
      </c>
      <c r="BR572" s="3276">
        <v>8516</v>
      </c>
      <c r="BS572" s="3285"/>
      <c r="BT572" s="3285"/>
      <c r="BU572" s="3285"/>
    </row>
    <row r="573" spans="1:73" hidden="1">
      <c r="A573" s="3267" t="s">
        <v>7081</v>
      </c>
      <c r="B573" s="3267" t="s">
        <v>7082</v>
      </c>
      <c r="C573" s="3269" t="s">
        <v>7083</v>
      </c>
      <c r="D573" s="3269" t="s">
        <v>7084</v>
      </c>
      <c r="E573" s="3267" t="s">
        <v>2985</v>
      </c>
      <c r="F573" s="3244" t="s">
        <v>3764</v>
      </c>
      <c r="G573" s="3267"/>
      <c r="H573" s="3267" t="s">
        <v>3194</v>
      </c>
      <c r="I573" s="3267"/>
      <c r="J573" s="3269" t="s">
        <v>7085</v>
      </c>
      <c r="K573" s="3267"/>
      <c r="L573" s="3267">
        <v>49.26</v>
      </c>
      <c r="M573" s="3267">
        <v>3</v>
      </c>
      <c r="N573" s="3267" t="s">
        <v>3122</v>
      </c>
      <c r="O573" s="3267"/>
      <c r="P573" s="3267" t="s">
        <v>2963</v>
      </c>
      <c r="Q573" s="3271">
        <v>320000</v>
      </c>
      <c r="R573" s="3267">
        <v>6496</v>
      </c>
      <c r="S573" s="3272">
        <v>29.74</v>
      </c>
      <c r="T573" s="3273">
        <v>297400</v>
      </c>
      <c r="U573" s="3267">
        <v>6039</v>
      </c>
      <c r="V573" s="3289">
        <v>0.2</v>
      </c>
      <c r="W573" s="3272">
        <v>23.79</v>
      </c>
      <c r="X573" s="3275">
        <v>237900</v>
      </c>
      <c r="Y573" s="3276">
        <v>2006</v>
      </c>
      <c r="Z573" s="3276">
        <v>6</v>
      </c>
      <c r="AA573" s="3276">
        <v>27</v>
      </c>
      <c r="AB573" s="3267">
        <v>890</v>
      </c>
      <c r="AC573" s="3267" t="s">
        <v>2980</v>
      </c>
      <c r="AD573" s="3267"/>
      <c r="AE573" s="3276" t="s">
        <v>3487</v>
      </c>
      <c r="AF573" s="3267" t="s">
        <v>2966</v>
      </c>
      <c r="AG573" s="3279" t="s">
        <v>2967</v>
      </c>
      <c r="AH573" s="3267" t="s">
        <v>2968</v>
      </c>
      <c r="AI573" s="3267" t="s">
        <v>2992</v>
      </c>
      <c r="AJ573" s="3284"/>
      <c r="AK573" s="3316">
        <v>6</v>
      </c>
      <c r="AL573" s="3276">
        <v>67641700</v>
      </c>
      <c r="AM573" s="3276"/>
      <c r="AN573" s="3276" t="s">
        <v>3140</v>
      </c>
      <c r="AO573" s="3276" t="s">
        <v>2968</v>
      </c>
      <c r="AP573" s="3276" t="s">
        <v>3305</v>
      </c>
      <c r="AQ573" s="3276" t="s">
        <v>3113</v>
      </c>
      <c r="AR573" s="3276"/>
      <c r="AS573" s="3276"/>
      <c r="AT573" s="3276"/>
      <c r="AU573" s="3276"/>
      <c r="AV573" s="3276" t="s">
        <v>2968</v>
      </c>
      <c r="AW573" s="3276" t="s">
        <v>3171</v>
      </c>
      <c r="AX573" s="3276"/>
      <c r="AY573" s="3291"/>
      <c r="AZ573" s="3276"/>
      <c r="BA573" s="3276"/>
      <c r="BB573" s="3291"/>
      <c r="BC573" s="3276"/>
      <c r="BD573" s="3292"/>
      <c r="BE573" s="3276"/>
      <c r="BF573" s="3281"/>
      <c r="BG573" s="3299">
        <v>38849</v>
      </c>
      <c r="BH573" s="3276" t="s">
        <v>2998</v>
      </c>
      <c r="BI573" s="3276" t="s">
        <v>3487</v>
      </c>
      <c r="BJ573" s="3283">
        <v>38874</v>
      </c>
      <c r="BK573" s="3283"/>
      <c r="BL573" s="3267" t="s">
        <v>3249</v>
      </c>
      <c r="BM573" s="3276"/>
      <c r="BN573" s="3276"/>
      <c r="BO573" s="3276"/>
      <c r="BP573" s="3276"/>
      <c r="BQ573" s="3276" t="e">
        <v>#DIV/0!</v>
      </c>
      <c r="BR573" s="3276" t="e">
        <v>#DIV/0!</v>
      </c>
      <c r="BS573" s="3285"/>
      <c r="BT573" s="3285"/>
      <c r="BU573" s="3285"/>
    </row>
    <row r="574" spans="1:73" hidden="1">
      <c r="A574" s="3267" t="s">
        <v>7086</v>
      </c>
      <c r="B574" s="3267" t="s">
        <v>7087</v>
      </c>
      <c r="C574" s="3269" t="s">
        <v>7088</v>
      </c>
      <c r="D574" s="3269">
        <v>13661289269</v>
      </c>
      <c r="E574" s="3268" t="s">
        <v>2985</v>
      </c>
      <c r="F574" s="3268" t="s">
        <v>7089</v>
      </c>
      <c r="G574" s="3267"/>
      <c r="H574" s="3267" t="s">
        <v>3150</v>
      </c>
      <c r="I574" s="3268" t="s">
        <v>3318</v>
      </c>
      <c r="J574" s="3267" t="s">
        <v>3126</v>
      </c>
      <c r="K574" s="3267" t="s">
        <v>7090</v>
      </c>
      <c r="L574" s="3267">
        <v>62.85</v>
      </c>
      <c r="M574" s="3267">
        <v>6</v>
      </c>
      <c r="N574" s="3267" t="s">
        <v>3122</v>
      </c>
      <c r="O574" s="3267"/>
      <c r="P574" s="3267" t="s">
        <v>2963</v>
      </c>
      <c r="Q574" s="3271">
        <v>400000</v>
      </c>
      <c r="R574" s="3267">
        <v>6364</v>
      </c>
      <c r="S574" s="3272">
        <v>35.04</v>
      </c>
      <c r="T574" s="3273">
        <v>350400</v>
      </c>
      <c r="U574" s="3267">
        <v>5576</v>
      </c>
      <c r="V574" s="3289">
        <v>0.2</v>
      </c>
      <c r="W574" s="3272">
        <v>28.03</v>
      </c>
      <c r="X574" s="3275">
        <v>280300</v>
      </c>
      <c r="Y574" s="3276">
        <v>2006</v>
      </c>
      <c r="Z574" s="3276">
        <v>6</v>
      </c>
      <c r="AA574" s="3276">
        <v>9</v>
      </c>
      <c r="AB574" s="3267">
        <v>1050</v>
      </c>
      <c r="AC574" s="3267" t="s">
        <v>2980</v>
      </c>
      <c r="AD574" s="3267"/>
      <c r="AE574" s="3279" t="s">
        <v>3180</v>
      </c>
      <c r="AF574" s="3268" t="s">
        <v>2966</v>
      </c>
      <c r="AG574" s="3279" t="s">
        <v>2967</v>
      </c>
      <c r="AH574" s="3267"/>
      <c r="AI574" s="3279" t="s">
        <v>2992</v>
      </c>
      <c r="AJ574" s="3284"/>
      <c r="AK574" s="3278">
        <v>6</v>
      </c>
      <c r="AL574" s="3276">
        <v>67641700</v>
      </c>
      <c r="AM574" s="3276"/>
      <c r="AN574" s="3279" t="s">
        <v>3140</v>
      </c>
      <c r="AO574" s="3267" t="s">
        <v>2968</v>
      </c>
      <c r="AP574" s="3279" t="s">
        <v>3305</v>
      </c>
      <c r="AQ574" s="3276" t="s">
        <v>3113</v>
      </c>
      <c r="AR574" s="3276"/>
      <c r="AS574" s="3276"/>
      <c r="AT574" s="3276"/>
      <c r="AU574" s="3276"/>
      <c r="AV574" s="3276"/>
      <c r="AW574" s="3276" t="s">
        <v>2997</v>
      </c>
      <c r="AX574" s="3276"/>
      <c r="AY574" s="3291"/>
      <c r="AZ574" s="3267" t="s">
        <v>7090</v>
      </c>
      <c r="BA574" s="3296"/>
      <c r="BB574" s="3297"/>
      <c r="BC574" s="3296"/>
      <c r="BD574" s="3298"/>
      <c r="BE574" s="3276"/>
      <c r="BF574" s="3281"/>
      <c r="BG574" s="3293">
        <v>38870</v>
      </c>
      <c r="BH574" s="3267" t="s">
        <v>2998</v>
      </c>
      <c r="BI574" s="3314" t="s">
        <v>3305</v>
      </c>
      <c r="BJ574" s="3283">
        <v>38875</v>
      </c>
      <c r="BK574" s="3283"/>
      <c r="BL574" s="3267" t="s">
        <v>3249</v>
      </c>
      <c r="BM574" s="3276" t="s">
        <v>2879</v>
      </c>
      <c r="BN574" s="3276" t="s">
        <v>2999</v>
      </c>
      <c r="BO574" s="3276" t="s">
        <v>3146</v>
      </c>
      <c r="BP574" s="3276"/>
      <c r="BQ574" s="3276" t="e">
        <v>#DIV/0!</v>
      </c>
      <c r="BR574" s="3276" t="e">
        <v>#DIV/0!</v>
      </c>
      <c r="BS574" s="3285"/>
      <c r="BT574" s="3285"/>
      <c r="BU574" s="3285"/>
    </row>
    <row r="575" spans="1:73" hidden="1">
      <c r="A575" s="3267" t="s">
        <v>7091</v>
      </c>
      <c r="B575" s="3268" t="s">
        <v>7092</v>
      </c>
      <c r="C575" s="3269" t="s">
        <v>7093</v>
      </c>
      <c r="D575" s="3268">
        <v>13621199117</v>
      </c>
      <c r="E575" s="3268" t="s">
        <v>2985</v>
      </c>
      <c r="F575" s="3268" t="s">
        <v>3764</v>
      </c>
      <c r="G575" s="3268"/>
      <c r="H575" s="3268" t="s">
        <v>3134</v>
      </c>
      <c r="I575" s="3268"/>
      <c r="J575" s="3268" t="s">
        <v>6542</v>
      </c>
      <c r="K575" s="3268" t="s">
        <v>7094</v>
      </c>
      <c r="L575" s="3270">
        <v>69.489999999999995</v>
      </c>
      <c r="M575" s="3270">
        <v>4</v>
      </c>
      <c r="N575" s="3268" t="s">
        <v>3122</v>
      </c>
      <c r="O575" s="3270"/>
      <c r="P575" s="3268" t="s">
        <v>2963</v>
      </c>
      <c r="Q575" s="3271">
        <v>420000</v>
      </c>
      <c r="R575" s="3267">
        <v>6044</v>
      </c>
      <c r="S575" s="3272">
        <v>41.86</v>
      </c>
      <c r="T575" s="3273">
        <v>418600</v>
      </c>
      <c r="U575" s="3267">
        <v>6025</v>
      </c>
      <c r="V575" s="3274">
        <v>0.2</v>
      </c>
      <c r="W575" s="3272">
        <v>33.479999999999997</v>
      </c>
      <c r="X575" s="3275">
        <v>334800</v>
      </c>
      <c r="Y575" s="3276">
        <v>2006</v>
      </c>
      <c r="Z575" s="3276">
        <v>6</v>
      </c>
      <c r="AA575" s="3276">
        <v>9</v>
      </c>
      <c r="AB575" s="3267">
        <v>1255</v>
      </c>
      <c r="AC575" s="3267" t="s">
        <v>2980</v>
      </c>
      <c r="AD575" s="3268"/>
      <c r="AE575" s="3267" t="s">
        <v>3396</v>
      </c>
      <c r="AF575" s="3268" t="s">
        <v>2966</v>
      </c>
      <c r="AG575" s="3268" t="s">
        <v>2967</v>
      </c>
      <c r="AH575" s="3268"/>
      <c r="AI575" s="3267" t="s">
        <v>2992</v>
      </c>
      <c r="AJ575" s="3290"/>
      <c r="AK575" s="3278" t="s">
        <v>3160</v>
      </c>
      <c r="AL575" s="3267">
        <v>67641700</v>
      </c>
      <c r="AM575" s="3276"/>
      <c r="AN575" s="3276" t="s">
        <v>3140</v>
      </c>
      <c r="AO575" s="3276"/>
      <c r="AP575" s="3267" t="s">
        <v>3396</v>
      </c>
      <c r="AQ575" s="3276" t="s">
        <v>2996</v>
      </c>
      <c r="AR575" s="3267"/>
      <c r="AS575" s="3267"/>
      <c r="AT575" s="3267"/>
      <c r="AU575" s="3267"/>
      <c r="AV575" s="3277"/>
      <c r="AW575" s="3306" t="s">
        <v>2997</v>
      </c>
      <c r="AX575" s="3268"/>
      <c r="AY575" s="3268"/>
      <c r="AZ575" s="3268" t="s">
        <v>7094</v>
      </c>
      <c r="BA575" s="3268"/>
      <c r="BB575" s="3280"/>
      <c r="BC575" s="3268"/>
      <c r="BD575" s="3268"/>
      <c r="BE575" s="3268">
        <v>13910855230</v>
      </c>
      <c r="BF575" s="3281"/>
      <c r="BG575" s="3307">
        <v>38843</v>
      </c>
      <c r="BH575" s="3268"/>
      <c r="BI575" s="3267" t="s">
        <v>3396</v>
      </c>
      <c r="BJ575" s="3299">
        <v>38875</v>
      </c>
      <c r="BK575" s="3284"/>
      <c r="BL575" s="3267" t="s">
        <v>2998</v>
      </c>
      <c r="BM575" s="3267" t="s">
        <v>2879</v>
      </c>
      <c r="BN575" s="3276" t="s">
        <v>2999</v>
      </c>
      <c r="BO575" s="3267" t="s">
        <v>3000</v>
      </c>
      <c r="BP575" s="3276"/>
      <c r="BQ575" s="3276" t="e">
        <v>#DIV/0!</v>
      </c>
      <c r="BR575" s="3276" t="e">
        <v>#DIV/0!</v>
      </c>
      <c r="BS575" s="3285"/>
      <c r="BT575" s="3285"/>
      <c r="BU575" s="3285"/>
    </row>
    <row r="576" spans="1:73" hidden="1">
      <c r="A576" s="3268" t="s">
        <v>7095</v>
      </c>
      <c r="B576" s="3267" t="s">
        <v>7096</v>
      </c>
      <c r="C576" s="3269" t="s">
        <v>7097</v>
      </c>
      <c r="D576" s="3269" t="s">
        <v>7098</v>
      </c>
      <c r="E576" s="3267" t="s">
        <v>2985</v>
      </c>
      <c r="F576" s="3268" t="s">
        <v>7099</v>
      </c>
      <c r="G576" s="3267"/>
      <c r="H576" s="3267" t="s">
        <v>3169</v>
      </c>
      <c r="I576" s="3267"/>
      <c r="J576" s="3269" t="s">
        <v>7100</v>
      </c>
      <c r="K576" s="3267"/>
      <c r="L576" s="3267">
        <v>58.29</v>
      </c>
      <c r="M576" s="3267">
        <v>6</v>
      </c>
      <c r="N576" s="3267" t="s">
        <v>3122</v>
      </c>
      <c r="O576" s="3267"/>
      <c r="P576" s="3267" t="s">
        <v>2963</v>
      </c>
      <c r="Q576" s="3271">
        <v>380000</v>
      </c>
      <c r="R576" s="3267">
        <v>6519</v>
      </c>
      <c r="S576" s="3272">
        <v>31.37</v>
      </c>
      <c r="T576" s="3273">
        <v>313700</v>
      </c>
      <c r="U576" s="3267">
        <v>5383</v>
      </c>
      <c r="V576" s="3289">
        <v>0.2</v>
      </c>
      <c r="W576" s="3272">
        <v>25.09</v>
      </c>
      <c r="X576" s="3275">
        <v>250900</v>
      </c>
      <c r="Y576" s="3267">
        <v>2006</v>
      </c>
      <c r="Z576" s="3276">
        <v>6</v>
      </c>
      <c r="AA576" s="3276">
        <v>8</v>
      </c>
      <c r="AB576" s="3267">
        <v>940</v>
      </c>
      <c r="AC576" s="3267" t="s">
        <v>2980</v>
      </c>
      <c r="AD576" s="3267"/>
      <c r="AE576" s="3267" t="s">
        <v>3487</v>
      </c>
      <c r="AF576" s="3267" t="s">
        <v>2966</v>
      </c>
      <c r="AG576" s="3267" t="s">
        <v>2967</v>
      </c>
      <c r="AH576" s="3267" t="s">
        <v>2968</v>
      </c>
      <c r="AI576" s="3270" t="s">
        <v>2992</v>
      </c>
      <c r="AJ576" s="3284"/>
      <c r="AK576" s="3278">
        <v>6</v>
      </c>
      <c r="AL576" s="3276">
        <v>67641700</v>
      </c>
      <c r="AM576" s="3276"/>
      <c r="AN576" s="3267" t="s">
        <v>3140</v>
      </c>
      <c r="AO576" s="3276" t="s">
        <v>2968</v>
      </c>
      <c r="AP576" s="3276" t="s">
        <v>3305</v>
      </c>
      <c r="AQ576" s="3276" t="s">
        <v>3113</v>
      </c>
      <c r="AR576" s="3276"/>
      <c r="AS576" s="3276"/>
      <c r="AT576" s="3276"/>
      <c r="AU576" s="3276"/>
      <c r="AV576" s="3276" t="s">
        <v>2968</v>
      </c>
      <c r="AW576" s="3276" t="s">
        <v>3171</v>
      </c>
      <c r="AX576" s="3276"/>
      <c r="AY576" s="3291"/>
      <c r="AZ576" s="3267"/>
      <c r="BA576" s="3276"/>
      <c r="BB576" s="3291"/>
      <c r="BC576" s="3276"/>
      <c r="BD576" s="3292"/>
      <c r="BE576" s="3276"/>
      <c r="BF576" s="3281"/>
      <c r="BG576" s="3290">
        <v>38868</v>
      </c>
      <c r="BH576" s="3276" t="s">
        <v>2998</v>
      </c>
      <c r="BI576" s="3267" t="s">
        <v>3487</v>
      </c>
      <c r="BJ576" s="3290">
        <v>38875</v>
      </c>
      <c r="BK576" s="3283"/>
      <c r="BL576" s="3276" t="s">
        <v>3249</v>
      </c>
      <c r="BM576" s="3276"/>
      <c r="BN576" s="3276"/>
      <c r="BO576" s="3276"/>
      <c r="BP576" s="3276"/>
      <c r="BQ576" s="3276" t="e">
        <v>#DIV/0!</v>
      </c>
      <c r="BR576" s="3276" t="e">
        <v>#DIV/0!</v>
      </c>
      <c r="BS576" s="3285"/>
      <c r="BT576" s="3285"/>
      <c r="BU576" s="3285"/>
    </row>
    <row r="577" spans="1:73" hidden="1">
      <c r="A577" s="3267" t="s">
        <v>7101</v>
      </c>
      <c r="B577" s="3267" t="s">
        <v>7102</v>
      </c>
      <c r="C577" s="3269" t="s">
        <v>7103</v>
      </c>
      <c r="D577" s="3268" t="s">
        <v>7104</v>
      </c>
      <c r="E577" s="3267" t="s">
        <v>2985</v>
      </c>
      <c r="F577" s="3267" t="s">
        <v>7105</v>
      </c>
      <c r="G577" s="3267"/>
      <c r="H577" s="3267" t="s">
        <v>3138</v>
      </c>
      <c r="I577" s="3267"/>
      <c r="J577" s="3267" t="s">
        <v>7106</v>
      </c>
      <c r="K577" s="3267" t="s">
        <v>7107</v>
      </c>
      <c r="L577" s="3267">
        <v>75.14</v>
      </c>
      <c r="M577" s="3269">
        <v>13</v>
      </c>
      <c r="N577" s="3267" t="s">
        <v>3125</v>
      </c>
      <c r="O577" s="3267"/>
      <c r="P577" s="3267" t="s">
        <v>2963</v>
      </c>
      <c r="Q577" s="3271">
        <v>480000</v>
      </c>
      <c r="R577" s="3271">
        <v>6388</v>
      </c>
      <c r="S577" s="3272">
        <v>47.83</v>
      </c>
      <c r="T577" s="3273">
        <v>478300</v>
      </c>
      <c r="U577" s="3267">
        <v>6366</v>
      </c>
      <c r="V577" s="3289">
        <v>0.2</v>
      </c>
      <c r="W577" s="3272">
        <v>38.26</v>
      </c>
      <c r="X577" s="3273">
        <v>382600</v>
      </c>
      <c r="Y577" s="3276">
        <v>2006</v>
      </c>
      <c r="Z577" s="3276">
        <v>7</v>
      </c>
      <c r="AA577" s="3267">
        <v>12</v>
      </c>
      <c r="AB577" s="3276">
        <v>1430</v>
      </c>
      <c r="AC577" s="3267" t="s">
        <v>2980</v>
      </c>
      <c r="AD577" s="3267"/>
      <c r="AE577" s="3267" t="s">
        <v>3342</v>
      </c>
      <c r="AF577" s="3267" t="s">
        <v>2966</v>
      </c>
      <c r="AG577" s="3279" t="s">
        <v>2967</v>
      </c>
      <c r="AH577" s="3267"/>
      <c r="AI577" s="3267" t="s">
        <v>2992</v>
      </c>
      <c r="AJ577" s="3284"/>
      <c r="AK577" s="3278" t="s">
        <v>2993</v>
      </c>
      <c r="AL577" s="3276">
        <v>38</v>
      </c>
      <c r="AM577" s="3267"/>
      <c r="AN577" s="3279" t="s">
        <v>3140</v>
      </c>
      <c r="AO577" s="3267"/>
      <c r="AP577" s="3267" t="s">
        <v>4230</v>
      </c>
      <c r="AQ577" s="3267" t="s">
        <v>3228</v>
      </c>
      <c r="AR577" s="3267"/>
      <c r="AS577" s="3267"/>
      <c r="AT577" s="3267"/>
      <c r="AU577" s="3267"/>
      <c r="AV577" s="3267" t="s">
        <v>2968</v>
      </c>
      <c r="AW577" s="3267" t="s">
        <v>2997</v>
      </c>
      <c r="AX577" s="3267"/>
      <c r="AY577" s="3269"/>
      <c r="AZ577" s="3267" t="s">
        <v>7107</v>
      </c>
      <c r="BA577" s="3267"/>
      <c r="BB577" s="3269"/>
      <c r="BC577" s="3267"/>
      <c r="BD577" s="3304"/>
      <c r="BE577" s="3267"/>
      <c r="BF577" s="3305"/>
      <c r="BG577" s="3284">
        <v>38861</v>
      </c>
      <c r="BH577" s="3267" t="s">
        <v>2998</v>
      </c>
      <c r="BI577" s="3267" t="s">
        <v>4230</v>
      </c>
      <c r="BJ577" s="3284">
        <v>38875</v>
      </c>
      <c r="BK577" s="3303"/>
      <c r="BL577" s="3267" t="s">
        <v>3249</v>
      </c>
      <c r="BM577" s="3276" t="s">
        <v>2879</v>
      </c>
      <c r="BN577" s="3276" t="s">
        <v>2999</v>
      </c>
      <c r="BO577" s="3267" t="s">
        <v>3000</v>
      </c>
      <c r="BP577" s="3276"/>
      <c r="BQ577" s="3276" t="e">
        <v>#DIV/0!</v>
      </c>
      <c r="BR577" s="3276" t="e">
        <v>#DIV/0!</v>
      </c>
      <c r="BS577" s="3285"/>
      <c r="BT577" s="3285"/>
      <c r="BU577" s="3285"/>
    </row>
    <row r="578" spans="1:73" hidden="1">
      <c r="A578" s="3267" t="s">
        <v>7108</v>
      </c>
      <c r="B578" s="3267" t="s">
        <v>7109</v>
      </c>
      <c r="C578" s="3269" t="s">
        <v>7110</v>
      </c>
      <c r="D578" s="3268">
        <v>13501220758</v>
      </c>
      <c r="E578" s="3267" t="s">
        <v>2985</v>
      </c>
      <c r="F578" s="3267" t="s">
        <v>7111</v>
      </c>
      <c r="G578" s="3267"/>
      <c r="H578" s="3267" t="s">
        <v>3310</v>
      </c>
      <c r="I578" s="3267" t="s">
        <v>3586</v>
      </c>
      <c r="J578" s="3267" t="s">
        <v>7112</v>
      </c>
      <c r="K578" s="3267" t="s">
        <v>7113</v>
      </c>
      <c r="L578" s="3267">
        <v>94.72</v>
      </c>
      <c r="M578" s="3269">
        <v>5</v>
      </c>
      <c r="N578" s="3267" t="s">
        <v>3098</v>
      </c>
      <c r="O578" s="3267">
        <v>80.959999999999994</v>
      </c>
      <c r="P578" s="3267" t="s">
        <v>2963</v>
      </c>
      <c r="Q578" s="3271">
        <v>830000</v>
      </c>
      <c r="R578" s="3271">
        <v>8763</v>
      </c>
      <c r="S578" s="3272">
        <v>64.17</v>
      </c>
      <c r="T578" s="3273">
        <v>641700</v>
      </c>
      <c r="U578" s="3267">
        <v>6775</v>
      </c>
      <c r="V578" s="3289">
        <v>0.2</v>
      </c>
      <c r="W578" s="3272">
        <v>51.33</v>
      </c>
      <c r="X578" s="3273">
        <v>513300</v>
      </c>
      <c r="Y578" s="3276">
        <v>2006</v>
      </c>
      <c r="Z578" s="3276">
        <v>6</v>
      </c>
      <c r="AA578" s="3267">
        <v>23</v>
      </c>
      <c r="AB578" s="3276">
        <v>1500</v>
      </c>
      <c r="AC578" s="3267" t="s">
        <v>2980</v>
      </c>
      <c r="AD578" s="3267"/>
      <c r="AE578" s="3267" t="s">
        <v>3245</v>
      </c>
      <c r="AF578" s="3267" t="s">
        <v>2966</v>
      </c>
      <c r="AG578" s="3279" t="s">
        <v>2967</v>
      </c>
      <c r="AH578" s="3267"/>
      <c r="AI578" s="3267" t="s">
        <v>2992</v>
      </c>
      <c r="AJ578" s="3284"/>
      <c r="AK578" s="3278" t="s">
        <v>3160</v>
      </c>
      <c r="AL578" s="3276">
        <v>67641700</v>
      </c>
      <c r="AM578" s="3267"/>
      <c r="AN578" s="3279" t="s">
        <v>2994</v>
      </c>
      <c r="AO578" s="3267"/>
      <c r="AP578" s="3267" t="s">
        <v>3305</v>
      </c>
      <c r="AQ578" s="3267" t="s">
        <v>3228</v>
      </c>
      <c r="AR578" s="3267"/>
      <c r="AS578" s="3267"/>
      <c r="AT578" s="3267"/>
      <c r="AU578" s="3267"/>
      <c r="AV578" s="3267" t="s">
        <v>2968</v>
      </c>
      <c r="AW578" s="3267" t="s">
        <v>3119</v>
      </c>
      <c r="AX578" s="3267" t="s">
        <v>2968</v>
      </c>
      <c r="AY578" s="3269"/>
      <c r="AZ578" s="3267" t="s">
        <v>7113</v>
      </c>
      <c r="BA578" s="3267"/>
      <c r="BB578" s="3269"/>
      <c r="BC578" s="3267"/>
      <c r="BD578" s="3304"/>
      <c r="BE578" s="3267">
        <v>13146192961</v>
      </c>
      <c r="BF578" s="3305"/>
      <c r="BG578" s="3284">
        <v>38875</v>
      </c>
      <c r="BH578" s="3267" t="s">
        <v>2998</v>
      </c>
      <c r="BI578" s="3267" t="s">
        <v>4230</v>
      </c>
      <c r="BJ578" s="3284">
        <v>38877</v>
      </c>
      <c r="BK578" s="3303"/>
      <c r="BL578" s="3267" t="s">
        <v>3249</v>
      </c>
      <c r="BM578" s="3276" t="s">
        <v>2879</v>
      </c>
      <c r="BN578" s="3276" t="s">
        <v>3111</v>
      </c>
      <c r="BO578" s="3267" t="s">
        <v>3000</v>
      </c>
      <c r="BP578" s="3276"/>
      <c r="BQ578" s="3276">
        <v>7926</v>
      </c>
      <c r="BR578" s="3276">
        <v>10252</v>
      </c>
      <c r="BS578" s="3285"/>
      <c r="BT578" s="3285"/>
      <c r="BU578" s="3285"/>
    </row>
    <row r="579" spans="1:73" hidden="1">
      <c r="A579" s="3267" t="s">
        <v>7114</v>
      </c>
      <c r="B579" s="3267" t="s">
        <v>7115</v>
      </c>
      <c r="C579" s="3269" t="s">
        <v>7116</v>
      </c>
      <c r="D579" s="3269" t="s">
        <v>7117</v>
      </c>
      <c r="E579" s="3267" t="s">
        <v>2985</v>
      </c>
      <c r="F579" s="3267" t="s">
        <v>3702</v>
      </c>
      <c r="G579" s="3267"/>
      <c r="H579" s="3267" t="s">
        <v>7118</v>
      </c>
      <c r="I579" s="3267"/>
      <c r="J579" s="3269" t="s">
        <v>7119</v>
      </c>
      <c r="K579" s="3267" t="s">
        <v>7120</v>
      </c>
      <c r="L579" s="3267">
        <v>92.71</v>
      </c>
      <c r="M579" s="3267">
        <v>19</v>
      </c>
      <c r="N579" s="3267" t="s">
        <v>3098</v>
      </c>
      <c r="O579" s="3267">
        <v>75.28</v>
      </c>
      <c r="P579" s="3267" t="s">
        <v>2963</v>
      </c>
      <c r="Q579" s="3271">
        <v>500000</v>
      </c>
      <c r="R579" s="3267">
        <v>5393</v>
      </c>
      <c r="S579" s="3272">
        <v>52.76</v>
      </c>
      <c r="T579" s="3273">
        <v>527600</v>
      </c>
      <c r="U579" s="3267">
        <v>5691</v>
      </c>
      <c r="V579" s="3289">
        <v>0.2</v>
      </c>
      <c r="W579" s="3272">
        <v>42.2</v>
      </c>
      <c r="X579" s="3275">
        <v>422000</v>
      </c>
      <c r="Y579" s="3276">
        <v>2006</v>
      </c>
      <c r="Z579" s="3276">
        <v>6</v>
      </c>
      <c r="AA579" s="3276">
        <v>12</v>
      </c>
      <c r="AB579" s="3267">
        <v>1500</v>
      </c>
      <c r="AC579" s="3267" t="s">
        <v>2980</v>
      </c>
      <c r="AD579" s="3267"/>
      <c r="AE579" s="3267" t="s">
        <v>3396</v>
      </c>
      <c r="AF579" s="3267" t="s">
        <v>2966</v>
      </c>
      <c r="AG579" s="3267" t="s">
        <v>2967</v>
      </c>
      <c r="AH579" s="3267"/>
      <c r="AI579" s="3267" t="s">
        <v>2992</v>
      </c>
      <c r="AJ579" s="3284"/>
      <c r="AK579" s="3316" t="s">
        <v>3160</v>
      </c>
      <c r="AL579" s="3267">
        <v>67641700</v>
      </c>
      <c r="AM579" s="3276"/>
      <c r="AN579" s="3276" t="s">
        <v>3140</v>
      </c>
      <c r="AO579" s="3276"/>
      <c r="AP579" s="3276" t="s">
        <v>3396</v>
      </c>
      <c r="AQ579" s="3267" t="s">
        <v>3113</v>
      </c>
      <c r="AR579" s="3276"/>
      <c r="AS579" s="3276"/>
      <c r="AT579" s="3276"/>
      <c r="AU579" s="3276"/>
      <c r="AV579" s="3276"/>
      <c r="AW579" s="3276" t="s">
        <v>2997</v>
      </c>
      <c r="AX579" s="3276"/>
      <c r="AY579" s="3291"/>
      <c r="AZ579" s="3276" t="s">
        <v>7120</v>
      </c>
      <c r="BA579" s="3276"/>
      <c r="BB579" s="3291"/>
      <c r="BC579" s="3276"/>
      <c r="BD579" s="3292"/>
      <c r="BE579" s="3276">
        <v>13910410433</v>
      </c>
      <c r="BF579" s="3281"/>
      <c r="BG579" s="3299">
        <v>38868</v>
      </c>
      <c r="BH579" s="3276"/>
      <c r="BI579" s="3267" t="s">
        <v>3396</v>
      </c>
      <c r="BJ579" s="3299">
        <v>38875</v>
      </c>
      <c r="BK579" s="3283"/>
      <c r="BL579" s="3267" t="s">
        <v>2998</v>
      </c>
      <c r="BM579" s="3276" t="s">
        <v>2879</v>
      </c>
      <c r="BN579" s="3267" t="s">
        <v>3111</v>
      </c>
      <c r="BO579" s="3267" t="s">
        <v>3000</v>
      </c>
      <c r="BP579" s="3276"/>
      <c r="BQ579" s="3276">
        <v>7009</v>
      </c>
      <c r="BR579" s="3276">
        <v>6642</v>
      </c>
      <c r="BS579" s="3285"/>
      <c r="BT579" s="3285"/>
      <c r="BU579" s="3285"/>
    </row>
    <row r="580" spans="1:73">
      <c r="A580" s="3267" t="s">
        <v>7121</v>
      </c>
      <c r="B580" s="3268" t="s">
        <v>7122</v>
      </c>
      <c r="C580" s="3269" t="s">
        <v>7123</v>
      </c>
      <c r="D580" s="3268" t="s">
        <v>7124</v>
      </c>
      <c r="E580" s="3267" t="s">
        <v>2985</v>
      </c>
      <c r="F580" s="3268" t="s">
        <v>7125</v>
      </c>
      <c r="G580" s="3268"/>
      <c r="H580" s="3268" t="s">
        <v>3139</v>
      </c>
      <c r="I580" s="3268" t="s">
        <v>3586</v>
      </c>
      <c r="J580" s="3280" t="s">
        <v>3126</v>
      </c>
      <c r="K580" s="3268" t="s">
        <v>7126</v>
      </c>
      <c r="L580" s="3270">
        <v>68.06</v>
      </c>
      <c r="M580" s="3282">
        <v>6</v>
      </c>
      <c r="N580" s="3268" t="s">
        <v>3122</v>
      </c>
      <c r="O580" s="3270"/>
      <c r="P580" s="3267" t="s">
        <v>2963</v>
      </c>
      <c r="Q580" s="3271">
        <v>463000</v>
      </c>
      <c r="R580" s="3267">
        <v>6803</v>
      </c>
      <c r="S580" s="3272">
        <v>38.909999999999997</v>
      </c>
      <c r="T580" s="3273">
        <v>389100</v>
      </c>
      <c r="U580" s="3267">
        <v>5718</v>
      </c>
      <c r="V580" s="3274">
        <v>0.2</v>
      </c>
      <c r="W580" s="3272">
        <v>31.12</v>
      </c>
      <c r="X580" s="3275">
        <v>311200</v>
      </c>
      <c r="Y580" s="3276">
        <v>2006</v>
      </c>
      <c r="Z580" s="3276">
        <v>6</v>
      </c>
      <c r="AA580" s="3276">
        <v>27</v>
      </c>
      <c r="AB580" s="3267">
        <v>1165</v>
      </c>
      <c r="AC580" s="3267" t="s">
        <v>2980</v>
      </c>
      <c r="AD580" s="3268"/>
      <c r="AE580" s="3267" t="s">
        <v>3304</v>
      </c>
      <c r="AF580" s="3268" t="s">
        <v>2966</v>
      </c>
      <c r="AG580" s="3268" t="s">
        <v>2967</v>
      </c>
      <c r="AH580" s="3268"/>
      <c r="AI580" s="3279" t="s">
        <v>2992</v>
      </c>
      <c r="AJ580" s="3290"/>
      <c r="AK580" s="3278" t="s">
        <v>3160</v>
      </c>
      <c r="AL580" s="3276">
        <v>67641700</v>
      </c>
      <c r="AM580" s="3276"/>
      <c r="AN580" s="3276" t="s">
        <v>3099</v>
      </c>
      <c r="AO580" s="3276"/>
      <c r="AP580" s="3279" t="s">
        <v>3305</v>
      </c>
      <c r="AQ580" s="3267" t="s">
        <v>3228</v>
      </c>
      <c r="AR580" s="3267"/>
      <c r="AS580" s="3267"/>
      <c r="AT580" s="3267"/>
      <c r="AU580" s="3267"/>
      <c r="AV580" s="3277"/>
      <c r="AW580" s="3306" t="s">
        <v>2997</v>
      </c>
      <c r="AX580" s="3268"/>
      <c r="AY580" s="3268" t="s">
        <v>7127</v>
      </c>
      <c r="AZ580" s="3268" t="s">
        <v>7126</v>
      </c>
      <c r="BA580" s="3268"/>
      <c r="BB580" s="3280"/>
      <c r="BC580" s="3268"/>
      <c r="BD580" s="3268"/>
      <c r="BE580" s="3268" t="s">
        <v>7128</v>
      </c>
      <c r="BF580" s="3281"/>
      <c r="BG580" s="3307">
        <v>38859</v>
      </c>
      <c r="BH580" s="3368" t="s">
        <v>2998</v>
      </c>
      <c r="BI580" s="3276" t="s">
        <v>4230</v>
      </c>
      <c r="BJ580" s="3299">
        <v>38875</v>
      </c>
      <c r="BK580" s="3284"/>
      <c r="BL580" s="3267" t="s">
        <v>3249</v>
      </c>
      <c r="BM580" s="3267" t="s">
        <v>2879</v>
      </c>
      <c r="BN580" s="3276" t="s">
        <v>2999</v>
      </c>
      <c r="BO580" s="3267" t="s">
        <v>3146</v>
      </c>
      <c r="BP580" s="3276"/>
      <c r="BQ580" s="3276" t="e">
        <v>#DIV/0!</v>
      </c>
      <c r="BR580" s="3276" t="e">
        <v>#DIV/0!</v>
      </c>
      <c r="BS580" s="3285"/>
      <c r="BT580" s="3285"/>
      <c r="BU580" s="3285"/>
    </row>
    <row r="581" spans="1:73" hidden="1">
      <c r="A581" s="3267" t="s">
        <v>7129</v>
      </c>
      <c r="B581" s="3267" t="s">
        <v>7130</v>
      </c>
      <c r="C581" s="3269" t="s">
        <v>7131</v>
      </c>
      <c r="D581" s="3269">
        <v>13683695518</v>
      </c>
      <c r="E581" s="3268" t="s">
        <v>2985</v>
      </c>
      <c r="F581" s="3268" t="s">
        <v>4068</v>
      </c>
      <c r="G581" s="3267"/>
      <c r="H581" s="3267" t="s">
        <v>7132</v>
      </c>
      <c r="I581" s="3268" t="s">
        <v>3586</v>
      </c>
      <c r="J581" s="3267" t="s">
        <v>3189</v>
      </c>
      <c r="K581" s="3267" t="s">
        <v>7130</v>
      </c>
      <c r="L581" s="3267">
        <v>58.45</v>
      </c>
      <c r="M581" s="3267">
        <v>1</v>
      </c>
      <c r="N581" s="3267" t="s">
        <v>3122</v>
      </c>
      <c r="O581" s="3267"/>
      <c r="P581" s="3267" t="s">
        <v>2963</v>
      </c>
      <c r="Q581" s="3271">
        <v>460000</v>
      </c>
      <c r="R581" s="3267">
        <v>7870</v>
      </c>
      <c r="S581" s="3272">
        <v>37.950000000000003</v>
      </c>
      <c r="T581" s="3273">
        <v>379500</v>
      </c>
      <c r="U581" s="3267">
        <v>6493</v>
      </c>
      <c r="V581" s="3289">
        <v>0.2</v>
      </c>
      <c r="W581" s="3272">
        <v>30.36</v>
      </c>
      <c r="X581" s="3275">
        <v>303600</v>
      </c>
      <c r="Y581" s="3276">
        <v>2006</v>
      </c>
      <c r="Z581" s="3276">
        <v>6</v>
      </c>
      <c r="AA581" s="3276">
        <v>30</v>
      </c>
      <c r="AB581" s="3267">
        <v>1135</v>
      </c>
      <c r="AC581" s="3267" t="s">
        <v>2980</v>
      </c>
      <c r="AD581" s="3267"/>
      <c r="AE581" s="3279" t="s">
        <v>3069</v>
      </c>
      <c r="AF581" s="3268" t="s">
        <v>2966</v>
      </c>
      <c r="AG581" s="3279" t="s">
        <v>2967</v>
      </c>
      <c r="AH581" s="3267"/>
      <c r="AI581" s="3279" t="s">
        <v>2992</v>
      </c>
      <c r="AJ581" s="3284"/>
      <c r="AK581" s="3278">
        <v>6</v>
      </c>
      <c r="AL581" s="3276"/>
      <c r="AM581" s="3276"/>
      <c r="AN581" s="3279" t="s">
        <v>3099</v>
      </c>
      <c r="AO581" s="3267"/>
      <c r="AP581" s="3279" t="s">
        <v>3305</v>
      </c>
      <c r="AQ581" s="3267" t="s">
        <v>3228</v>
      </c>
      <c r="AR581" s="3276"/>
      <c r="AS581" s="3276"/>
      <c r="AT581" s="3276"/>
      <c r="AU581" s="3276"/>
      <c r="AV581" s="3276"/>
      <c r="AW581" s="3276" t="s">
        <v>3171</v>
      </c>
      <c r="AX581" s="3276"/>
      <c r="AY581" s="3291"/>
      <c r="AZ581" s="3267" t="s">
        <v>7133</v>
      </c>
      <c r="BA581" s="3296"/>
      <c r="BB581" s="3297"/>
      <c r="BC581" s="3296"/>
      <c r="BD581" s="3298"/>
      <c r="BE581" s="3276"/>
      <c r="BF581" s="3281"/>
      <c r="BG581" s="3293">
        <v>38875</v>
      </c>
      <c r="BH581" s="3267" t="s">
        <v>2998</v>
      </c>
      <c r="BI581" s="3314" t="s">
        <v>3305</v>
      </c>
      <c r="BJ581" s="3283">
        <v>38875</v>
      </c>
      <c r="BK581" s="3283"/>
      <c r="BL581" s="3267" t="s">
        <v>3249</v>
      </c>
      <c r="BM581" s="3276" t="s">
        <v>2879</v>
      </c>
      <c r="BN581" s="3276" t="s">
        <v>3111</v>
      </c>
      <c r="BO581" s="3276" t="s">
        <v>3146</v>
      </c>
      <c r="BP581" s="3276"/>
      <c r="BQ581" s="3276" t="e">
        <v>#DIV/0!</v>
      </c>
      <c r="BR581" s="3276" t="e">
        <v>#DIV/0!</v>
      </c>
      <c r="BS581" s="3285"/>
      <c r="BT581" s="3285"/>
      <c r="BU581" s="3285"/>
    </row>
    <row r="582" spans="1:73" hidden="1">
      <c r="A582" s="3267" t="s">
        <v>7134</v>
      </c>
      <c r="B582" s="3267" t="s">
        <v>7135</v>
      </c>
      <c r="C582" s="3269" t="s">
        <v>7136</v>
      </c>
      <c r="D582" s="3269" t="s">
        <v>7137</v>
      </c>
      <c r="E582" s="3268" t="s">
        <v>2985</v>
      </c>
      <c r="F582" s="3268" t="s">
        <v>4400</v>
      </c>
      <c r="G582" s="3267"/>
      <c r="H582" s="3267" t="s">
        <v>3127</v>
      </c>
      <c r="I582" s="3268"/>
      <c r="J582" s="3267" t="s">
        <v>7138</v>
      </c>
      <c r="K582" s="3267" t="s">
        <v>7139</v>
      </c>
      <c r="L582" s="3267">
        <v>51.75</v>
      </c>
      <c r="M582" s="3267">
        <v>6</v>
      </c>
      <c r="N582" s="3267" t="s">
        <v>3152</v>
      </c>
      <c r="O582" s="3267"/>
      <c r="P582" s="3267" t="s">
        <v>2963</v>
      </c>
      <c r="Q582" s="3271">
        <v>270000</v>
      </c>
      <c r="R582" s="3267">
        <v>5217</v>
      </c>
      <c r="S582" s="3272">
        <v>29.04</v>
      </c>
      <c r="T582" s="3273">
        <v>290400</v>
      </c>
      <c r="U582" s="3267">
        <v>5613</v>
      </c>
      <c r="V582" s="3289">
        <v>0.2</v>
      </c>
      <c r="W582" s="3272">
        <v>23.23</v>
      </c>
      <c r="X582" s="3273">
        <v>232300</v>
      </c>
      <c r="Y582" s="3276">
        <v>2006</v>
      </c>
      <c r="Z582" s="3276">
        <v>6</v>
      </c>
      <c r="AA582" s="3276">
        <v>28</v>
      </c>
      <c r="AB582" s="3267">
        <v>870</v>
      </c>
      <c r="AC582" s="3267" t="s">
        <v>2980</v>
      </c>
      <c r="AD582" s="3267"/>
      <c r="AE582" s="3279" t="s">
        <v>2991</v>
      </c>
      <c r="AF582" s="3268" t="s">
        <v>2966</v>
      </c>
      <c r="AG582" s="3279" t="s">
        <v>2967</v>
      </c>
      <c r="AH582" s="3267"/>
      <c r="AI582" s="3267" t="s">
        <v>3295</v>
      </c>
      <c r="AJ582" s="3284"/>
      <c r="AK582" s="3278">
        <v>6</v>
      </c>
      <c r="AL582" s="3276">
        <v>67641700</v>
      </c>
      <c r="AM582" s="3276"/>
      <c r="AN582" s="3279" t="s">
        <v>3099</v>
      </c>
      <c r="AO582" s="3267"/>
      <c r="AP582" s="3276" t="s">
        <v>2991</v>
      </c>
      <c r="AQ582" s="3267" t="s">
        <v>3228</v>
      </c>
      <c r="AR582" s="3276"/>
      <c r="AS582" s="3276"/>
      <c r="AT582" s="3276"/>
      <c r="AU582" s="3276"/>
      <c r="AV582" s="3276"/>
      <c r="AW582" s="3276" t="s">
        <v>2997</v>
      </c>
      <c r="AX582" s="3276"/>
      <c r="AY582" s="3291"/>
      <c r="AZ582" s="3267" t="s">
        <v>7139</v>
      </c>
      <c r="BA582" s="3296"/>
      <c r="BB582" s="3297"/>
      <c r="BC582" s="3296"/>
      <c r="BD582" s="3298"/>
      <c r="BE582" s="3276"/>
      <c r="BF582" s="3281"/>
      <c r="BG582" s="3293">
        <v>38840</v>
      </c>
      <c r="BH582" s="3267" t="s">
        <v>2998</v>
      </c>
      <c r="BI582" s="3276" t="s">
        <v>4230</v>
      </c>
      <c r="BJ582" s="3299">
        <v>38876</v>
      </c>
      <c r="BK582" s="3283"/>
      <c r="BL582" s="3267" t="s">
        <v>3249</v>
      </c>
      <c r="BM582" s="3276" t="s">
        <v>2879</v>
      </c>
      <c r="BN582" s="3276" t="s">
        <v>2999</v>
      </c>
      <c r="BO582" s="3276" t="s">
        <v>3146</v>
      </c>
      <c r="BP582" s="3276"/>
      <c r="BQ582" s="3276" t="e">
        <v>#DIV/0!</v>
      </c>
      <c r="BR582" s="3276" t="e">
        <v>#DIV/0!</v>
      </c>
      <c r="BS582" s="3285"/>
      <c r="BT582" s="3285"/>
      <c r="BU582" s="3285"/>
    </row>
    <row r="583" spans="1:73" hidden="1">
      <c r="A583" s="3267" t="s">
        <v>7140</v>
      </c>
      <c r="B583" s="3267" t="s">
        <v>7141</v>
      </c>
      <c r="C583" s="3269" t="s">
        <v>7142</v>
      </c>
      <c r="D583" s="3269">
        <v>13683201739</v>
      </c>
      <c r="E583" s="3268" t="s">
        <v>2985</v>
      </c>
      <c r="F583" s="3268" t="s">
        <v>3563</v>
      </c>
      <c r="G583" s="3267"/>
      <c r="H583" s="3268" t="s">
        <v>7143</v>
      </c>
      <c r="I583" s="3268" t="s">
        <v>7144</v>
      </c>
      <c r="J583" s="3267" t="s">
        <v>3437</v>
      </c>
      <c r="K583" s="3267" t="s">
        <v>7145</v>
      </c>
      <c r="L583" s="3267">
        <v>133.44</v>
      </c>
      <c r="M583" s="3267">
        <v>4</v>
      </c>
      <c r="N583" s="3267" t="s">
        <v>3303</v>
      </c>
      <c r="O583" s="3267">
        <v>112.07</v>
      </c>
      <c r="P583" s="3267" t="s">
        <v>2963</v>
      </c>
      <c r="Q583" s="3271">
        <v>820000</v>
      </c>
      <c r="R583" s="3267">
        <v>6145</v>
      </c>
      <c r="S583" s="3272">
        <v>76.06</v>
      </c>
      <c r="T583" s="3273">
        <v>760600</v>
      </c>
      <c r="U583" s="3267">
        <v>5700</v>
      </c>
      <c r="V583" s="3289">
        <v>0.2</v>
      </c>
      <c r="W583" s="3272">
        <v>60.84</v>
      </c>
      <c r="X583" s="3275">
        <v>608400</v>
      </c>
      <c r="Y583" s="3276">
        <v>2006</v>
      </c>
      <c r="Z583" s="3276">
        <v>6</v>
      </c>
      <c r="AA583" s="3276">
        <v>15</v>
      </c>
      <c r="AB583" s="3267">
        <v>1500</v>
      </c>
      <c r="AC583" s="3267" t="s">
        <v>2980</v>
      </c>
      <c r="AD583" s="3267"/>
      <c r="AE583" s="3279" t="s">
        <v>3245</v>
      </c>
      <c r="AF583" s="3268" t="s">
        <v>2966</v>
      </c>
      <c r="AG583" s="3279" t="s">
        <v>2967</v>
      </c>
      <c r="AH583" s="3267"/>
      <c r="AI583" s="3279" t="s">
        <v>2992</v>
      </c>
      <c r="AJ583" s="3284"/>
      <c r="AK583" s="3278">
        <v>6</v>
      </c>
      <c r="AL583" s="3276">
        <v>67641700</v>
      </c>
      <c r="AM583" s="3276"/>
      <c r="AN583" s="3279" t="s">
        <v>3114</v>
      </c>
      <c r="AO583" s="3267" t="s">
        <v>2968</v>
      </c>
      <c r="AP583" s="3279" t="s">
        <v>3305</v>
      </c>
      <c r="AQ583" s="3276" t="s">
        <v>3113</v>
      </c>
      <c r="AR583" s="3276"/>
      <c r="AS583" s="3276"/>
      <c r="AT583" s="3276"/>
      <c r="AU583" s="3276"/>
      <c r="AV583" s="3276"/>
      <c r="AW583" s="3276" t="s">
        <v>2997</v>
      </c>
      <c r="AX583" s="3276"/>
      <c r="AY583" s="3291"/>
      <c r="AZ583" s="3267" t="s">
        <v>7145</v>
      </c>
      <c r="BA583" s="3296"/>
      <c r="BB583" s="3297"/>
      <c r="BC583" s="3296"/>
      <c r="BD583" s="3298"/>
      <c r="BE583" s="3276">
        <v>13051064712</v>
      </c>
      <c r="BF583" s="3281"/>
      <c r="BG583" s="3293">
        <v>38875</v>
      </c>
      <c r="BH583" s="3267" t="s">
        <v>2998</v>
      </c>
      <c r="BI583" s="3314" t="s">
        <v>3305</v>
      </c>
      <c r="BJ583" s="3283">
        <v>38877</v>
      </c>
      <c r="BK583" s="3283"/>
      <c r="BL583" s="3267" t="s">
        <v>3249</v>
      </c>
      <c r="BM583" s="3276" t="s">
        <v>2879</v>
      </c>
      <c r="BN583" s="3276" t="s">
        <v>3111</v>
      </c>
      <c r="BO583" s="3276" t="s">
        <v>3146</v>
      </c>
      <c r="BP583" s="3276"/>
      <c r="BQ583" s="3276">
        <v>6787</v>
      </c>
      <c r="BR583" s="3276">
        <v>7317</v>
      </c>
      <c r="BS583" s="3285"/>
      <c r="BT583" s="3285"/>
      <c r="BU583" s="3285"/>
    </row>
    <row r="584" spans="1:73" hidden="1">
      <c r="A584" s="3267" t="s">
        <v>7146</v>
      </c>
      <c r="B584" s="3267" t="s">
        <v>7147</v>
      </c>
      <c r="C584" s="3269" t="s">
        <v>7148</v>
      </c>
      <c r="D584" s="3268">
        <v>13521121717</v>
      </c>
      <c r="E584" s="3267" t="s">
        <v>2985</v>
      </c>
      <c r="F584" s="3267" t="s">
        <v>6887</v>
      </c>
      <c r="G584" s="3267"/>
      <c r="H584" s="3267" t="s">
        <v>7149</v>
      </c>
      <c r="I584" s="3267" t="s">
        <v>3254</v>
      </c>
      <c r="J584" s="3267">
        <v>401</v>
      </c>
      <c r="K584" s="3267" t="s">
        <v>7150</v>
      </c>
      <c r="L584" s="3267">
        <v>53.05</v>
      </c>
      <c r="M584" s="3269">
        <v>4</v>
      </c>
      <c r="N584" s="3267" t="s">
        <v>3152</v>
      </c>
      <c r="O584" s="3267"/>
      <c r="P584" s="3267" t="s">
        <v>2963</v>
      </c>
      <c r="Q584" s="3271">
        <v>390000</v>
      </c>
      <c r="R584" s="3271">
        <v>7352</v>
      </c>
      <c r="S584" s="3272">
        <v>33.36</v>
      </c>
      <c r="T584" s="3273">
        <v>333600</v>
      </c>
      <c r="U584" s="3267">
        <v>6290</v>
      </c>
      <c r="V584" s="3289">
        <v>0.2</v>
      </c>
      <c r="W584" s="3272">
        <v>26.68</v>
      </c>
      <c r="X584" s="3273">
        <v>266800</v>
      </c>
      <c r="Y584" s="3276">
        <v>2006</v>
      </c>
      <c r="Z584" s="3276">
        <v>6</v>
      </c>
      <c r="AA584" s="3267">
        <v>28</v>
      </c>
      <c r="AB584" s="3276">
        <v>1000</v>
      </c>
      <c r="AC584" s="3267" t="s">
        <v>2980</v>
      </c>
      <c r="AD584" s="3267"/>
      <c r="AE584" s="3267" t="s">
        <v>4532</v>
      </c>
      <c r="AF584" s="3267" t="s">
        <v>2966</v>
      </c>
      <c r="AG584" s="3279" t="s">
        <v>2967</v>
      </c>
      <c r="AH584" s="3267"/>
      <c r="AI584" s="3267" t="s">
        <v>2992</v>
      </c>
      <c r="AJ584" s="3284"/>
      <c r="AK584" s="3278" t="s">
        <v>3160</v>
      </c>
      <c r="AL584" s="3276">
        <v>67641700</v>
      </c>
      <c r="AM584" s="3267"/>
      <c r="AN584" s="3279" t="s">
        <v>3099</v>
      </c>
      <c r="AO584" s="3267"/>
      <c r="AP584" s="3267" t="s">
        <v>3305</v>
      </c>
      <c r="AQ584" s="3267" t="s">
        <v>3228</v>
      </c>
      <c r="AR584" s="3267"/>
      <c r="AS584" s="3267"/>
      <c r="AT584" s="3267"/>
      <c r="AU584" s="3267"/>
      <c r="AV584" s="3267" t="s">
        <v>2968</v>
      </c>
      <c r="AW584" s="3267" t="s">
        <v>2997</v>
      </c>
      <c r="AX584" s="3267"/>
      <c r="AY584" s="3269"/>
      <c r="AZ584" s="3267" t="s">
        <v>7150</v>
      </c>
      <c r="BA584" s="3267"/>
      <c r="BB584" s="3269"/>
      <c r="BC584" s="3267"/>
      <c r="BD584" s="3304"/>
      <c r="BE584" s="3267"/>
      <c r="BF584" s="3305"/>
      <c r="BG584" s="3284">
        <v>38874</v>
      </c>
      <c r="BH584" s="3267" t="s">
        <v>2998</v>
      </c>
      <c r="BI584" s="3267" t="s">
        <v>4230</v>
      </c>
      <c r="BJ584" s="3284">
        <v>38881</v>
      </c>
      <c r="BK584" s="3303"/>
      <c r="BL584" s="3267" t="s">
        <v>3249</v>
      </c>
      <c r="BM584" s="3276" t="s">
        <v>2879</v>
      </c>
      <c r="BN584" s="3276" t="s">
        <v>2999</v>
      </c>
      <c r="BO584" s="3267" t="s">
        <v>7151</v>
      </c>
      <c r="BP584" s="3276"/>
      <c r="BQ584" s="3276" t="e">
        <v>#DIV/0!</v>
      </c>
      <c r="BR584" s="3276" t="e">
        <v>#DIV/0!</v>
      </c>
      <c r="BS584" s="3285"/>
      <c r="BT584" s="3285"/>
      <c r="BU584" s="3285"/>
    </row>
    <row r="585" spans="1:73" hidden="1">
      <c r="A585" s="3267" t="s">
        <v>7152</v>
      </c>
      <c r="B585" s="3267" t="s">
        <v>7153</v>
      </c>
      <c r="C585" s="3269" t="s">
        <v>7154</v>
      </c>
      <c r="D585" s="3268">
        <v>13681100520</v>
      </c>
      <c r="E585" s="3267" t="s">
        <v>2985</v>
      </c>
      <c r="F585" s="3267" t="s">
        <v>7089</v>
      </c>
      <c r="G585" s="3267"/>
      <c r="H585" s="3270" t="s">
        <v>3150</v>
      </c>
      <c r="I585" s="3268" t="s">
        <v>3608</v>
      </c>
      <c r="J585" s="3270" t="s">
        <v>5829</v>
      </c>
      <c r="K585" s="3267" t="s">
        <v>7153</v>
      </c>
      <c r="L585" s="3286">
        <v>53.78</v>
      </c>
      <c r="M585" s="3270">
        <v>6</v>
      </c>
      <c r="N585" s="3267" t="s">
        <v>3122</v>
      </c>
      <c r="O585" s="3267"/>
      <c r="P585" s="3267" t="s">
        <v>2963</v>
      </c>
      <c r="Q585" s="3287">
        <v>350000</v>
      </c>
      <c r="R585" s="3288">
        <v>6508</v>
      </c>
      <c r="S585" s="3272">
        <v>33.130000000000003</v>
      </c>
      <c r="T585" s="3273">
        <v>331300</v>
      </c>
      <c r="U585" s="3287">
        <v>6162</v>
      </c>
      <c r="V585" s="3274">
        <v>0.2</v>
      </c>
      <c r="W585" s="3272">
        <v>26.5</v>
      </c>
      <c r="X585" s="3273">
        <v>265000</v>
      </c>
      <c r="Y585" s="3267">
        <v>2006</v>
      </c>
      <c r="Z585" s="3276">
        <v>7</v>
      </c>
      <c r="AA585" s="3276">
        <v>13</v>
      </c>
      <c r="AB585" s="3267">
        <v>990</v>
      </c>
      <c r="AC585" s="3267" t="s">
        <v>2980</v>
      </c>
      <c r="AD585" s="3267"/>
      <c r="AE585" s="3267" t="s">
        <v>3180</v>
      </c>
      <c r="AF585" s="3267" t="s">
        <v>2966</v>
      </c>
      <c r="AG585" s="3267" t="s">
        <v>2967</v>
      </c>
      <c r="AH585" s="3268"/>
      <c r="AI585" s="3279" t="s">
        <v>2992</v>
      </c>
      <c r="AJ585" s="3290"/>
      <c r="AK585" s="3278">
        <v>7</v>
      </c>
      <c r="AL585" s="3276">
        <v>30</v>
      </c>
      <c r="AM585" s="3267" t="s">
        <v>7155</v>
      </c>
      <c r="AN585" s="3279" t="s">
        <v>3140</v>
      </c>
      <c r="AO585" s="3267"/>
      <c r="AP585" s="3279" t="s">
        <v>3305</v>
      </c>
      <c r="AQ585" s="3267" t="s">
        <v>3228</v>
      </c>
      <c r="AR585" s="3276"/>
      <c r="AS585" s="3276"/>
      <c r="AT585" s="3276"/>
      <c r="AU585" s="3267"/>
      <c r="AV585" s="3267"/>
      <c r="AW585" s="3267" t="s">
        <v>2997</v>
      </c>
      <c r="AX585" s="3267"/>
      <c r="AY585" s="3279"/>
      <c r="AZ585" s="3267" t="s">
        <v>6668</v>
      </c>
      <c r="BA585" s="3267"/>
      <c r="BB585" s="3267"/>
      <c r="BC585" s="3267"/>
      <c r="BD585" s="3267"/>
      <c r="BE585" s="3267"/>
      <c r="BF585" s="3267"/>
      <c r="BG585" s="3293">
        <v>38874</v>
      </c>
      <c r="BH585" s="3267" t="s">
        <v>2998</v>
      </c>
      <c r="BI585" s="3314" t="s">
        <v>3305</v>
      </c>
      <c r="BJ585" s="3284">
        <v>38877</v>
      </c>
      <c r="BK585" s="3284"/>
      <c r="BL585" s="3267" t="s">
        <v>3249</v>
      </c>
      <c r="BM585" s="3267" t="s">
        <v>2879</v>
      </c>
      <c r="BN585" s="3267" t="s">
        <v>3111</v>
      </c>
      <c r="BO585" s="3267" t="s">
        <v>3146</v>
      </c>
      <c r="BP585" s="3267"/>
      <c r="BQ585" s="3276" t="e">
        <v>#DIV/0!</v>
      </c>
      <c r="BR585" s="3276" t="e">
        <v>#DIV/0!</v>
      </c>
      <c r="BS585" s="3285"/>
      <c r="BT585" s="3285"/>
      <c r="BU585" s="3285"/>
    </row>
    <row r="586" spans="1:73" hidden="1">
      <c r="A586" s="3267" t="s">
        <v>7156</v>
      </c>
      <c r="B586" s="3267" t="s">
        <v>7157</v>
      </c>
      <c r="C586" s="3269" t="s">
        <v>7158</v>
      </c>
      <c r="D586" s="3269">
        <v>13601268221</v>
      </c>
      <c r="E586" s="3268" t="s">
        <v>2985</v>
      </c>
      <c r="F586" s="3268" t="s">
        <v>7159</v>
      </c>
      <c r="G586" s="3267"/>
      <c r="H586" s="3267" t="s">
        <v>3097</v>
      </c>
      <c r="I586" s="3268"/>
      <c r="J586" s="3267" t="s">
        <v>7160</v>
      </c>
      <c r="K586" s="3267" t="s">
        <v>7157</v>
      </c>
      <c r="L586" s="3267">
        <v>137.04</v>
      </c>
      <c r="M586" s="3270">
        <v>20</v>
      </c>
      <c r="N586" s="3267" t="s">
        <v>3303</v>
      </c>
      <c r="O586" s="3267">
        <v>112.9</v>
      </c>
      <c r="P586" s="3267" t="s">
        <v>2963</v>
      </c>
      <c r="Q586" s="3271">
        <v>582420</v>
      </c>
      <c r="R586" s="3288">
        <v>4250</v>
      </c>
      <c r="S586" s="3272">
        <v>58.24</v>
      </c>
      <c r="T586" s="3273">
        <v>582400</v>
      </c>
      <c r="U586" s="3267">
        <v>4250</v>
      </c>
      <c r="V586" s="3274">
        <v>0.2</v>
      </c>
      <c r="W586" s="3272">
        <v>46.59</v>
      </c>
      <c r="X586" s="3273">
        <v>465900</v>
      </c>
      <c r="Y586" s="3267">
        <v>2006</v>
      </c>
      <c r="Z586" s="3276">
        <v>7</v>
      </c>
      <c r="AA586" s="3276">
        <v>14</v>
      </c>
      <c r="AB586" s="3267">
        <v>1500</v>
      </c>
      <c r="AC586" s="3267" t="s">
        <v>2980</v>
      </c>
      <c r="AD586" s="3269"/>
      <c r="AE586" s="3279" t="s">
        <v>2992</v>
      </c>
      <c r="AF586" s="3268" t="s">
        <v>2966</v>
      </c>
      <c r="AG586" s="3279" t="s">
        <v>5571</v>
      </c>
      <c r="AH586" s="3267"/>
      <c r="AI586" s="3279" t="s">
        <v>2992</v>
      </c>
      <c r="AJ586" s="3284"/>
      <c r="AK586" s="3278">
        <v>7</v>
      </c>
      <c r="AL586" s="3276">
        <v>56</v>
      </c>
      <c r="AM586" s="3267" t="s">
        <v>7161</v>
      </c>
      <c r="AN586" s="3279" t="s">
        <v>3140</v>
      </c>
      <c r="AO586" s="3267" t="s">
        <v>2968</v>
      </c>
      <c r="AP586" s="3279" t="s">
        <v>3305</v>
      </c>
      <c r="AQ586" s="3267" t="s">
        <v>3228</v>
      </c>
      <c r="AR586" s="3276"/>
      <c r="AS586" s="3276"/>
      <c r="AT586" s="3276"/>
      <c r="AU586" s="3276"/>
      <c r="AV586" s="3276"/>
      <c r="AW586" s="3276" t="s">
        <v>3171</v>
      </c>
      <c r="AX586" s="3276"/>
      <c r="AY586" s="3291"/>
      <c r="AZ586" s="3267" t="s">
        <v>7162</v>
      </c>
      <c r="BA586" s="3296"/>
      <c r="BB586" s="3297"/>
      <c r="BC586" s="3296"/>
      <c r="BD586" s="3298"/>
      <c r="BE586" s="3276"/>
      <c r="BF586" s="3281"/>
      <c r="BG586" s="3293">
        <v>38864</v>
      </c>
      <c r="BH586" s="3267" t="s">
        <v>2998</v>
      </c>
      <c r="BI586" s="3314" t="s">
        <v>3305</v>
      </c>
      <c r="BJ586" s="3283">
        <v>38880</v>
      </c>
      <c r="BK586" s="3283"/>
      <c r="BL586" s="3267" t="s">
        <v>3249</v>
      </c>
      <c r="BM586" s="3276" t="s">
        <v>2879</v>
      </c>
      <c r="BN586" s="3276" t="s">
        <v>3111</v>
      </c>
      <c r="BO586" s="3276" t="s">
        <v>3000</v>
      </c>
      <c r="BP586" s="3276"/>
      <c r="BQ586" s="3276">
        <v>5159</v>
      </c>
      <c r="BR586" s="3276">
        <v>5159</v>
      </c>
      <c r="BS586" s="3285"/>
      <c r="BT586" s="3285"/>
      <c r="BU586" s="3285"/>
    </row>
    <row r="587" spans="1:73" hidden="1">
      <c r="A587" s="3268" t="s">
        <v>7163</v>
      </c>
      <c r="B587" s="3267" t="s">
        <v>3383</v>
      </c>
      <c r="C587" s="3269" t="s">
        <v>3384</v>
      </c>
      <c r="D587" s="3267">
        <v>13426370847</v>
      </c>
      <c r="E587" s="3267" t="s">
        <v>2985</v>
      </c>
      <c r="F587" s="3267" t="s">
        <v>4386</v>
      </c>
      <c r="G587" s="3267"/>
      <c r="H587" s="3267">
        <v>12</v>
      </c>
      <c r="I587" s="3267"/>
      <c r="J587" s="3267" t="s">
        <v>7164</v>
      </c>
      <c r="K587" s="3267" t="s">
        <v>7165</v>
      </c>
      <c r="L587" s="3267">
        <v>112.32</v>
      </c>
      <c r="M587" s="3269" t="s">
        <v>3588</v>
      </c>
      <c r="N587" s="3267" t="s">
        <v>3125</v>
      </c>
      <c r="O587" s="3267"/>
      <c r="P587" s="3267" t="s">
        <v>3495</v>
      </c>
      <c r="Q587" s="3267">
        <v>720000</v>
      </c>
      <c r="R587" s="3288">
        <v>6410</v>
      </c>
      <c r="S587" s="3272">
        <v>60.91</v>
      </c>
      <c r="T587" s="3273">
        <v>609100</v>
      </c>
      <c r="U587" s="3267">
        <v>5423</v>
      </c>
      <c r="V587" s="3289">
        <v>0.2</v>
      </c>
      <c r="W587" s="3272">
        <v>48.72</v>
      </c>
      <c r="X587" s="3273">
        <v>487200</v>
      </c>
      <c r="Y587" s="3267">
        <v>2006</v>
      </c>
      <c r="Z587" s="3276">
        <v>7</v>
      </c>
      <c r="AA587" s="3276">
        <v>13</v>
      </c>
      <c r="AB587" s="3267">
        <v>1500</v>
      </c>
      <c r="AC587" s="3267" t="s">
        <v>2980</v>
      </c>
      <c r="AD587" s="3267"/>
      <c r="AE587" s="3267" t="s">
        <v>3304</v>
      </c>
      <c r="AF587" s="3267" t="s">
        <v>2966</v>
      </c>
      <c r="AG587" s="3267" t="s">
        <v>2967</v>
      </c>
      <c r="AH587" s="3267"/>
      <c r="AI587" s="3267" t="s">
        <v>3295</v>
      </c>
      <c r="AJ587" s="3267"/>
      <c r="AK587" s="3278">
        <v>7</v>
      </c>
      <c r="AL587" s="3267">
        <v>41</v>
      </c>
      <c r="AM587" s="3267"/>
      <c r="AN587" s="3267" t="s">
        <v>3140</v>
      </c>
      <c r="AO587" s="3267"/>
      <c r="AP587" s="3279" t="s">
        <v>3537</v>
      </c>
      <c r="AQ587" s="3267" t="s">
        <v>3228</v>
      </c>
      <c r="AR587" s="3267"/>
      <c r="AS587" s="3267"/>
      <c r="AT587" s="3267"/>
      <c r="AU587" s="3267"/>
      <c r="AV587" s="3267"/>
      <c r="AW587" s="3267" t="s">
        <v>3112</v>
      </c>
      <c r="AX587" s="3267"/>
      <c r="AY587" s="3267"/>
      <c r="AZ587" s="3267" t="s">
        <v>7165</v>
      </c>
      <c r="BA587" s="3267"/>
      <c r="BB587" s="3267"/>
      <c r="BC587" s="3267"/>
      <c r="BD587" s="3267"/>
      <c r="BE587" s="3267"/>
      <c r="BF587" s="3267"/>
      <c r="BG587" s="3284">
        <v>38880</v>
      </c>
      <c r="BH587" s="3267"/>
      <c r="BI587" s="3268" t="s">
        <v>3537</v>
      </c>
      <c r="BJ587" s="3284">
        <v>38880</v>
      </c>
      <c r="BK587" s="3267"/>
      <c r="BL587" s="3276" t="s">
        <v>2998</v>
      </c>
      <c r="BM587" s="3276" t="s">
        <v>2879</v>
      </c>
      <c r="BN587" s="3276" t="s">
        <v>2999</v>
      </c>
      <c r="BO587" s="3276" t="s">
        <v>3146</v>
      </c>
      <c r="BP587" s="3267"/>
      <c r="BQ587" s="3276" t="e">
        <v>#DIV/0!</v>
      </c>
      <c r="BR587" s="3276" t="e">
        <v>#DIV/0!</v>
      </c>
      <c r="BS587" s="3285"/>
      <c r="BT587" s="3285"/>
      <c r="BU587" s="3285"/>
    </row>
    <row r="588" spans="1:73" hidden="1">
      <c r="A588" s="3268" t="s">
        <v>7166</v>
      </c>
      <c r="B588" s="3267" t="s">
        <v>7167</v>
      </c>
      <c r="C588" s="3269" t="s">
        <v>7168</v>
      </c>
      <c r="D588" s="3267">
        <v>82985631</v>
      </c>
      <c r="E588" s="3267" t="s">
        <v>2985</v>
      </c>
      <c r="F588" s="3267" t="s">
        <v>3385</v>
      </c>
      <c r="G588" s="3267"/>
      <c r="H588" s="3267" t="s">
        <v>3194</v>
      </c>
      <c r="I588" s="3267"/>
      <c r="J588" s="3267">
        <v>311</v>
      </c>
      <c r="K588" s="3268" t="s">
        <v>7167</v>
      </c>
      <c r="L588" s="3267">
        <v>64.8</v>
      </c>
      <c r="M588" s="3267">
        <v>3</v>
      </c>
      <c r="N588" s="3267" t="s">
        <v>3152</v>
      </c>
      <c r="O588" s="3267"/>
      <c r="P588" s="3267" t="s">
        <v>2963</v>
      </c>
      <c r="Q588" s="3267">
        <v>510000</v>
      </c>
      <c r="R588" s="3267">
        <v>7870</v>
      </c>
      <c r="S588" s="3272">
        <v>47.63</v>
      </c>
      <c r="T588" s="3273">
        <v>476300</v>
      </c>
      <c r="U588" s="3267">
        <v>7351</v>
      </c>
      <c r="V588" s="3289">
        <v>0.2</v>
      </c>
      <c r="W588" s="3272">
        <v>38.1</v>
      </c>
      <c r="X588" s="3275">
        <v>381000</v>
      </c>
      <c r="Y588" s="3267">
        <v>2006</v>
      </c>
      <c r="Z588" s="3276">
        <v>7</v>
      </c>
      <c r="AA588" s="3276">
        <v>12</v>
      </c>
      <c r="AB588" s="3267">
        <v>1425</v>
      </c>
      <c r="AC588" s="3267" t="s">
        <v>2980</v>
      </c>
      <c r="AD588" s="3267"/>
      <c r="AE588" s="3267" t="s">
        <v>3176</v>
      </c>
      <c r="AF588" s="3267" t="s">
        <v>2966</v>
      </c>
      <c r="AG588" s="3267" t="s">
        <v>2967</v>
      </c>
      <c r="AH588" s="3267"/>
      <c r="AI588" s="3267" t="s">
        <v>3115</v>
      </c>
      <c r="AJ588" s="3284"/>
      <c r="AK588" s="3278">
        <v>7</v>
      </c>
      <c r="AL588" s="3267">
        <v>57</v>
      </c>
      <c r="AM588" s="3267"/>
      <c r="AN588" s="3267" t="s">
        <v>3140</v>
      </c>
      <c r="AO588" s="3267" t="s">
        <v>2968</v>
      </c>
      <c r="AP588" s="3279" t="s">
        <v>3537</v>
      </c>
      <c r="AQ588" s="3267" t="s">
        <v>3228</v>
      </c>
      <c r="AR588" s="3267"/>
      <c r="AS588" s="3267"/>
      <c r="AT588" s="3267"/>
      <c r="AU588" s="3267"/>
      <c r="AV588" s="3267"/>
      <c r="AW588" s="3267" t="s">
        <v>2997</v>
      </c>
      <c r="AX588" s="3267"/>
      <c r="AY588" s="3269"/>
      <c r="AZ588" s="3267" t="s">
        <v>7169</v>
      </c>
      <c r="BA588" s="3267"/>
      <c r="BB588" s="3267"/>
      <c r="BC588" s="3267"/>
      <c r="BD588" s="3267"/>
      <c r="BE588" s="3267"/>
      <c r="BF588" s="3267"/>
      <c r="BG588" s="3307">
        <v>38829</v>
      </c>
      <c r="BH588" s="3267"/>
      <c r="BI588" s="3268" t="s">
        <v>3537</v>
      </c>
      <c r="BJ588" s="3284">
        <v>38880</v>
      </c>
      <c r="BK588" s="3283"/>
      <c r="BL588" s="3267" t="s">
        <v>2998</v>
      </c>
      <c r="BM588" s="3267" t="s">
        <v>2879</v>
      </c>
      <c r="BN588" s="3267" t="s">
        <v>2999</v>
      </c>
      <c r="BO588" s="3267" t="s">
        <v>3000</v>
      </c>
      <c r="BP588" s="3267"/>
      <c r="BQ588" s="3276" t="e">
        <v>#DIV/0!</v>
      </c>
      <c r="BR588" s="3276" t="e">
        <v>#DIV/0!</v>
      </c>
      <c r="BS588" s="3285"/>
      <c r="BT588" s="3285"/>
      <c r="BU588" s="3285"/>
    </row>
    <row r="589" spans="1:73">
      <c r="A589" s="3267" t="s">
        <v>7170</v>
      </c>
      <c r="B589" s="3267" t="s">
        <v>7171</v>
      </c>
      <c r="C589" s="3269" t="s">
        <v>7172</v>
      </c>
      <c r="D589" s="3269">
        <v>13501226374</v>
      </c>
      <c r="E589" s="3268" t="s">
        <v>2985</v>
      </c>
      <c r="F589" s="3268" t="s">
        <v>3429</v>
      </c>
      <c r="G589" s="3267"/>
      <c r="H589" s="3267" t="s">
        <v>7173</v>
      </c>
      <c r="I589" s="3268" t="s">
        <v>6426</v>
      </c>
      <c r="J589" s="3267" t="s">
        <v>7174</v>
      </c>
      <c r="K589" s="3267" t="s">
        <v>7175</v>
      </c>
      <c r="L589" s="3267">
        <v>54.26</v>
      </c>
      <c r="M589" s="3267">
        <v>4</v>
      </c>
      <c r="N589" s="3267" t="s">
        <v>3152</v>
      </c>
      <c r="O589" s="3267"/>
      <c r="P589" s="3267" t="s">
        <v>2963</v>
      </c>
      <c r="Q589" s="3271">
        <v>420000</v>
      </c>
      <c r="R589" s="3288">
        <v>7741</v>
      </c>
      <c r="S589" s="3272">
        <v>37.840000000000003</v>
      </c>
      <c r="T589" s="3273">
        <v>378400</v>
      </c>
      <c r="U589" s="3267">
        <v>6975</v>
      </c>
      <c r="V589" s="3289">
        <v>0.2</v>
      </c>
      <c r="W589" s="3272">
        <v>30.27</v>
      </c>
      <c r="X589" s="3273">
        <v>302700</v>
      </c>
      <c r="Y589" s="3267">
        <v>2006</v>
      </c>
      <c r="Z589" s="3276">
        <v>7</v>
      </c>
      <c r="AA589" s="3276">
        <v>3</v>
      </c>
      <c r="AB589" s="3267">
        <v>1135</v>
      </c>
      <c r="AC589" s="3267" t="s">
        <v>2980</v>
      </c>
      <c r="AD589" s="3267"/>
      <c r="AE589" s="3279" t="s">
        <v>3344</v>
      </c>
      <c r="AF589" s="3268" t="s">
        <v>2966</v>
      </c>
      <c r="AG589" s="3279" t="s">
        <v>2967</v>
      </c>
      <c r="AH589" s="3267"/>
      <c r="AI589" s="3279" t="s">
        <v>2992</v>
      </c>
      <c r="AJ589" s="3284"/>
      <c r="AK589" s="3278">
        <v>7</v>
      </c>
      <c r="AL589" s="3276">
        <v>36</v>
      </c>
      <c r="AM589" s="3276"/>
      <c r="AN589" s="3279" t="s">
        <v>3131</v>
      </c>
      <c r="AO589" s="3267" t="s">
        <v>7176</v>
      </c>
      <c r="AP589" s="3279" t="s">
        <v>3305</v>
      </c>
      <c r="AQ589" s="3267" t="s">
        <v>3228</v>
      </c>
      <c r="AR589" s="3276"/>
      <c r="AS589" s="3276"/>
      <c r="AT589" s="3276"/>
      <c r="AU589" s="3276"/>
      <c r="AV589" s="3276"/>
      <c r="AW589" s="3276" t="s">
        <v>3171</v>
      </c>
      <c r="AX589" s="3276"/>
      <c r="AY589" s="3291"/>
      <c r="AZ589" s="3267" t="s">
        <v>7175</v>
      </c>
      <c r="BA589" s="3296"/>
      <c r="BB589" s="3297"/>
      <c r="BC589" s="3296"/>
      <c r="BD589" s="3298"/>
      <c r="BE589" s="3276">
        <v>13661079695</v>
      </c>
      <c r="BF589" s="3281"/>
      <c r="BG589" s="3293">
        <v>38884</v>
      </c>
      <c r="BH589" s="3267" t="s">
        <v>2998</v>
      </c>
      <c r="BI589" s="3314" t="s">
        <v>3305</v>
      </c>
      <c r="BJ589" s="3283">
        <v>38884</v>
      </c>
      <c r="BK589" s="3283"/>
      <c r="BL589" s="3267" t="s">
        <v>3249</v>
      </c>
      <c r="BM589" s="3276" t="s">
        <v>2879</v>
      </c>
      <c r="BN589" s="3276" t="s">
        <v>2999</v>
      </c>
      <c r="BO589" s="3276" t="s">
        <v>3146</v>
      </c>
      <c r="BP589" s="3276"/>
      <c r="BQ589" s="3276" t="e">
        <v>#DIV/0!</v>
      </c>
      <c r="BR589" s="3276" t="e">
        <v>#DIV/0!</v>
      </c>
      <c r="BS589" s="3285"/>
      <c r="BT589" s="3285"/>
      <c r="BU589" s="3285"/>
    </row>
    <row r="590" spans="1:73" hidden="1">
      <c r="A590" s="3267" t="s">
        <v>7177</v>
      </c>
      <c r="B590" s="3268" t="s">
        <v>7178</v>
      </c>
      <c r="C590" s="3269" t="s">
        <v>7179</v>
      </c>
      <c r="D590" s="3268">
        <v>13071111428</v>
      </c>
      <c r="E590" s="3267" t="s">
        <v>2985</v>
      </c>
      <c r="F590" s="3268" t="s">
        <v>3253</v>
      </c>
      <c r="G590" s="3268"/>
      <c r="H590" s="3268" t="s">
        <v>3194</v>
      </c>
      <c r="I590" s="3268" t="s">
        <v>3318</v>
      </c>
      <c r="J590" s="3280" t="s">
        <v>3123</v>
      </c>
      <c r="K590" s="3267" t="s">
        <v>7178</v>
      </c>
      <c r="L590" s="3270">
        <v>80.239999999999995</v>
      </c>
      <c r="M590" s="3282" t="s">
        <v>4180</v>
      </c>
      <c r="N590" s="3268" t="s">
        <v>3122</v>
      </c>
      <c r="O590" s="3270">
        <v>70.459999999999994</v>
      </c>
      <c r="P590" s="3267" t="s">
        <v>2963</v>
      </c>
      <c r="Q590" s="3271">
        <v>445000</v>
      </c>
      <c r="R590" s="3267">
        <v>5546</v>
      </c>
      <c r="S590" s="3272">
        <v>40.4</v>
      </c>
      <c r="T590" s="3273">
        <v>404000</v>
      </c>
      <c r="U590" s="3267">
        <v>5035</v>
      </c>
      <c r="V590" s="3274">
        <v>0.2</v>
      </c>
      <c r="W590" s="3272">
        <v>32.32</v>
      </c>
      <c r="X590" s="3275">
        <v>323200</v>
      </c>
      <c r="Y590" s="3276">
        <v>2006</v>
      </c>
      <c r="Z590" s="3276">
        <v>8</v>
      </c>
      <c r="AA590" s="3276">
        <v>7</v>
      </c>
      <c r="AB590" s="3267">
        <v>1210</v>
      </c>
      <c r="AC590" s="3267" t="s">
        <v>2980</v>
      </c>
      <c r="AD590" s="3268"/>
      <c r="AE590" s="3267" t="s">
        <v>3304</v>
      </c>
      <c r="AF590" s="3268" t="s">
        <v>2966</v>
      </c>
      <c r="AG590" s="3268" t="s">
        <v>2967</v>
      </c>
      <c r="AH590" s="3268"/>
      <c r="AI590" s="3279" t="s">
        <v>2992</v>
      </c>
      <c r="AJ590" s="3290"/>
      <c r="AK590" s="3278" t="s">
        <v>4256</v>
      </c>
      <c r="AL590" s="3276">
        <v>45</v>
      </c>
      <c r="AM590" s="3276" t="s">
        <v>7180</v>
      </c>
      <c r="AN590" s="3276" t="s">
        <v>3140</v>
      </c>
      <c r="AO590" s="3276"/>
      <c r="AP590" s="3279" t="s">
        <v>4230</v>
      </c>
      <c r="AQ590" s="3267" t="s">
        <v>3228</v>
      </c>
      <c r="AR590" s="3267"/>
      <c r="AS590" s="3267"/>
      <c r="AT590" s="3267"/>
      <c r="AU590" s="3267"/>
      <c r="AV590" s="3277"/>
      <c r="AW590" s="3306" t="s">
        <v>3119</v>
      </c>
      <c r="AX590" s="3268"/>
      <c r="AY590" s="3268"/>
      <c r="AZ590" s="3268" t="s">
        <v>7181</v>
      </c>
      <c r="BA590" s="3268"/>
      <c r="BB590" s="3280"/>
      <c r="BC590" s="3268"/>
      <c r="BD590" s="3268"/>
      <c r="BE590" s="3268"/>
      <c r="BF590" s="3281"/>
      <c r="BG590" s="3307">
        <v>38868</v>
      </c>
      <c r="BH590" s="3368" t="s">
        <v>2998</v>
      </c>
      <c r="BI590" s="3276" t="s">
        <v>4230</v>
      </c>
      <c r="BJ590" s="3299">
        <v>38881</v>
      </c>
      <c r="BK590" s="3284"/>
      <c r="BL590" s="3267" t="s">
        <v>3249</v>
      </c>
      <c r="BM590" s="3267" t="s">
        <v>2879</v>
      </c>
      <c r="BN590" s="3276" t="s">
        <v>2999</v>
      </c>
      <c r="BO590" s="3267" t="s">
        <v>3000</v>
      </c>
      <c r="BP590" s="3276"/>
      <c r="BQ590" s="3276">
        <v>5734</v>
      </c>
      <c r="BR590" s="3276">
        <v>6316</v>
      </c>
      <c r="BS590" s="3285"/>
      <c r="BT590" s="3285"/>
      <c r="BU590" s="3285"/>
    </row>
    <row r="591" spans="1:73" hidden="1">
      <c r="A591" s="3267" t="s">
        <v>7182</v>
      </c>
      <c r="B591" s="3267" t="s">
        <v>7183</v>
      </c>
      <c r="C591" s="3269" t="s">
        <v>7184</v>
      </c>
      <c r="D591" s="3268">
        <v>13701090772</v>
      </c>
      <c r="E591" s="3267" t="s">
        <v>2985</v>
      </c>
      <c r="F591" s="3267" t="s">
        <v>6257</v>
      </c>
      <c r="G591" s="3267"/>
      <c r="H591" s="3267" t="s">
        <v>7185</v>
      </c>
      <c r="I591" s="3267"/>
      <c r="J591" s="3267" t="s">
        <v>7186</v>
      </c>
      <c r="K591" s="3267" t="s">
        <v>7183</v>
      </c>
      <c r="L591" s="3267">
        <v>77.31</v>
      </c>
      <c r="M591" s="3269">
        <v>3</v>
      </c>
      <c r="N591" s="3267" t="s">
        <v>3122</v>
      </c>
      <c r="O591" s="3267"/>
      <c r="P591" s="3267" t="s">
        <v>2963</v>
      </c>
      <c r="Q591" s="3271">
        <v>400000</v>
      </c>
      <c r="R591" s="3271">
        <v>5174</v>
      </c>
      <c r="S591" s="3272">
        <v>45.08</v>
      </c>
      <c r="T591" s="3273">
        <v>450800</v>
      </c>
      <c r="U591" s="3267">
        <v>5832</v>
      </c>
      <c r="V591" s="3289">
        <v>0.2</v>
      </c>
      <c r="W591" s="3272">
        <v>36.06</v>
      </c>
      <c r="X591" s="3273">
        <v>360600</v>
      </c>
      <c r="Y591" s="3276">
        <v>2006</v>
      </c>
      <c r="Z591" s="3276">
        <v>7</v>
      </c>
      <c r="AA591" s="3267">
        <v>3</v>
      </c>
      <c r="AB591" s="3276">
        <v>1350</v>
      </c>
      <c r="AC591" s="3267" t="s">
        <v>2980</v>
      </c>
      <c r="AD591" s="3267"/>
      <c r="AE591" s="3267" t="s">
        <v>4532</v>
      </c>
      <c r="AF591" s="3267" t="s">
        <v>2966</v>
      </c>
      <c r="AG591" s="3279" t="s">
        <v>2967</v>
      </c>
      <c r="AH591" s="3267"/>
      <c r="AI591" s="3267" t="s">
        <v>2992</v>
      </c>
      <c r="AJ591" s="3284"/>
      <c r="AK591" s="3278" t="s">
        <v>2993</v>
      </c>
      <c r="AL591" s="3276">
        <v>50</v>
      </c>
      <c r="AM591" s="3267" t="s">
        <v>7187</v>
      </c>
      <c r="AN591" s="3279" t="s">
        <v>3131</v>
      </c>
      <c r="AO591" s="3267"/>
      <c r="AP591" s="3267" t="s">
        <v>3305</v>
      </c>
      <c r="AQ591" s="3267" t="s">
        <v>3228</v>
      </c>
      <c r="AR591" s="3267" t="s">
        <v>2968</v>
      </c>
      <c r="AS591" s="3267"/>
      <c r="AT591" s="3267"/>
      <c r="AU591" s="3267"/>
      <c r="AV591" s="3267" t="s">
        <v>2968</v>
      </c>
      <c r="AW591" s="3267" t="s">
        <v>2997</v>
      </c>
      <c r="AX591" s="3267"/>
      <c r="AY591" s="3269"/>
      <c r="AZ591" s="3267" t="s">
        <v>7188</v>
      </c>
      <c r="BA591" s="3267"/>
      <c r="BB591" s="3269"/>
      <c r="BC591" s="3267"/>
      <c r="BD591" s="3304"/>
      <c r="BE591" s="3267"/>
      <c r="BF591" s="3305"/>
      <c r="BG591" s="3284">
        <v>38874</v>
      </c>
      <c r="BH591" s="3267" t="s">
        <v>2998</v>
      </c>
      <c r="BI591" s="3267" t="s">
        <v>4230</v>
      </c>
      <c r="BJ591" s="3284">
        <v>38881</v>
      </c>
      <c r="BK591" s="3303"/>
      <c r="BL591" s="3267" t="s">
        <v>3249</v>
      </c>
      <c r="BM591" s="3276" t="s">
        <v>2879</v>
      </c>
      <c r="BN591" s="3276" t="s">
        <v>3111</v>
      </c>
      <c r="BO591" s="3267" t="s">
        <v>3000</v>
      </c>
      <c r="BP591" s="3276"/>
      <c r="BQ591" s="3276" t="e">
        <v>#DIV/0!</v>
      </c>
      <c r="BR591" s="3276" t="e">
        <v>#DIV/0!</v>
      </c>
      <c r="BS591" s="3285"/>
      <c r="BT591" s="3285"/>
      <c r="BU591" s="3285"/>
    </row>
    <row r="592" spans="1:73" hidden="1">
      <c r="A592" s="3267" t="s">
        <v>7189</v>
      </c>
      <c r="B592" s="3267" t="s">
        <v>7190</v>
      </c>
      <c r="C592" s="3269" t="s">
        <v>7191</v>
      </c>
      <c r="D592" s="3269" t="s">
        <v>7192</v>
      </c>
      <c r="E592" s="3268" t="s">
        <v>2985</v>
      </c>
      <c r="F592" s="3268" t="s">
        <v>3279</v>
      </c>
      <c r="G592" s="3267"/>
      <c r="H592" s="3267" t="s">
        <v>7193</v>
      </c>
      <c r="I592" s="3268" t="s">
        <v>4054</v>
      </c>
      <c r="J592" s="3267" t="s">
        <v>7194</v>
      </c>
      <c r="K592" s="3267" t="s">
        <v>7195</v>
      </c>
      <c r="L592" s="3267">
        <v>57.47</v>
      </c>
      <c r="M592" s="3267">
        <v>2</v>
      </c>
      <c r="N592" s="3267" t="s">
        <v>3122</v>
      </c>
      <c r="O592" s="3267"/>
      <c r="P592" s="3267" t="s">
        <v>2963</v>
      </c>
      <c r="Q592" s="3271">
        <v>400000</v>
      </c>
      <c r="R592" s="3267">
        <v>6960</v>
      </c>
      <c r="S592" s="3272">
        <v>32.299999999999997</v>
      </c>
      <c r="T592" s="3273">
        <v>323000</v>
      </c>
      <c r="U592" s="3267">
        <v>5622</v>
      </c>
      <c r="V592" s="3289">
        <v>0.2</v>
      </c>
      <c r="W592" s="3272">
        <v>25.84</v>
      </c>
      <c r="X592" s="3275">
        <v>258400</v>
      </c>
      <c r="Y592" s="3276">
        <v>2006</v>
      </c>
      <c r="Z592" s="3276">
        <v>6</v>
      </c>
      <c r="AA592" s="3276">
        <v>27</v>
      </c>
      <c r="AB592" s="3267">
        <v>965</v>
      </c>
      <c r="AC592" s="3267" t="s">
        <v>2980</v>
      </c>
      <c r="AD592" s="3267"/>
      <c r="AE592" s="3279" t="s">
        <v>3245</v>
      </c>
      <c r="AF592" s="3268" t="s">
        <v>2966</v>
      </c>
      <c r="AG592" s="3279" t="s">
        <v>2967</v>
      </c>
      <c r="AH592" s="3267" t="s">
        <v>2968</v>
      </c>
      <c r="AI592" s="3279" t="s">
        <v>2992</v>
      </c>
      <c r="AJ592" s="3284"/>
      <c r="AK592" s="3278">
        <v>6</v>
      </c>
      <c r="AL592" s="3276">
        <v>67641700</v>
      </c>
      <c r="AM592" s="3276"/>
      <c r="AN592" s="3279" t="s">
        <v>3099</v>
      </c>
      <c r="AO592" s="3267"/>
      <c r="AP592" s="3279" t="s">
        <v>3305</v>
      </c>
      <c r="AQ592" s="3267" t="s">
        <v>3228</v>
      </c>
      <c r="AR592" s="3276"/>
      <c r="AS592" s="3276"/>
      <c r="AT592" s="3276"/>
      <c r="AU592" s="3276"/>
      <c r="AV592" s="3276" t="s">
        <v>2968</v>
      </c>
      <c r="AW592" s="3276" t="s">
        <v>2997</v>
      </c>
      <c r="AX592" s="3276"/>
      <c r="AY592" s="3291"/>
      <c r="AZ592" s="3267" t="s">
        <v>7195</v>
      </c>
      <c r="BA592" s="3296"/>
      <c r="BB592" s="3297"/>
      <c r="BC592" s="3296"/>
      <c r="BD592" s="3298"/>
      <c r="BE592" s="3276">
        <v>13511031683</v>
      </c>
      <c r="BF592" s="3281"/>
      <c r="BG592" s="3293">
        <v>38881</v>
      </c>
      <c r="BH592" s="3267" t="s">
        <v>2998</v>
      </c>
      <c r="BI592" s="3314" t="s">
        <v>4230</v>
      </c>
      <c r="BJ592" s="3283">
        <v>38881</v>
      </c>
      <c r="BK592" s="3283"/>
      <c r="BL592" s="3267" t="s">
        <v>3249</v>
      </c>
      <c r="BM592" s="3276" t="s">
        <v>2879</v>
      </c>
      <c r="BN592" s="3276" t="s">
        <v>3111</v>
      </c>
      <c r="BO592" s="3276" t="s">
        <v>3146</v>
      </c>
      <c r="BP592" s="3276"/>
      <c r="BQ592" s="3276" t="e">
        <v>#DIV/0!</v>
      </c>
      <c r="BR592" s="3276" t="e">
        <v>#DIV/0!</v>
      </c>
      <c r="BS592" s="3285"/>
      <c r="BT592" s="3285"/>
      <c r="BU592" s="3285"/>
    </row>
    <row r="593" spans="1:243" hidden="1">
      <c r="A593" s="3269" t="s">
        <v>7196</v>
      </c>
      <c r="B593" s="3268" t="s">
        <v>7197</v>
      </c>
      <c r="C593" s="3269" t="s">
        <v>7198</v>
      </c>
      <c r="D593" s="3268">
        <v>13911697089</v>
      </c>
      <c r="E593" s="3268" t="s">
        <v>2985</v>
      </c>
      <c r="F593" s="3268" t="s">
        <v>7199</v>
      </c>
      <c r="G593" s="3268"/>
      <c r="H593" s="3268" t="s">
        <v>3182</v>
      </c>
      <c r="I593" s="3268"/>
      <c r="J593" s="3268" t="s">
        <v>7200</v>
      </c>
      <c r="K593" s="3268" t="s">
        <v>7201</v>
      </c>
      <c r="L593" s="3270">
        <v>59.81</v>
      </c>
      <c r="M593" s="3270">
        <v>12</v>
      </c>
      <c r="N593" s="3267" t="s">
        <v>3152</v>
      </c>
      <c r="O593" s="3270"/>
      <c r="P593" s="3268" t="s">
        <v>2963</v>
      </c>
      <c r="Q593" s="3271">
        <v>400000</v>
      </c>
      <c r="R593" s="3267">
        <v>6688</v>
      </c>
      <c r="S593" s="3272">
        <v>35.090000000000003</v>
      </c>
      <c r="T593" s="3273">
        <v>350900</v>
      </c>
      <c r="U593" s="3267">
        <v>5867</v>
      </c>
      <c r="V593" s="3289">
        <v>0.2</v>
      </c>
      <c r="W593" s="3272">
        <v>28.07</v>
      </c>
      <c r="X593" s="3275">
        <v>280700</v>
      </c>
      <c r="Y593" s="3276">
        <v>2006</v>
      </c>
      <c r="Z593" s="3276">
        <v>7</v>
      </c>
      <c r="AA593" s="3267">
        <v>4</v>
      </c>
      <c r="AB593" s="3267">
        <v>1050</v>
      </c>
      <c r="AC593" s="3267" t="s">
        <v>2980</v>
      </c>
      <c r="AD593" s="3268"/>
      <c r="AE593" s="3268" t="s">
        <v>3537</v>
      </c>
      <c r="AF593" s="3268" t="s">
        <v>2966</v>
      </c>
      <c r="AG593" s="3267" t="s">
        <v>2967</v>
      </c>
      <c r="AH593" s="3268"/>
      <c r="AI593" s="3267" t="s">
        <v>3115</v>
      </c>
      <c r="AJ593" s="3290"/>
      <c r="AK593" s="3278">
        <v>7</v>
      </c>
      <c r="AL593" s="3276">
        <v>82253558</v>
      </c>
      <c r="AM593" s="3276"/>
      <c r="AN593" s="3267" t="s">
        <v>3131</v>
      </c>
      <c r="AO593" s="3267"/>
      <c r="AP593" s="3276" t="s">
        <v>3537</v>
      </c>
      <c r="AQ593" s="3267" t="s">
        <v>3228</v>
      </c>
      <c r="AR593" s="3267"/>
      <c r="AS593" s="3267"/>
      <c r="AT593" s="3267"/>
      <c r="AU593" s="3267"/>
      <c r="AV593" s="3277"/>
      <c r="AW593" s="3267" t="s">
        <v>3119</v>
      </c>
      <c r="AX593" s="3276"/>
      <c r="AY593" s="3291"/>
      <c r="AZ593" s="3267" t="s">
        <v>7201</v>
      </c>
      <c r="BA593" s="3296"/>
      <c r="BB593" s="3297"/>
      <c r="BC593" s="3296"/>
      <c r="BD593" s="3298"/>
      <c r="BE593" s="3276">
        <v>13501224661</v>
      </c>
      <c r="BF593" s="3281"/>
      <c r="BG593" s="3293">
        <v>38881</v>
      </c>
      <c r="BH593" s="3267"/>
      <c r="BI593" s="3314" t="s">
        <v>3537</v>
      </c>
      <c r="BJ593" s="3284">
        <v>38881</v>
      </c>
      <c r="BK593" s="3284"/>
      <c r="BL593" s="3267" t="s">
        <v>2998</v>
      </c>
      <c r="BM593" s="3267" t="s">
        <v>2879</v>
      </c>
      <c r="BN593" s="3276" t="s">
        <v>3111</v>
      </c>
      <c r="BO593" s="3267" t="s">
        <v>3616</v>
      </c>
      <c r="BP593" s="3276"/>
      <c r="BQ593" s="3276" t="e">
        <v>#DIV/0!</v>
      </c>
      <c r="BR593" s="3276" t="e">
        <v>#DIV/0!</v>
      </c>
      <c r="BS593" s="3285"/>
      <c r="BT593" s="3285"/>
      <c r="BU593" s="3285"/>
    </row>
    <row r="594" spans="1:243" hidden="1">
      <c r="A594" s="3269" t="s">
        <v>7202</v>
      </c>
      <c r="B594" s="3268" t="s">
        <v>7203</v>
      </c>
      <c r="C594" s="3269" t="s">
        <v>7204</v>
      </c>
      <c r="D594" s="3268">
        <v>13691493060</v>
      </c>
      <c r="E594" s="3268" t="s">
        <v>2985</v>
      </c>
      <c r="F594" s="3268" t="s">
        <v>7205</v>
      </c>
      <c r="G594" s="3268"/>
      <c r="H594" s="3268" t="s">
        <v>3130</v>
      </c>
      <c r="I594" s="3268"/>
      <c r="J594" s="3268" t="s">
        <v>7206</v>
      </c>
      <c r="K594" s="3268" t="s">
        <v>7203</v>
      </c>
      <c r="L594" s="3270">
        <v>72.31</v>
      </c>
      <c r="M594" s="3270">
        <v>6</v>
      </c>
      <c r="N594" s="3267" t="s">
        <v>3125</v>
      </c>
      <c r="O594" s="3270" t="s">
        <v>2968</v>
      </c>
      <c r="P594" s="3268" t="s">
        <v>2963</v>
      </c>
      <c r="Q594" s="3271">
        <v>485000</v>
      </c>
      <c r="R594" s="3267">
        <v>6707</v>
      </c>
      <c r="S594" s="3272">
        <v>43.17</v>
      </c>
      <c r="T594" s="3273">
        <v>431700</v>
      </c>
      <c r="U594" s="3267">
        <v>5971</v>
      </c>
      <c r="V594" s="3289">
        <v>0.2</v>
      </c>
      <c r="W594" s="3272">
        <v>34.53</v>
      </c>
      <c r="X594" s="3275">
        <v>345300</v>
      </c>
      <c r="Y594" s="3276">
        <v>2006</v>
      </c>
      <c r="Z594" s="3276">
        <v>6</v>
      </c>
      <c r="AA594" s="3276">
        <v>27</v>
      </c>
      <c r="AB594" s="3267">
        <v>1295</v>
      </c>
      <c r="AC594" s="3267" t="s">
        <v>2980</v>
      </c>
      <c r="AD594" s="3268"/>
      <c r="AE594" s="3268" t="s">
        <v>3304</v>
      </c>
      <c r="AF594" s="3268" t="s">
        <v>2966</v>
      </c>
      <c r="AG594" s="3268" t="s">
        <v>2967</v>
      </c>
      <c r="AH594" s="3268"/>
      <c r="AI594" s="3268" t="s">
        <v>3295</v>
      </c>
      <c r="AJ594" s="3290"/>
      <c r="AK594" s="3278">
        <v>6</v>
      </c>
      <c r="AL594" s="3276">
        <v>67641700</v>
      </c>
      <c r="AM594" s="3276"/>
      <c r="AN594" s="3279" t="s">
        <v>3099</v>
      </c>
      <c r="AO594" s="3267"/>
      <c r="AP594" s="3279" t="s">
        <v>3305</v>
      </c>
      <c r="AQ594" s="3276" t="s">
        <v>2996</v>
      </c>
      <c r="AR594" s="3267"/>
      <c r="AS594" s="3267"/>
      <c r="AT594" s="3267"/>
      <c r="AU594" s="3267"/>
      <c r="AV594" s="3277"/>
      <c r="AW594" s="3276" t="s">
        <v>3119</v>
      </c>
      <c r="AX594" s="3276"/>
      <c r="AY594" s="3291" t="s">
        <v>2968</v>
      </c>
      <c r="AZ594" s="3267" t="s">
        <v>7207</v>
      </c>
      <c r="BA594" s="3296" t="s">
        <v>2968</v>
      </c>
      <c r="BB594" s="3297" t="s">
        <v>2968</v>
      </c>
      <c r="BC594" s="3296" t="s">
        <v>2968</v>
      </c>
      <c r="BD594" s="3298" t="s">
        <v>2968</v>
      </c>
      <c r="BE594" s="3276">
        <v>13910573593</v>
      </c>
      <c r="BF594" s="3281" t="s">
        <v>2968</v>
      </c>
      <c r="BG594" s="3293">
        <v>38861</v>
      </c>
      <c r="BH594" s="3267"/>
      <c r="BI594" s="3314" t="s">
        <v>3537</v>
      </c>
      <c r="BJ594" s="3284">
        <v>38881</v>
      </c>
      <c r="BK594" s="3284"/>
      <c r="BL594" s="3267" t="s">
        <v>2998</v>
      </c>
      <c r="BM594" s="3267" t="s">
        <v>2879</v>
      </c>
      <c r="BN594" s="3267" t="s">
        <v>3111</v>
      </c>
      <c r="BO594" s="3276" t="s">
        <v>6169</v>
      </c>
      <c r="BP594" s="3276"/>
      <c r="BQ594" s="3276" t="e">
        <v>#VALUE!</v>
      </c>
      <c r="BR594" s="3276" t="e">
        <v>#VALUE!</v>
      </c>
      <c r="BS594" s="3285"/>
      <c r="BT594" s="3285"/>
      <c r="BU594" s="3285"/>
    </row>
    <row r="595" spans="1:243" hidden="1">
      <c r="A595" s="3267" t="s">
        <v>7208</v>
      </c>
      <c r="B595" s="3267" t="s">
        <v>7209</v>
      </c>
      <c r="C595" s="3269" t="s">
        <v>7210</v>
      </c>
      <c r="D595" s="3269" t="s">
        <v>7211</v>
      </c>
      <c r="E595" s="3267" t="s">
        <v>2985</v>
      </c>
      <c r="F595" s="3244" t="s">
        <v>3533</v>
      </c>
      <c r="G595" s="3267"/>
      <c r="H595" s="3267" t="s">
        <v>3402</v>
      </c>
      <c r="I595" s="3267" t="s">
        <v>3534</v>
      </c>
      <c r="J595" s="3269" t="s">
        <v>7212</v>
      </c>
      <c r="K595" s="3267" t="s">
        <v>7213</v>
      </c>
      <c r="L595" s="3267">
        <v>46.13</v>
      </c>
      <c r="M595" s="3267">
        <v>13</v>
      </c>
      <c r="N595" s="3267" t="s">
        <v>3152</v>
      </c>
      <c r="O595" s="3267"/>
      <c r="P595" s="3267" t="s">
        <v>2963</v>
      </c>
      <c r="Q595" s="3271">
        <v>300000</v>
      </c>
      <c r="R595" s="3267">
        <v>6503</v>
      </c>
      <c r="S595" s="3272">
        <v>32</v>
      </c>
      <c r="T595" s="3273">
        <v>320000</v>
      </c>
      <c r="U595" s="3267">
        <v>6939</v>
      </c>
      <c r="V595" s="3289">
        <v>0.2</v>
      </c>
      <c r="W595" s="3272">
        <v>25.6</v>
      </c>
      <c r="X595" s="3275">
        <v>256000</v>
      </c>
      <c r="Y595" s="3276">
        <v>2006</v>
      </c>
      <c r="Z595" s="3276">
        <v>6</v>
      </c>
      <c r="AA595" s="3276">
        <v>27</v>
      </c>
      <c r="AB595" s="3267">
        <v>960</v>
      </c>
      <c r="AC595" s="3267" t="s">
        <v>2980</v>
      </c>
      <c r="AD595" s="3267"/>
      <c r="AE595" s="3276" t="s">
        <v>3487</v>
      </c>
      <c r="AF595" s="3267" t="s">
        <v>2966</v>
      </c>
      <c r="AG595" s="3279" t="s">
        <v>2967</v>
      </c>
      <c r="AH595" s="3267" t="s">
        <v>2968</v>
      </c>
      <c r="AI595" s="3267" t="s">
        <v>3295</v>
      </c>
      <c r="AJ595" s="3284"/>
      <c r="AK595" s="3316">
        <v>6</v>
      </c>
      <c r="AL595" s="3276">
        <v>67641700</v>
      </c>
      <c r="AM595" s="3276"/>
      <c r="AN595" s="3276" t="s">
        <v>3114</v>
      </c>
      <c r="AO595" s="3276" t="s">
        <v>2968</v>
      </c>
      <c r="AP595" s="3276" t="s">
        <v>3305</v>
      </c>
      <c r="AQ595" s="3276" t="s">
        <v>3113</v>
      </c>
      <c r="AR595" s="3276"/>
      <c r="AS595" s="3276"/>
      <c r="AT595" s="3276"/>
      <c r="AU595" s="3276"/>
      <c r="AV595" s="3276" t="s">
        <v>2968</v>
      </c>
      <c r="AW595" s="3276" t="s">
        <v>3171</v>
      </c>
      <c r="AX595" s="3276"/>
      <c r="AY595" s="3291"/>
      <c r="AZ595" s="3276"/>
      <c r="BA595" s="3276"/>
      <c r="BB595" s="3291"/>
      <c r="BC595" s="3276"/>
      <c r="BD595" s="3292"/>
      <c r="BE595" s="3276"/>
      <c r="BF595" s="3281"/>
      <c r="BG595" s="3299">
        <v>38881</v>
      </c>
      <c r="BH595" s="3276"/>
      <c r="BI595" s="3276" t="s">
        <v>3487</v>
      </c>
      <c r="BJ595" s="3283">
        <v>38881</v>
      </c>
      <c r="BK595" s="3283"/>
      <c r="BL595" s="3267" t="s">
        <v>2998</v>
      </c>
      <c r="BM595" s="3276"/>
      <c r="BN595" s="3276"/>
      <c r="BO595" s="3276"/>
      <c r="BP595" s="3276"/>
      <c r="BQ595" s="3276" t="e">
        <v>#DIV/0!</v>
      </c>
      <c r="BR595" s="3276" t="e">
        <v>#DIV/0!</v>
      </c>
      <c r="BS595" s="3285"/>
      <c r="BT595" s="3285"/>
      <c r="BU595" s="3285"/>
    </row>
    <row r="596" spans="1:243" hidden="1">
      <c r="A596" s="3267" t="s">
        <v>7214</v>
      </c>
      <c r="B596" s="3267" t="s">
        <v>7215</v>
      </c>
      <c r="C596" s="3269" t="s">
        <v>7216</v>
      </c>
      <c r="D596" s="3269" t="s">
        <v>7217</v>
      </c>
      <c r="E596" s="3268" t="s">
        <v>2985</v>
      </c>
      <c r="F596" s="3268" t="s">
        <v>3563</v>
      </c>
      <c r="G596" s="3267"/>
      <c r="H596" s="3268" t="s">
        <v>7218</v>
      </c>
      <c r="I596" s="3268"/>
      <c r="J596" s="3267" t="s">
        <v>7219</v>
      </c>
      <c r="K596" s="3267" t="s">
        <v>7220</v>
      </c>
      <c r="L596" s="3267">
        <v>100.08</v>
      </c>
      <c r="M596" s="3267">
        <v>11</v>
      </c>
      <c r="N596" s="3267" t="s">
        <v>3122</v>
      </c>
      <c r="O596" s="3267">
        <v>81.069999999999993</v>
      </c>
      <c r="P596" s="3267" t="s">
        <v>2963</v>
      </c>
      <c r="Q596" s="3271">
        <v>398950</v>
      </c>
      <c r="R596" s="3267">
        <v>3986</v>
      </c>
      <c r="S596" s="3272">
        <v>39.53</v>
      </c>
      <c r="T596" s="3273">
        <v>395300</v>
      </c>
      <c r="U596" s="3267">
        <v>3950</v>
      </c>
      <c r="V596" s="3289">
        <v>0.2</v>
      </c>
      <c r="W596" s="3272">
        <v>31.62</v>
      </c>
      <c r="X596" s="3275">
        <v>316200</v>
      </c>
      <c r="Y596" s="3276">
        <v>2006</v>
      </c>
      <c r="Z596" s="3276">
        <v>6</v>
      </c>
      <c r="AA596" s="3276">
        <v>15</v>
      </c>
      <c r="AB596" s="3267">
        <v>1185</v>
      </c>
      <c r="AC596" s="3267" t="s">
        <v>2980</v>
      </c>
      <c r="AD596" s="3267"/>
      <c r="AE596" s="3279" t="s">
        <v>3245</v>
      </c>
      <c r="AF596" s="3268" t="s">
        <v>2966</v>
      </c>
      <c r="AG596" s="3279" t="s">
        <v>5571</v>
      </c>
      <c r="AH596" s="3267"/>
      <c r="AI596" s="3279" t="s">
        <v>2992</v>
      </c>
      <c r="AJ596" s="3284"/>
      <c r="AK596" s="3278">
        <v>6</v>
      </c>
      <c r="AL596" s="3276">
        <v>67641700</v>
      </c>
      <c r="AM596" s="3276"/>
      <c r="AN596" s="3279" t="s">
        <v>3114</v>
      </c>
      <c r="AO596" s="3267"/>
      <c r="AP596" s="3279" t="s">
        <v>3305</v>
      </c>
      <c r="AQ596" s="3276" t="s">
        <v>2996</v>
      </c>
      <c r="AR596" s="3276"/>
      <c r="AS596" s="3276"/>
      <c r="AT596" s="3276"/>
      <c r="AU596" s="3276"/>
      <c r="AV596" s="3276"/>
      <c r="AW596" s="3276" t="s">
        <v>3119</v>
      </c>
      <c r="AX596" s="3276"/>
      <c r="AY596" s="3291"/>
      <c r="AZ596" s="3267" t="s">
        <v>7220</v>
      </c>
      <c r="BA596" s="3296"/>
      <c r="BB596" s="3297"/>
      <c r="BC596" s="3296"/>
      <c r="BD596" s="3298"/>
      <c r="BE596" s="3276"/>
      <c r="BF596" s="3281"/>
      <c r="BG596" s="3293">
        <v>38882</v>
      </c>
      <c r="BH596" s="3267" t="s">
        <v>2998</v>
      </c>
      <c r="BI596" s="3314" t="s">
        <v>4230</v>
      </c>
      <c r="BJ596" s="3283">
        <v>38882</v>
      </c>
      <c r="BK596" s="3283"/>
      <c r="BL596" s="3267" t="s">
        <v>3249</v>
      </c>
      <c r="BM596" s="3276" t="s">
        <v>2879</v>
      </c>
      <c r="BN596" s="3276" t="s">
        <v>3111</v>
      </c>
      <c r="BO596" s="3276" t="s">
        <v>3146</v>
      </c>
      <c r="BP596" s="3276"/>
      <c r="BQ596" s="3276">
        <v>4876</v>
      </c>
      <c r="BR596" s="3276">
        <v>4921</v>
      </c>
      <c r="BS596" s="3285"/>
      <c r="BT596" s="3285"/>
      <c r="BU596" s="3285"/>
    </row>
    <row r="597" spans="1:243">
      <c r="A597" s="3267" t="s">
        <v>7221</v>
      </c>
      <c r="B597" s="3268" t="s">
        <v>7222</v>
      </c>
      <c r="C597" s="3269" t="s">
        <v>7223</v>
      </c>
      <c r="D597" s="3268">
        <v>13641061660</v>
      </c>
      <c r="E597" s="3267" t="s">
        <v>2985</v>
      </c>
      <c r="F597" s="3268" t="s">
        <v>3273</v>
      </c>
      <c r="G597" s="3268"/>
      <c r="H597" s="3268" t="s">
        <v>3169</v>
      </c>
      <c r="I597" s="3268"/>
      <c r="J597" s="3280" t="s">
        <v>7224</v>
      </c>
      <c r="K597" s="3268" t="s">
        <v>7225</v>
      </c>
      <c r="L597" s="3270">
        <v>44.97</v>
      </c>
      <c r="M597" s="3270">
        <v>6</v>
      </c>
      <c r="N597" s="3268" t="s">
        <v>3152</v>
      </c>
      <c r="O597" s="3270"/>
      <c r="P597" s="3267" t="s">
        <v>2963</v>
      </c>
      <c r="Q597" s="3271">
        <v>370000</v>
      </c>
      <c r="R597" s="3267">
        <v>8228</v>
      </c>
      <c r="S597" s="3272">
        <v>30.71</v>
      </c>
      <c r="T597" s="3273">
        <v>307100</v>
      </c>
      <c r="U597" s="3267">
        <v>6830</v>
      </c>
      <c r="V597" s="3274">
        <v>0.2</v>
      </c>
      <c r="W597" s="3272">
        <v>24.56</v>
      </c>
      <c r="X597" s="3275">
        <v>245600</v>
      </c>
      <c r="Y597" s="3276">
        <v>2006</v>
      </c>
      <c r="Z597" s="3276">
        <v>6</v>
      </c>
      <c r="AA597" s="3276">
        <v>29</v>
      </c>
      <c r="AB597" s="3267">
        <v>920</v>
      </c>
      <c r="AC597" s="3267" t="s">
        <v>2980</v>
      </c>
      <c r="AD597" s="3268"/>
      <c r="AE597" s="3267" t="s">
        <v>3304</v>
      </c>
      <c r="AF597" s="3268" t="s">
        <v>2966</v>
      </c>
      <c r="AG597" s="3268" t="s">
        <v>2967</v>
      </c>
      <c r="AH597" s="3268"/>
      <c r="AI597" s="3279" t="s">
        <v>2992</v>
      </c>
      <c r="AJ597" s="3290"/>
      <c r="AK597" s="3278" t="s">
        <v>3160</v>
      </c>
      <c r="AL597" s="3276">
        <v>67641700</v>
      </c>
      <c r="AM597" s="3276"/>
      <c r="AN597" s="3276" t="s">
        <v>3099</v>
      </c>
      <c r="AO597" s="3276"/>
      <c r="AP597" s="3279" t="s">
        <v>3305</v>
      </c>
      <c r="AQ597" s="3267" t="s">
        <v>3228</v>
      </c>
      <c r="AR597" s="3267"/>
      <c r="AS597" s="3267"/>
      <c r="AT597" s="3267"/>
      <c r="AU597" s="3267"/>
      <c r="AV597" s="3277"/>
      <c r="AW597" s="3306" t="s">
        <v>2997</v>
      </c>
      <c r="AX597" s="3268"/>
      <c r="AY597" s="3268" t="s">
        <v>7226</v>
      </c>
      <c r="AZ597" s="3268" t="s">
        <v>7225</v>
      </c>
      <c r="BA597" s="3268"/>
      <c r="BB597" s="3280"/>
      <c r="BC597" s="3268"/>
      <c r="BD597" s="3268"/>
      <c r="BE597" s="3268" t="s">
        <v>7227</v>
      </c>
      <c r="BF597" s="3281"/>
      <c r="BG597" s="3307">
        <v>38857</v>
      </c>
      <c r="BH597" s="3368" t="s">
        <v>2998</v>
      </c>
      <c r="BI597" s="3276" t="s">
        <v>4230</v>
      </c>
      <c r="BJ597" s="3299">
        <v>38880</v>
      </c>
      <c r="BK597" s="3284"/>
      <c r="BL597" s="3267" t="s">
        <v>3249</v>
      </c>
      <c r="BM597" s="3267" t="s">
        <v>2879</v>
      </c>
      <c r="BN597" s="3276" t="s">
        <v>2999</v>
      </c>
      <c r="BO597" s="3267" t="s">
        <v>3146</v>
      </c>
      <c r="BP597" s="3276"/>
      <c r="BQ597" s="3276" t="e">
        <v>#DIV/0!</v>
      </c>
      <c r="BR597" s="3276" t="e">
        <v>#DIV/0!</v>
      </c>
      <c r="BS597" s="3285"/>
      <c r="BT597" s="3285"/>
      <c r="BU597" s="3285"/>
    </row>
    <row r="598" spans="1:243" hidden="1">
      <c r="A598" s="3267" t="s">
        <v>7228</v>
      </c>
      <c r="B598" s="3268" t="s">
        <v>7229</v>
      </c>
      <c r="C598" s="3269" t="s">
        <v>7230</v>
      </c>
      <c r="D598" s="3268">
        <v>13661304997</v>
      </c>
      <c r="E598" s="3267" t="s">
        <v>2985</v>
      </c>
      <c r="F598" s="3268" t="s">
        <v>4761</v>
      </c>
      <c r="G598" s="3268"/>
      <c r="H598" s="3268" t="s">
        <v>3124</v>
      </c>
      <c r="I598" s="3268"/>
      <c r="J598" s="3280" t="s">
        <v>7231</v>
      </c>
      <c r="K598" s="3268" t="s">
        <v>7229</v>
      </c>
      <c r="L598" s="3270">
        <v>91.28</v>
      </c>
      <c r="M598" s="3270">
        <v>9</v>
      </c>
      <c r="N598" s="3268" t="s">
        <v>3395</v>
      </c>
      <c r="O598" s="3270">
        <v>72.47</v>
      </c>
      <c r="P598" s="3267" t="s">
        <v>2963</v>
      </c>
      <c r="Q598" s="3271">
        <v>550000</v>
      </c>
      <c r="R598" s="3267">
        <v>6025</v>
      </c>
      <c r="S598" s="3272">
        <v>46.99</v>
      </c>
      <c r="T598" s="3273">
        <v>469900</v>
      </c>
      <c r="U598" s="3267">
        <v>5148</v>
      </c>
      <c r="V598" s="3274">
        <v>0.2</v>
      </c>
      <c r="W598" s="3272">
        <v>37.590000000000003</v>
      </c>
      <c r="X598" s="3275">
        <v>375900.00000000006</v>
      </c>
      <c r="Y598" s="3276">
        <v>2006</v>
      </c>
      <c r="Z598" s="3276">
        <v>6</v>
      </c>
      <c r="AA598" s="3276">
        <v>15</v>
      </c>
      <c r="AB598" s="3267">
        <v>1405</v>
      </c>
      <c r="AC598" s="3267" t="s">
        <v>2980</v>
      </c>
      <c r="AD598" s="3268"/>
      <c r="AE598" s="3267" t="s">
        <v>3304</v>
      </c>
      <c r="AF598" s="3268" t="s">
        <v>2966</v>
      </c>
      <c r="AG598" s="3268" t="s">
        <v>2967</v>
      </c>
      <c r="AH598" s="3268"/>
      <c r="AI598" s="3279" t="s">
        <v>2992</v>
      </c>
      <c r="AJ598" s="3290"/>
      <c r="AK598" s="3278" t="s">
        <v>3160</v>
      </c>
      <c r="AL598" s="3276">
        <v>67641700</v>
      </c>
      <c r="AM598" s="3276"/>
      <c r="AN598" s="3276" t="s">
        <v>3114</v>
      </c>
      <c r="AO598" s="3276"/>
      <c r="AP598" s="3279" t="s">
        <v>3305</v>
      </c>
      <c r="AQ598" s="3276" t="s">
        <v>3113</v>
      </c>
      <c r="AR598" s="3267"/>
      <c r="AS598" s="3267"/>
      <c r="AT598" s="3267"/>
      <c r="AU598" s="3267"/>
      <c r="AV598" s="3277"/>
      <c r="AW598" s="3306" t="s">
        <v>2997</v>
      </c>
      <c r="AX598" s="3268"/>
      <c r="AY598" s="3268"/>
      <c r="AZ598" s="3268" t="s">
        <v>7232</v>
      </c>
      <c r="BA598" s="3268"/>
      <c r="BB598" s="3280"/>
      <c r="BC598" s="3268"/>
      <c r="BD598" s="3268"/>
      <c r="BE598" s="3268">
        <v>13661304997</v>
      </c>
      <c r="BF598" s="3281"/>
      <c r="BG598" s="3307">
        <v>38808</v>
      </c>
      <c r="BH598" s="3368" t="s">
        <v>2998</v>
      </c>
      <c r="BI598" s="3276" t="s">
        <v>4230</v>
      </c>
      <c r="BJ598" s="3299">
        <v>38882</v>
      </c>
      <c r="BK598" s="3284"/>
      <c r="BL598" s="3267" t="s">
        <v>3249</v>
      </c>
      <c r="BM598" s="3267" t="s">
        <v>2879</v>
      </c>
      <c r="BN598" s="3276" t="s">
        <v>2999</v>
      </c>
      <c r="BO598" s="3267" t="s">
        <v>3146</v>
      </c>
      <c r="BP598" s="3276"/>
      <c r="BQ598" s="3276">
        <v>6484</v>
      </c>
      <c r="BR598" s="3276">
        <v>7589</v>
      </c>
      <c r="BS598" s="3285"/>
      <c r="BT598" s="3285"/>
      <c r="BU598" s="3285"/>
    </row>
    <row r="599" spans="1:243" hidden="1">
      <c r="A599" s="3267" t="s">
        <v>7233</v>
      </c>
      <c r="B599" s="3267" t="s">
        <v>7234</v>
      </c>
      <c r="C599" s="3269" t="s">
        <v>7235</v>
      </c>
      <c r="D599" s="3269">
        <v>13701135351</v>
      </c>
      <c r="E599" s="3268" t="s">
        <v>2985</v>
      </c>
      <c r="F599" s="3268" t="s">
        <v>3470</v>
      </c>
      <c r="G599" s="3267"/>
      <c r="H599" s="3268" t="s">
        <v>3194</v>
      </c>
      <c r="I599" s="3268"/>
      <c r="J599" s="3267" t="s">
        <v>7236</v>
      </c>
      <c r="K599" s="3267" t="s">
        <v>7237</v>
      </c>
      <c r="L599" s="3267">
        <v>85.41</v>
      </c>
      <c r="M599" s="3267">
        <v>24</v>
      </c>
      <c r="N599" s="3267" t="s">
        <v>3122</v>
      </c>
      <c r="O599" s="3267">
        <v>70.06</v>
      </c>
      <c r="P599" s="3267" t="s">
        <v>2963</v>
      </c>
      <c r="Q599" s="3271">
        <v>580000</v>
      </c>
      <c r="R599" s="3267">
        <v>6791</v>
      </c>
      <c r="S599" s="3272">
        <v>34.159999999999997</v>
      </c>
      <c r="T599" s="3273">
        <v>341599.99999999994</v>
      </c>
      <c r="U599" s="3267">
        <v>4000</v>
      </c>
      <c r="V599" s="3289">
        <v>0.2</v>
      </c>
      <c r="W599" s="3272">
        <v>27.32</v>
      </c>
      <c r="X599" s="3275">
        <v>273200</v>
      </c>
      <c r="Y599" s="3276">
        <v>2006</v>
      </c>
      <c r="Z599" s="3276">
        <v>7</v>
      </c>
      <c r="AA599" s="3276">
        <v>4</v>
      </c>
      <c r="AB599" s="3267">
        <v>1020</v>
      </c>
      <c r="AC599" s="3267" t="s">
        <v>2980</v>
      </c>
      <c r="AD599" s="3267"/>
      <c r="AE599" s="3279" t="s">
        <v>3180</v>
      </c>
      <c r="AF599" s="3268" t="s">
        <v>2966</v>
      </c>
      <c r="AG599" s="3279" t="s">
        <v>5571</v>
      </c>
      <c r="AH599" s="3267"/>
      <c r="AI599" s="3279" t="s">
        <v>2992</v>
      </c>
      <c r="AJ599" s="3284"/>
      <c r="AK599" s="3278">
        <v>7</v>
      </c>
      <c r="AL599" s="3276">
        <v>55</v>
      </c>
      <c r="AM599" s="3276"/>
      <c r="AN599" s="3279" t="s">
        <v>3099</v>
      </c>
      <c r="AO599" s="3267"/>
      <c r="AP599" s="3279" t="s">
        <v>3305</v>
      </c>
      <c r="AQ599" s="3276" t="s">
        <v>3113</v>
      </c>
      <c r="AR599" s="3276"/>
      <c r="AS599" s="3276"/>
      <c r="AT599" s="3276"/>
      <c r="AU599" s="3276"/>
      <c r="AV599" s="3276"/>
      <c r="AW599" s="3276" t="s">
        <v>2997</v>
      </c>
      <c r="AX599" s="3276"/>
      <c r="AY599" s="3291"/>
      <c r="AZ599" s="3267" t="s">
        <v>7237</v>
      </c>
      <c r="BA599" s="3296"/>
      <c r="BB599" s="3297"/>
      <c r="BC599" s="3296"/>
      <c r="BD599" s="3298"/>
      <c r="BE599" s="3276"/>
      <c r="BF599" s="3281"/>
      <c r="BG599" s="3293">
        <v>38874</v>
      </c>
      <c r="BH599" s="3267" t="s">
        <v>2998</v>
      </c>
      <c r="BI599" s="3314" t="s">
        <v>3305</v>
      </c>
      <c r="BJ599" s="3283">
        <v>38882</v>
      </c>
      <c r="BK599" s="3283"/>
      <c r="BL599" s="3267" t="s">
        <v>3249</v>
      </c>
      <c r="BM599" s="3276" t="s">
        <v>7238</v>
      </c>
      <c r="BN599" s="3276" t="s">
        <v>2999</v>
      </c>
      <c r="BO599" s="3276" t="s">
        <v>3146</v>
      </c>
      <c r="BP599" s="3276"/>
      <c r="BQ599" s="3276">
        <v>4876</v>
      </c>
      <c r="BR599" s="3276">
        <v>8279</v>
      </c>
      <c r="BS599" s="3285"/>
      <c r="BT599" s="3285"/>
      <c r="BU599" s="3285"/>
    </row>
    <row r="600" spans="1:243" hidden="1">
      <c r="A600" s="3267" t="s">
        <v>7239</v>
      </c>
      <c r="B600" s="3268" t="s">
        <v>5630</v>
      </c>
      <c r="C600" s="3269" t="s">
        <v>7240</v>
      </c>
      <c r="D600" s="3269" t="s">
        <v>7241</v>
      </c>
      <c r="E600" s="3268" t="s">
        <v>2985</v>
      </c>
      <c r="F600" s="3268" t="s">
        <v>5827</v>
      </c>
      <c r="G600" s="3268"/>
      <c r="H600" s="3268" t="s">
        <v>3225</v>
      </c>
      <c r="I600" s="3268" t="s">
        <v>3188</v>
      </c>
      <c r="J600" s="3268">
        <v>301</v>
      </c>
      <c r="K600" s="3268" t="s">
        <v>7242</v>
      </c>
      <c r="L600" s="3270">
        <v>53.57</v>
      </c>
      <c r="M600" s="3270">
        <v>3</v>
      </c>
      <c r="N600" s="3267" t="s">
        <v>3122</v>
      </c>
      <c r="O600" s="3270"/>
      <c r="P600" s="3268" t="s">
        <v>2963</v>
      </c>
      <c r="Q600" s="3271">
        <v>415000</v>
      </c>
      <c r="R600" s="3267">
        <v>7747</v>
      </c>
      <c r="S600" s="3272">
        <v>33.99</v>
      </c>
      <c r="T600" s="3273">
        <v>339900</v>
      </c>
      <c r="U600" s="3271">
        <v>6346</v>
      </c>
      <c r="V600" s="3289">
        <v>0.2</v>
      </c>
      <c r="W600" s="3272">
        <v>27.19</v>
      </c>
      <c r="X600" s="3273">
        <v>271900</v>
      </c>
      <c r="Y600" s="3276">
        <v>2006</v>
      </c>
      <c r="Z600" s="3276">
        <v>6</v>
      </c>
      <c r="AA600" s="3276">
        <v>28</v>
      </c>
      <c r="AB600" s="3267">
        <v>1015</v>
      </c>
      <c r="AC600" s="3267" t="s">
        <v>2980</v>
      </c>
      <c r="AD600" s="3268"/>
      <c r="AE600" s="3276" t="s">
        <v>2991</v>
      </c>
      <c r="AF600" s="3268" t="s">
        <v>2966</v>
      </c>
      <c r="AG600" s="3268" t="s">
        <v>2967</v>
      </c>
      <c r="AH600" s="3268"/>
      <c r="AI600" s="3267" t="s">
        <v>2992</v>
      </c>
      <c r="AJ600" s="3290"/>
      <c r="AK600" s="3278" t="s">
        <v>3160</v>
      </c>
      <c r="AL600" s="3276">
        <v>67641700</v>
      </c>
      <c r="AM600" s="3276"/>
      <c r="AN600" s="3279" t="s">
        <v>3099</v>
      </c>
      <c r="AO600" s="3276"/>
      <c r="AP600" s="3267" t="s">
        <v>2991</v>
      </c>
      <c r="AQ600" s="3267" t="s">
        <v>3228</v>
      </c>
      <c r="AR600" s="3267"/>
      <c r="AS600" s="3267"/>
      <c r="AT600" s="3267"/>
      <c r="AU600" s="3267"/>
      <c r="AV600" s="3277"/>
      <c r="AW600" s="3267" t="s">
        <v>3112</v>
      </c>
      <c r="AX600" s="3268"/>
      <c r="AY600" s="3268"/>
      <c r="AZ600" s="3268" t="s">
        <v>7242</v>
      </c>
      <c r="BA600" s="3268"/>
      <c r="BB600" s="3280"/>
      <c r="BC600" s="3268"/>
      <c r="BD600" s="3268"/>
      <c r="BE600" s="3268"/>
      <c r="BF600" s="3281"/>
      <c r="BG600" s="3307">
        <v>38882</v>
      </c>
      <c r="BH600" s="3268" t="s">
        <v>2998</v>
      </c>
      <c r="BI600" s="3267" t="s">
        <v>4230</v>
      </c>
      <c r="BJ600" s="3299">
        <v>38882</v>
      </c>
      <c r="BK600" s="3284"/>
      <c r="BL600" s="3267" t="s">
        <v>3249</v>
      </c>
      <c r="BM600" s="3267" t="s">
        <v>2879</v>
      </c>
      <c r="BN600" s="3276" t="s">
        <v>2999</v>
      </c>
      <c r="BO600" s="3267" t="s">
        <v>3446</v>
      </c>
      <c r="BP600" s="3276"/>
      <c r="BQ600" s="3276" t="e">
        <v>#DIV/0!</v>
      </c>
      <c r="BR600" s="3276" t="e">
        <v>#DIV/0!</v>
      </c>
      <c r="BS600" s="3285"/>
      <c r="BT600" s="3285"/>
      <c r="BU600" s="3285"/>
      <c r="BV600" s="3347"/>
      <c r="BW600" s="3347"/>
      <c r="BX600" s="3347"/>
      <c r="BY600" s="3347"/>
      <c r="BZ600" s="3347"/>
      <c r="CA600" s="3347"/>
      <c r="CB600" s="3347"/>
      <c r="CC600" s="3347"/>
      <c r="CD600" s="3347"/>
      <c r="CE600" s="3347"/>
      <c r="CF600" s="3347"/>
      <c r="CG600" s="3347"/>
      <c r="CH600" s="3347"/>
      <c r="CI600" s="3347"/>
      <c r="CJ600" s="3347"/>
      <c r="CK600" s="3347"/>
      <c r="CL600" s="3347"/>
      <c r="CM600" s="3347"/>
      <c r="CN600" s="3347"/>
      <c r="CO600" s="3347"/>
      <c r="CP600" s="3347"/>
      <c r="CQ600" s="3347"/>
      <c r="CR600" s="3347"/>
      <c r="CS600" s="3347"/>
      <c r="CT600" s="3347"/>
      <c r="CU600" s="3347"/>
      <c r="CV600" s="3347"/>
      <c r="CW600" s="3347"/>
      <c r="CX600" s="3347"/>
      <c r="CY600" s="3347"/>
      <c r="CZ600" s="3347"/>
      <c r="DA600" s="3347"/>
      <c r="DB600" s="3347"/>
      <c r="DC600" s="3347"/>
      <c r="DD600" s="3347"/>
      <c r="DE600" s="3347"/>
      <c r="DF600" s="3347"/>
      <c r="DG600" s="3347"/>
      <c r="DH600" s="3347"/>
      <c r="DI600" s="3347"/>
      <c r="DJ600" s="3347"/>
    </row>
    <row r="601" spans="1:243" hidden="1">
      <c r="A601" s="3267" t="s">
        <v>7243</v>
      </c>
      <c r="B601" s="3267" t="s">
        <v>7244</v>
      </c>
      <c r="C601" s="3269" t="s">
        <v>7245</v>
      </c>
      <c r="D601" s="3269" t="s">
        <v>7246</v>
      </c>
      <c r="E601" s="3268" t="s">
        <v>2985</v>
      </c>
      <c r="F601" s="3268" t="s">
        <v>4400</v>
      </c>
      <c r="G601" s="3267"/>
      <c r="H601" s="3267" t="s">
        <v>3263</v>
      </c>
      <c r="I601" s="3268"/>
      <c r="J601" s="3267" t="s">
        <v>7247</v>
      </c>
      <c r="K601" s="3267" t="s">
        <v>7248</v>
      </c>
      <c r="L601" s="3267">
        <v>75.58</v>
      </c>
      <c r="M601" s="3267">
        <v>16</v>
      </c>
      <c r="N601" s="3267" t="s">
        <v>3125</v>
      </c>
      <c r="O601" s="3267"/>
      <c r="P601" s="3267" t="s">
        <v>2963</v>
      </c>
      <c r="Q601" s="3271">
        <v>480000</v>
      </c>
      <c r="R601" s="3267">
        <v>6351</v>
      </c>
      <c r="S601" s="3272">
        <v>47.77</v>
      </c>
      <c r="T601" s="3273">
        <v>477700</v>
      </c>
      <c r="U601" s="3267">
        <v>6321</v>
      </c>
      <c r="V601" s="3289">
        <v>0.2</v>
      </c>
      <c r="W601" s="3272">
        <v>38.21</v>
      </c>
      <c r="X601" s="3275">
        <v>382100</v>
      </c>
      <c r="Y601" s="3276">
        <v>2006</v>
      </c>
      <c r="Z601" s="3276">
        <v>7</v>
      </c>
      <c r="AA601" s="3276">
        <v>4</v>
      </c>
      <c r="AB601" s="3267">
        <v>1430</v>
      </c>
      <c r="AC601" s="3267" t="s">
        <v>2980</v>
      </c>
      <c r="AD601" s="3267"/>
      <c r="AE601" s="3279" t="s">
        <v>2991</v>
      </c>
      <c r="AF601" s="3268"/>
      <c r="AG601" s="3279" t="s">
        <v>2967</v>
      </c>
      <c r="AH601" s="3267" t="s">
        <v>2968</v>
      </c>
      <c r="AI601" s="3279" t="s">
        <v>2992</v>
      </c>
      <c r="AJ601" s="3284"/>
      <c r="AK601" s="3278">
        <v>7</v>
      </c>
      <c r="AL601" s="3276">
        <v>50</v>
      </c>
      <c r="AM601" s="3267"/>
      <c r="AN601" s="3279" t="s">
        <v>3131</v>
      </c>
      <c r="AO601" s="3267" t="s">
        <v>7249</v>
      </c>
      <c r="AP601" s="3279" t="s">
        <v>2991</v>
      </c>
      <c r="AQ601" s="3267" t="s">
        <v>3228</v>
      </c>
      <c r="AR601" s="3267">
        <v>2006</v>
      </c>
      <c r="AS601" s="3267">
        <v>7</v>
      </c>
      <c r="AT601" s="3267">
        <v>4</v>
      </c>
      <c r="AU601" s="3276"/>
      <c r="AV601" s="3276" t="s">
        <v>2968</v>
      </c>
      <c r="AW601" s="3276" t="s">
        <v>2997</v>
      </c>
      <c r="AX601" s="3276"/>
      <c r="AY601" s="3291"/>
      <c r="AZ601" s="3267"/>
      <c r="BA601" s="3296"/>
      <c r="BB601" s="3297"/>
      <c r="BC601" s="3296"/>
      <c r="BD601" s="3298"/>
      <c r="BE601" s="3276"/>
      <c r="BF601" s="3281" t="s">
        <v>2968</v>
      </c>
      <c r="BG601" s="3293">
        <v>38883</v>
      </c>
      <c r="BH601" s="3267"/>
      <c r="BI601" s="3314" t="s">
        <v>2991</v>
      </c>
      <c r="BJ601" s="3283">
        <v>38897</v>
      </c>
      <c r="BK601" s="3283"/>
      <c r="BL601" s="3267" t="s">
        <v>3249</v>
      </c>
      <c r="BM601" s="3276"/>
      <c r="BN601" s="3276" t="s">
        <v>2999</v>
      </c>
      <c r="BO601" s="3276" t="s">
        <v>3146</v>
      </c>
      <c r="BP601" s="3276"/>
      <c r="BQ601" s="3276" t="e">
        <v>#DIV/0!</v>
      </c>
      <c r="BR601" s="3276" t="e">
        <v>#DIV/0!</v>
      </c>
      <c r="BS601" s="3285"/>
      <c r="BT601" s="3285"/>
      <c r="BU601" s="3285"/>
    </row>
    <row r="602" spans="1:243" hidden="1">
      <c r="A602" s="3267" t="s">
        <v>7250</v>
      </c>
      <c r="B602" s="3267" t="s">
        <v>7251</v>
      </c>
      <c r="C602" s="3269" t="s">
        <v>7252</v>
      </c>
      <c r="D602" s="3269" t="s">
        <v>7253</v>
      </c>
      <c r="E602" s="3268" t="s">
        <v>2985</v>
      </c>
      <c r="F602" s="3268" t="s">
        <v>4165</v>
      </c>
      <c r="G602" s="3267"/>
      <c r="H602" s="3267" t="s">
        <v>3263</v>
      </c>
      <c r="I602" s="3268" t="s">
        <v>3190</v>
      </c>
      <c r="J602" s="3268" t="s">
        <v>3123</v>
      </c>
      <c r="K602" s="3267" t="s">
        <v>7254</v>
      </c>
      <c r="L602" s="3267">
        <v>97.11</v>
      </c>
      <c r="M602" s="3267">
        <v>4</v>
      </c>
      <c r="N602" s="3267" t="s">
        <v>3122</v>
      </c>
      <c r="O602" s="3267">
        <v>71.930000000000007</v>
      </c>
      <c r="P602" s="3267" t="s">
        <v>2963</v>
      </c>
      <c r="Q602" s="3271">
        <v>543816</v>
      </c>
      <c r="R602" s="3267">
        <v>5600</v>
      </c>
      <c r="S602" s="3272">
        <v>60.68</v>
      </c>
      <c r="T602" s="3273">
        <v>606800</v>
      </c>
      <c r="U602" s="3267">
        <v>6249</v>
      </c>
      <c r="V602" s="3289">
        <v>0.3</v>
      </c>
      <c r="W602" s="3272">
        <v>42.47</v>
      </c>
      <c r="X602" s="3275">
        <v>424700</v>
      </c>
      <c r="Y602" s="3276">
        <v>2006</v>
      </c>
      <c r="Z602" s="3276">
        <v>8</v>
      </c>
      <c r="AA602" s="3276">
        <v>1</v>
      </c>
      <c r="AB602" s="3267">
        <v>1500</v>
      </c>
      <c r="AC602" s="3267" t="s">
        <v>2980</v>
      </c>
      <c r="AD602" s="3366">
        <v>91302006071666</v>
      </c>
      <c r="AE602" s="3279" t="s">
        <v>2991</v>
      </c>
      <c r="AF602" s="3268"/>
      <c r="AG602" s="3267" t="s">
        <v>2967</v>
      </c>
      <c r="AH602" s="3267"/>
      <c r="AI602" s="3279" t="s">
        <v>2992</v>
      </c>
      <c r="AJ602" s="3284"/>
      <c r="AK602" s="3278">
        <v>8</v>
      </c>
      <c r="AL602" s="3276">
        <v>56</v>
      </c>
      <c r="AM602" s="3276"/>
      <c r="AN602" s="3279" t="s">
        <v>3131</v>
      </c>
      <c r="AO602" s="3267" t="s">
        <v>7255</v>
      </c>
      <c r="AP602" s="3279" t="s">
        <v>2991</v>
      </c>
      <c r="AQ602" s="3276" t="s">
        <v>3113</v>
      </c>
      <c r="AR602" s="3276"/>
      <c r="AS602" s="3276"/>
      <c r="AT602" s="3276"/>
      <c r="AU602" s="3276"/>
      <c r="AV602" s="3276"/>
      <c r="AW602" s="3276" t="s">
        <v>2997</v>
      </c>
      <c r="AX602" s="3276"/>
      <c r="AY602" s="3291"/>
      <c r="AZ602" s="3267" t="s">
        <v>7254</v>
      </c>
      <c r="BA602" s="3296"/>
      <c r="BB602" s="3297"/>
      <c r="BC602" s="3296"/>
      <c r="BD602" s="3298"/>
      <c r="BE602" s="3276"/>
      <c r="BF602" s="3281"/>
      <c r="BG602" s="3293">
        <v>38883</v>
      </c>
      <c r="BH602" s="3267"/>
      <c r="BI602" s="3267" t="s">
        <v>2991</v>
      </c>
      <c r="BJ602" s="3299">
        <v>38926</v>
      </c>
      <c r="BK602" s="3283" t="s">
        <v>2968</v>
      </c>
      <c r="BL602" s="3267"/>
      <c r="BM602" s="3276" t="s">
        <v>3128</v>
      </c>
      <c r="BN602" s="3276" t="s">
        <v>2999</v>
      </c>
      <c r="BO602" s="3276" t="s">
        <v>3146</v>
      </c>
      <c r="BP602" s="3276"/>
      <c r="BQ602" s="3276">
        <v>8436</v>
      </c>
      <c r="BR602" s="3276">
        <v>7560</v>
      </c>
      <c r="BS602" s="3285"/>
      <c r="BT602" s="3285"/>
      <c r="BU602" s="3285"/>
      <c r="BW602" s="3262" t="s">
        <v>3262</v>
      </c>
      <c r="BX602" s="3262" t="s">
        <v>3262</v>
      </c>
      <c r="BY602" s="3262" t="s">
        <v>3262</v>
      </c>
      <c r="BZ602" s="3262" t="s">
        <v>3262</v>
      </c>
      <c r="CA602" s="3262" t="s">
        <v>3262</v>
      </c>
      <c r="CB602" s="3262" t="s">
        <v>3262</v>
      </c>
      <c r="CC602" s="3262" t="s">
        <v>3262</v>
      </c>
      <c r="CD602" s="3262" t="s">
        <v>3262</v>
      </c>
      <c r="CE602" s="3262" t="s">
        <v>3262</v>
      </c>
      <c r="CF602" s="3262" t="s">
        <v>3262</v>
      </c>
      <c r="CG602" s="3262" t="s">
        <v>3262</v>
      </c>
      <c r="CH602" s="3262" t="s">
        <v>3262</v>
      </c>
      <c r="CI602" s="3262" t="s">
        <v>3262</v>
      </c>
      <c r="CJ602" s="3262" t="s">
        <v>3262</v>
      </c>
      <c r="CK602" s="3262" t="s">
        <v>3262</v>
      </c>
      <c r="CL602" s="3262" t="s">
        <v>3262</v>
      </c>
      <c r="CM602" s="3262" t="s">
        <v>3262</v>
      </c>
      <c r="CN602" s="3262" t="s">
        <v>3262</v>
      </c>
      <c r="CO602" s="3262" t="s">
        <v>3262</v>
      </c>
      <c r="CP602" s="3262" t="s">
        <v>3262</v>
      </c>
      <c r="CQ602" s="3262" t="s">
        <v>3262</v>
      </c>
      <c r="CR602" s="3262" t="s">
        <v>3262</v>
      </c>
      <c r="CS602" s="3262" t="s">
        <v>3262</v>
      </c>
      <c r="CT602" s="3262" t="s">
        <v>3262</v>
      </c>
      <c r="CU602" s="3262" t="s">
        <v>3262</v>
      </c>
      <c r="CV602" s="3262" t="s">
        <v>3262</v>
      </c>
      <c r="CW602" s="3262" t="s">
        <v>3262</v>
      </c>
      <c r="CX602" s="3262" t="s">
        <v>3262</v>
      </c>
      <c r="CY602" s="3262" t="s">
        <v>3262</v>
      </c>
      <c r="CZ602" s="3262" t="s">
        <v>3262</v>
      </c>
      <c r="DA602" s="3262" t="s">
        <v>3262</v>
      </c>
      <c r="DB602" s="3262" t="s">
        <v>3262</v>
      </c>
      <c r="DC602" s="3262" t="s">
        <v>3262</v>
      </c>
      <c r="DD602" s="3262" t="s">
        <v>3262</v>
      </c>
      <c r="DE602" s="3262" t="s">
        <v>3262</v>
      </c>
      <c r="DF602" s="3262" t="s">
        <v>3262</v>
      </c>
      <c r="DG602" s="3262" t="s">
        <v>3262</v>
      </c>
      <c r="DH602" s="3262" t="s">
        <v>3262</v>
      </c>
      <c r="DI602" s="3262" t="s">
        <v>3262</v>
      </c>
      <c r="DJ602" s="3262" t="s">
        <v>3262</v>
      </c>
      <c r="DK602" s="3262" t="s">
        <v>3262</v>
      </c>
      <c r="DL602" s="3262" t="s">
        <v>3262</v>
      </c>
      <c r="DM602" s="3262" t="s">
        <v>3262</v>
      </c>
      <c r="DN602" s="3262" t="s">
        <v>3262</v>
      </c>
      <c r="DO602" s="3262" t="s">
        <v>3262</v>
      </c>
      <c r="DP602" s="3262" t="s">
        <v>3262</v>
      </c>
      <c r="DQ602" s="3262" t="s">
        <v>3262</v>
      </c>
      <c r="DR602" s="3262" t="s">
        <v>3262</v>
      </c>
      <c r="DS602" s="3262" t="s">
        <v>3262</v>
      </c>
      <c r="DT602" s="3262" t="s">
        <v>3262</v>
      </c>
      <c r="DU602" s="3262" t="s">
        <v>3262</v>
      </c>
      <c r="DV602" s="3262" t="s">
        <v>3262</v>
      </c>
      <c r="DW602" s="3262" t="s">
        <v>3262</v>
      </c>
      <c r="DX602" s="3262" t="s">
        <v>3262</v>
      </c>
      <c r="DY602" s="3262" t="s">
        <v>3262</v>
      </c>
      <c r="DZ602" s="3262" t="s">
        <v>3262</v>
      </c>
      <c r="EA602" s="3262" t="s">
        <v>3262</v>
      </c>
      <c r="EB602" s="3262" t="s">
        <v>3262</v>
      </c>
      <c r="EC602" s="3262" t="s">
        <v>3262</v>
      </c>
      <c r="ED602" s="3262" t="s">
        <v>3262</v>
      </c>
      <c r="EE602" s="3262" t="s">
        <v>3262</v>
      </c>
      <c r="EF602" s="3262" t="s">
        <v>3262</v>
      </c>
      <c r="EG602" s="3262" t="s">
        <v>3262</v>
      </c>
      <c r="EH602" s="3262" t="s">
        <v>3262</v>
      </c>
      <c r="EI602" s="3262" t="s">
        <v>3262</v>
      </c>
      <c r="EJ602" s="3262" t="s">
        <v>3262</v>
      </c>
      <c r="EK602" s="3262" t="s">
        <v>3262</v>
      </c>
      <c r="EL602" s="3262" t="s">
        <v>3262</v>
      </c>
      <c r="EM602" s="3262" t="s">
        <v>3262</v>
      </c>
      <c r="EN602" s="3262" t="s">
        <v>3262</v>
      </c>
      <c r="EO602" s="3262" t="s">
        <v>3262</v>
      </c>
      <c r="EP602" s="3262" t="s">
        <v>3262</v>
      </c>
      <c r="EQ602" s="3262" t="s">
        <v>3262</v>
      </c>
      <c r="ER602" s="3262" t="s">
        <v>3262</v>
      </c>
      <c r="ES602" s="3262" t="s">
        <v>3262</v>
      </c>
      <c r="ET602" s="3262" t="s">
        <v>3262</v>
      </c>
      <c r="EU602" s="3262" t="s">
        <v>3262</v>
      </c>
      <c r="EV602" s="3262" t="s">
        <v>3262</v>
      </c>
      <c r="EW602" s="3262" t="s">
        <v>3262</v>
      </c>
      <c r="EX602" s="3262" t="s">
        <v>3262</v>
      </c>
      <c r="EY602" s="3262" t="s">
        <v>3262</v>
      </c>
      <c r="EZ602" s="3262" t="s">
        <v>3262</v>
      </c>
      <c r="FA602" s="3262" t="s">
        <v>3262</v>
      </c>
      <c r="FB602" s="3262" t="s">
        <v>3262</v>
      </c>
      <c r="FC602" s="3262" t="s">
        <v>3262</v>
      </c>
      <c r="FD602" s="3262" t="s">
        <v>3262</v>
      </c>
      <c r="FE602" s="3262" t="s">
        <v>3262</v>
      </c>
      <c r="FF602" s="3262" t="s">
        <v>3262</v>
      </c>
      <c r="FG602" s="3262" t="s">
        <v>3262</v>
      </c>
      <c r="FH602" s="3262" t="s">
        <v>3262</v>
      </c>
      <c r="FI602" s="3262" t="s">
        <v>3262</v>
      </c>
      <c r="FJ602" s="3262" t="s">
        <v>3262</v>
      </c>
      <c r="FK602" s="3262" t="s">
        <v>3262</v>
      </c>
      <c r="FL602" s="3262" t="s">
        <v>3262</v>
      </c>
      <c r="FM602" s="3262" t="s">
        <v>3262</v>
      </c>
      <c r="FN602" s="3262" t="s">
        <v>3262</v>
      </c>
      <c r="FO602" s="3262" t="s">
        <v>3262</v>
      </c>
      <c r="FP602" s="3262" t="s">
        <v>3262</v>
      </c>
      <c r="FQ602" s="3262" t="s">
        <v>3262</v>
      </c>
      <c r="FR602" s="3262" t="s">
        <v>3262</v>
      </c>
      <c r="FS602" s="3262" t="s">
        <v>3262</v>
      </c>
      <c r="FT602" s="3262" t="s">
        <v>3262</v>
      </c>
      <c r="FU602" s="3262" t="s">
        <v>3262</v>
      </c>
      <c r="FV602" s="3262" t="s">
        <v>3262</v>
      </c>
      <c r="FW602" s="3262" t="s">
        <v>3262</v>
      </c>
      <c r="FX602" s="3262" t="s">
        <v>3262</v>
      </c>
      <c r="FY602" s="3262" t="s">
        <v>3262</v>
      </c>
      <c r="FZ602" s="3262" t="s">
        <v>3262</v>
      </c>
      <c r="GA602" s="3262" t="s">
        <v>3262</v>
      </c>
      <c r="GB602" s="3262" t="s">
        <v>3262</v>
      </c>
      <c r="GC602" s="3262" t="s">
        <v>3262</v>
      </c>
      <c r="GD602" s="3262" t="s">
        <v>3262</v>
      </c>
      <c r="GE602" s="3262" t="s">
        <v>3262</v>
      </c>
      <c r="GF602" s="3262" t="s">
        <v>3262</v>
      </c>
      <c r="GG602" s="3262" t="s">
        <v>3262</v>
      </c>
      <c r="GH602" s="3262" t="s">
        <v>3262</v>
      </c>
      <c r="GI602" s="3262" t="s">
        <v>3262</v>
      </c>
      <c r="GJ602" s="3262" t="s">
        <v>3262</v>
      </c>
      <c r="GK602" s="3262" t="s">
        <v>3262</v>
      </c>
      <c r="GL602" s="3262" t="s">
        <v>3262</v>
      </c>
      <c r="GM602" s="3262" t="s">
        <v>3262</v>
      </c>
      <c r="GN602" s="3262" t="s">
        <v>3262</v>
      </c>
      <c r="GO602" s="3262" t="s">
        <v>3262</v>
      </c>
      <c r="GP602" s="3262" t="s">
        <v>3262</v>
      </c>
      <c r="GQ602" s="3262" t="s">
        <v>3262</v>
      </c>
      <c r="GR602" s="3262" t="s">
        <v>3262</v>
      </c>
      <c r="GS602" s="3262" t="s">
        <v>3262</v>
      </c>
      <c r="GT602" s="3262" t="s">
        <v>3262</v>
      </c>
      <c r="GU602" s="3262" t="s">
        <v>3262</v>
      </c>
      <c r="GV602" s="3262" t="s">
        <v>3262</v>
      </c>
      <c r="GW602" s="3262" t="s">
        <v>3262</v>
      </c>
      <c r="GX602" s="3262" t="s">
        <v>3262</v>
      </c>
      <c r="GY602" s="3262" t="s">
        <v>3262</v>
      </c>
      <c r="GZ602" s="3262" t="s">
        <v>3262</v>
      </c>
      <c r="HA602" s="3262" t="s">
        <v>3262</v>
      </c>
      <c r="HB602" s="3262" t="s">
        <v>3262</v>
      </c>
      <c r="HC602" s="3262" t="s">
        <v>3262</v>
      </c>
      <c r="HD602" s="3262" t="s">
        <v>3262</v>
      </c>
      <c r="HE602" s="3262" t="s">
        <v>3262</v>
      </c>
      <c r="HF602" s="3262" t="s">
        <v>3262</v>
      </c>
      <c r="HG602" s="3262" t="s">
        <v>3262</v>
      </c>
      <c r="HH602" s="3262" t="s">
        <v>3262</v>
      </c>
      <c r="HI602" s="3262" t="s">
        <v>3262</v>
      </c>
      <c r="HJ602" s="3262" t="s">
        <v>3262</v>
      </c>
      <c r="HK602" s="3262" t="s">
        <v>3262</v>
      </c>
      <c r="HL602" s="3262" t="s">
        <v>3262</v>
      </c>
      <c r="HM602" s="3262" t="s">
        <v>3262</v>
      </c>
      <c r="HN602" s="3262" t="s">
        <v>3262</v>
      </c>
      <c r="HO602" s="3262" t="s">
        <v>3262</v>
      </c>
      <c r="HP602" s="3262" t="s">
        <v>3262</v>
      </c>
      <c r="HQ602" s="3262" t="s">
        <v>3262</v>
      </c>
      <c r="HR602" s="3262" t="s">
        <v>3262</v>
      </c>
      <c r="HS602" s="3262" t="s">
        <v>3262</v>
      </c>
      <c r="HT602" s="3262" t="s">
        <v>3262</v>
      </c>
      <c r="HU602" s="3262" t="s">
        <v>3262</v>
      </c>
      <c r="HV602" s="3262" t="s">
        <v>3262</v>
      </c>
      <c r="HW602" s="3262" t="s">
        <v>3262</v>
      </c>
      <c r="HX602" s="3262" t="s">
        <v>3262</v>
      </c>
      <c r="HY602" s="3262" t="s">
        <v>3262</v>
      </c>
      <c r="HZ602" s="3262" t="s">
        <v>3262</v>
      </c>
      <c r="IA602" s="3262" t="s">
        <v>3262</v>
      </c>
      <c r="IB602" s="3262" t="s">
        <v>3262</v>
      </c>
      <c r="IC602" s="3262" t="s">
        <v>3262</v>
      </c>
      <c r="ID602" s="3262" t="s">
        <v>3262</v>
      </c>
      <c r="IE602" s="3262" t="s">
        <v>3262</v>
      </c>
      <c r="IF602" s="3262" t="s">
        <v>3262</v>
      </c>
      <c r="IG602" s="3262" t="s">
        <v>3262</v>
      </c>
      <c r="IH602" s="3262" t="s">
        <v>3262</v>
      </c>
      <c r="II602" s="3262" t="s">
        <v>3262</v>
      </c>
    </row>
    <row r="603" spans="1:243" hidden="1">
      <c r="A603" s="3267" t="s">
        <v>7256</v>
      </c>
      <c r="B603" s="3267" t="s">
        <v>7257</v>
      </c>
      <c r="C603" s="3269" t="s">
        <v>7258</v>
      </c>
      <c r="D603" s="3267">
        <v>13521714572</v>
      </c>
      <c r="E603" s="3267" t="s">
        <v>2985</v>
      </c>
      <c r="F603" s="3267" t="s">
        <v>7259</v>
      </c>
      <c r="G603" s="3267"/>
      <c r="H603" s="3267" t="s">
        <v>3411</v>
      </c>
      <c r="I603" s="3267"/>
      <c r="J603" s="3267" t="s">
        <v>7260</v>
      </c>
      <c r="K603" s="3268" t="s">
        <v>7261</v>
      </c>
      <c r="L603" s="3267">
        <v>62.53</v>
      </c>
      <c r="M603" s="3267">
        <v>3</v>
      </c>
      <c r="N603" s="3267" t="s">
        <v>3125</v>
      </c>
      <c r="O603" s="3267"/>
      <c r="P603" s="3267" t="s">
        <v>2963</v>
      </c>
      <c r="Q603" s="3267">
        <v>360000</v>
      </c>
      <c r="R603" s="3267">
        <v>5757</v>
      </c>
      <c r="S603" s="3272">
        <v>29.65</v>
      </c>
      <c r="T603" s="3273">
        <v>296500</v>
      </c>
      <c r="U603" s="3267">
        <v>4742</v>
      </c>
      <c r="V603" s="3274">
        <v>0.2</v>
      </c>
      <c r="W603" s="3272">
        <v>23.72</v>
      </c>
      <c r="X603" s="3275">
        <v>237200</v>
      </c>
      <c r="Y603" s="3267">
        <v>2006</v>
      </c>
      <c r="Z603" s="3267">
        <v>6</v>
      </c>
      <c r="AA603" s="3276">
        <v>21</v>
      </c>
      <c r="AB603" s="3267">
        <v>885</v>
      </c>
      <c r="AC603" s="3267" t="s">
        <v>2980</v>
      </c>
      <c r="AD603" s="3267"/>
      <c r="AE603" s="3276" t="s">
        <v>2991</v>
      </c>
      <c r="AF603" s="3267" t="s">
        <v>2966</v>
      </c>
      <c r="AG603" s="3267" t="s">
        <v>2967</v>
      </c>
      <c r="AH603" s="3267"/>
      <c r="AI603" s="3267" t="s">
        <v>2992</v>
      </c>
      <c r="AJ603" s="3284"/>
      <c r="AK603" s="3278">
        <v>6</v>
      </c>
      <c r="AL603" s="3267">
        <v>82253558</v>
      </c>
      <c r="AM603" s="3267"/>
      <c r="AN603" s="3267" t="s">
        <v>2994</v>
      </c>
      <c r="AO603" s="3267"/>
      <c r="AP603" s="3267" t="s">
        <v>2991</v>
      </c>
      <c r="AQ603" s="3267" t="s">
        <v>3228</v>
      </c>
      <c r="AR603" s="3267">
        <v>2006</v>
      </c>
      <c r="AS603" s="3267">
        <v>6</v>
      </c>
      <c r="AT603" s="3267">
        <v>21</v>
      </c>
      <c r="AU603" s="3267"/>
      <c r="AV603" s="3267"/>
      <c r="AW603" s="3267" t="s">
        <v>2997</v>
      </c>
      <c r="AX603" s="3267"/>
      <c r="AY603" s="3269"/>
      <c r="AZ603" s="3267" t="s">
        <v>7261</v>
      </c>
      <c r="BA603" s="3267"/>
      <c r="BB603" s="3267"/>
      <c r="BC603" s="3267"/>
      <c r="BD603" s="3267"/>
      <c r="BE603" s="3267">
        <v>67383530</v>
      </c>
      <c r="BF603" s="3267"/>
      <c r="BG603" s="3307">
        <v>38881</v>
      </c>
      <c r="BH603" s="3267"/>
      <c r="BI603" s="3267" t="s">
        <v>2991</v>
      </c>
      <c r="BJ603" s="3283">
        <v>38883</v>
      </c>
      <c r="BK603" s="3283"/>
      <c r="BL603" s="3267" t="s">
        <v>2998</v>
      </c>
      <c r="BM603" s="3267" t="s">
        <v>2879</v>
      </c>
      <c r="BN603" s="3267" t="s">
        <v>2999</v>
      </c>
      <c r="BO603" s="3267" t="s">
        <v>3000</v>
      </c>
      <c r="BP603" s="3267"/>
      <c r="BQ603" s="3276" t="e">
        <v>#DIV/0!</v>
      </c>
      <c r="BR603" s="3276" t="e">
        <v>#DIV/0!</v>
      </c>
      <c r="BS603" s="3285"/>
      <c r="BT603" s="3285"/>
      <c r="BU603" s="3285"/>
      <c r="BV603" s="3370"/>
      <c r="BW603" s="3370"/>
      <c r="BX603" s="3370"/>
      <c r="BY603" s="3370"/>
      <c r="BZ603" s="3370"/>
      <c r="CA603" s="3370"/>
      <c r="CB603" s="3370"/>
      <c r="CC603" s="3370"/>
      <c r="CD603" s="3370"/>
      <c r="CE603" s="3370"/>
      <c r="CF603" s="3370"/>
      <c r="CG603" s="3370"/>
      <c r="CH603" s="3370"/>
      <c r="CI603" s="3370"/>
      <c r="CJ603" s="3370"/>
      <c r="CK603" s="3370"/>
      <c r="CL603" s="3370"/>
      <c r="CM603" s="3370"/>
      <c r="CN603" s="3370"/>
      <c r="CO603" s="3370"/>
      <c r="CP603" s="3370"/>
      <c r="CQ603" s="3370"/>
      <c r="CR603" s="3370"/>
      <c r="CS603" s="3370"/>
      <c r="CT603" s="3370"/>
      <c r="CU603" s="3370"/>
      <c r="CV603" s="3370"/>
      <c r="CW603" s="3370"/>
      <c r="CX603" s="3370"/>
      <c r="CY603" s="3370"/>
      <c r="CZ603" s="3370"/>
      <c r="DA603" s="3370"/>
      <c r="DB603" s="3370"/>
      <c r="DC603" s="3370"/>
      <c r="DD603" s="3370"/>
      <c r="DE603" s="3370"/>
      <c r="DF603" s="3370"/>
      <c r="DG603" s="3370"/>
      <c r="DH603" s="3370"/>
      <c r="DI603" s="3370"/>
      <c r="DJ603" s="3370"/>
    </row>
    <row r="604" spans="1:243" hidden="1">
      <c r="A604" s="3267" t="s">
        <v>7262</v>
      </c>
      <c r="B604" s="3267" t="s">
        <v>7263</v>
      </c>
      <c r="C604" s="3269" t="s">
        <v>7264</v>
      </c>
      <c r="D604" s="3267">
        <v>13716295572</v>
      </c>
      <c r="E604" s="3267" t="s">
        <v>2985</v>
      </c>
      <c r="F604" s="3267" t="s">
        <v>3829</v>
      </c>
      <c r="G604" s="3267"/>
      <c r="H604" s="3267" t="s">
        <v>3150</v>
      </c>
      <c r="I604" s="3267"/>
      <c r="J604" s="3267" t="s">
        <v>7265</v>
      </c>
      <c r="K604" s="3268" t="s">
        <v>7266</v>
      </c>
      <c r="L604" s="3267">
        <v>62.05</v>
      </c>
      <c r="M604" s="3267">
        <v>2</v>
      </c>
      <c r="N604" s="3267" t="s">
        <v>3122</v>
      </c>
      <c r="O604" s="3267"/>
      <c r="P604" s="3267" t="s">
        <v>2963</v>
      </c>
      <c r="Q604" s="3267">
        <v>560000</v>
      </c>
      <c r="R604" s="3267">
        <v>9025</v>
      </c>
      <c r="S604" s="3272">
        <v>45.83</v>
      </c>
      <c r="T604" s="3273">
        <v>458300</v>
      </c>
      <c r="U604" s="3267">
        <v>7386</v>
      </c>
      <c r="V604" s="3274">
        <v>0.2</v>
      </c>
      <c r="W604" s="3272">
        <v>36.659999999999997</v>
      </c>
      <c r="X604" s="3275">
        <v>366600</v>
      </c>
      <c r="Y604" s="3267">
        <v>2006</v>
      </c>
      <c r="Z604" s="3267">
        <v>6</v>
      </c>
      <c r="AA604" s="3276">
        <v>21</v>
      </c>
      <c r="AB604" s="3267">
        <v>1370</v>
      </c>
      <c r="AC604" s="3267" t="s">
        <v>2980</v>
      </c>
      <c r="AD604" s="3267"/>
      <c r="AE604" s="3276" t="s">
        <v>2991</v>
      </c>
      <c r="AF604" s="3267" t="s">
        <v>2966</v>
      </c>
      <c r="AG604" s="3267" t="s">
        <v>2967</v>
      </c>
      <c r="AH604" s="3267"/>
      <c r="AI604" s="3267" t="s">
        <v>2992</v>
      </c>
      <c r="AJ604" s="3284"/>
      <c r="AK604" s="3278">
        <v>6</v>
      </c>
      <c r="AL604" s="3267">
        <v>82253558</v>
      </c>
      <c r="AM604" s="3267"/>
      <c r="AN604" s="3267" t="s">
        <v>2994</v>
      </c>
      <c r="AO604" s="3267"/>
      <c r="AP604" s="3267" t="s">
        <v>2991</v>
      </c>
      <c r="AQ604" s="3267" t="s">
        <v>3228</v>
      </c>
      <c r="AR604" s="3267">
        <v>2006</v>
      </c>
      <c r="AS604" s="3267">
        <v>6</v>
      </c>
      <c r="AT604" s="3267">
        <v>21</v>
      </c>
      <c r="AU604" s="3267"/>
      <c r="AV604" s="3267"/>
      <c r="AW604" s="3267" t="s">
        <v>2997</v>
      </c>
      <c r="AX604" s="3267"/>
      <c r="AY604" s="3269"/>
      <c r="AZ604" s="3267"/>
      <c r="BA604" s="3267"/>
      <c r="BB604" s="3267"/>
      <c r="BC604" s="3267"/>
      <c r="BD604" s="3267"/>
      <c r="BE604" s="3267"/>
      <c r="BF604" s="3267"/>
      <c r="BG604" s="3307">
        <v>38883</v>
      </c>
      <c r="BH604" s="3267"/>
      <c r="BI604" s="3267" t="s">
        <v>2991</v>
      </c>
      <c r="BJ604" s="3283">
        <v>38883</v>
      </c>
      <c r="BK604" s="3283"/>
      <c r="BL604" s="3267" t="s">
        <v>2998</v>
      </c>
      <c r="BM604" s="3267" t="s">
        <v>2879</v>
      </c>
      <c r="BN604" s="3267" t="s">
        <v>2999</v>
      </c>
      <c r="BO604" s="3267" t="s">
        <v>3000</v>
      </c>
      <c r="BP604" s="3267"/>
      <c r="BQ604" s="3276" t="e">
        <v>#DIV/0!</v>
      </c>
      <c r="BR604" s="3276" t="e">
        <v>#DIV/0!</v>
      </c>
      <c r="BS604" s="3285"/>
      <c r="BT604" s="3285"/>
      <c r="BU604" s="3285"/>
      <c r="BV604" s="3370"/>
      <c r="BW604" s="3370"/>
      <c r="BX604" s="3370"/>
      <c r="BY604" s="3370"/>
      <c r="BZ604" s="3370"/>
      <c r="CA604" s="3370"/>
      <c r="CB604" s="3370"/>
      <c r="CC604" s="3370"/>
      <c r="CD604" s="3370"/>
      <c r="CE604" s="3370"/>
      <c r="CF604" s="3370"/>
      <c r="CG604" s="3370"/>
      <c r="CH604" s="3370"/>
      <c r="CI604" s="3370"/>
      <c r="CJ604" s="3370"/>
      <c r="CK604" s="3370"/>
      <c r="CL604" s="3370"/>
      <c r="CM604" s="3370"/>
      <c r="CN604" s="3370"/>
      <c r="CO604" s="3370"/>
      <c r="CP604" s="3370"/>
      <c r="CQ604" s="3370"/>
      <c r="CR604" s="3370"/>
      <c r="CS604" s="3370"/>
      <c r="CT604" s="3370"/>
      <c r="CU604" s="3370"/>
      <c r="CV604" s="3370"/>
      <c r="CW604" s="3370"/>
      <c r="CX604" s="3370"/>
      <c r="CY604" s="3370"/>
      <c r="CZ604" s="3370"/>
      <c r="DA604" s="3370"/>
      <c r="DB604" s="3370"/>
      <c r="DC604" s="3370"/>
      <c r="DD604" s="3370"/>
      <c r="DE604" s="3370"/>
      <c r="DF604" s="3370"/>
      <c r="DG604" s="3370"/>
      <c r="DH604" s="3370"/>
      <c r="DI604" s="3370"/>
      <c r="DJ604" s="3370"/>
    </row>
    <row r="605" spans="1:243" hidden="1">
      <c r="A605" s="3267" t="s">
        <v>7267</v>
      </c>
      <c r="B605" s="3267" t="s">
        <v>7268</v>
      </c>
      <c r="C605" s="3269" t="s">
        <v>7269</v>
      </c>
      <c r="D605" s="3269" t="s">
        <v>7270</v>
      </c>
      <c r="E605" s="3268" t="s">
        <v>2985</v>
      </c>
      <c r="F605" s="3268" t="s">
        <v>4884</v>
      </c>
      <c r="G605" s="3267"/>
      <c r="H605" s="3268" t="s">
        <v>7271</v>
      </c>
      <c r="I605" s="3268" t="s">
        <v>3318</v>
      </c>
      <c r="J605" s="3267" t="s">
        <v>3301</v>
      </c>
      <c r="K605" s="3267" t="s">
        <v>7272</v>
      </c>
      <c r="L605" s="3267">
        <v>98.77</v>
      </c>
      <c r="M605" s="3267">
        <v>5</v>
      </c>
      <c r="N605" s="3267" t="s">
        <v>3116</v>
      </c>
      <c r="O605" s="3267">
        <v>88.6</v>
      </c>
      <c r="P605" s="3267" t="s">
        <v>2963</v>
      </c>
      <c r="Q605" s="3271">
        <v>500000</v>
      </c>
      <c r="R605" s="3267">
        <v>5062</v>
      </c>
      <c r="S605" s="3272">
        <v>57.13</v>
      </c>
      <c r="T605" s="3273">
        <v>571300</v>
      </c>
      <c r="U605" s="3267">
        <v>5785</v>
      </c>
      <c r="V605" s="3289">
        <v>0.2</v>
      </c>
      <c r="W605" s="3272">
        <v>45.7</v>
      </c>
      <c r="X605" s="3275">
        <v>457000</v>
      </c>
      <c r="Y605" s="3276">
        <v>2006</v>
      </c>
      <c r="Z605" s="3276">
        <v>6</v>
      </c>
      <c r="AA605" s="3276">
        <v>26</v>
      </c>
      <c r="AB605" s="3267">
        <v>1500</v>
      </c>
      <c r="AC605" s="3267" t="s">
        <v>2980</v>
      </c>
      <c r="AD605" s="3267"/>
      <c r="AE605" s="3279" t="s">
        <v>3245</v>
      </c>
      <c r="AF605" s="3268" t="s">
        <v>2966</v>
      </c>
      <c r="AG605" s="3279" t="s">
        <v>2967</v>
      </c>
      <c r="AH605" s="3267"/>
      <c r="AI605" s="3279" t="s">
        <v>2992</v>
      </c>
      <c r="AJ605" s="3284"/>
      <c r="AK605" s="3278">
        <v>6</v>
      </c>
      <c r="AL605" s="3276">
        <v>67641700</v>
      </c>
      <c r="AM605" s="3276"/>
      <c r="AN605" s="3279" t="s">
        <v>3099</v>
      </c>
      <c r="AO605" s="3267"/>
      <c r="AP605" s="3279" t="s">
        <v>3305</v>
      </c>
      <c r="AQ605" s="3267" t="s">
        <v>3228</v>
      </c>
      <c r="AR605" s="3276"/>
      <c r="AS605" s="3276"/>
      <c r="AT605" s="3276"/>
      <c r="AU605" s="3276"/>
      <c r="AV605" s="3276"/>
      <c r="AW605" s="3276" t="s">
        <v>2997</v>
      </c>
      <c r="AX605" s="3276"/>
      <c r="AY605" s="3291"/>
      <c r="AZ605" s="3267" t="s">
        <v>7272</v>
      </c>
      <c r="BA605" s="3296"/>
      <c r="BB605" s="3297"/>
      <c r="BC605" s="3296"/>
      <c r="BD605" s="3298"/>
      <c r="BE605" s="3276">
        <v>13601375810</v>
      </c>
      <c r="BF605" s="3281"/>
      <c r="BG605" s="3293">
        <v>38863</v>
      </c>
      <c r="BH605" s="3267" t="s">
        <v>2998</v>
      </c>
      <c r="BI605" s="3314" t="s">
        <v>4230</v>
      </c>
      <c r="BJ605" s="3283">
        <v>38883</v>
      </c>
      <c r="BK605" s="3283"/>
      <c r="BL605" s="3267" t="s">
        <v>3249</v>
      </c>
      <c r="BM605" s="3276" t="s">
        <v>2879</v>
      </c>
      <c r="BN605" s="3276" t="s">
        <v>3111</v>
      </c>
      <c r="BO605" s="3276" t="s">
        <v>3146</v>
      </c>
      <c r="BP605" s="3276"/>
      <c r="BQ605" s="3276">
        <v>6448</v>
      </c>
      <c r="BR605" s="3276">
        <v>5643</v>
      </c>
      <c r="BS605" s="3285"/>
      <c r="BT605" s="3285"/>
      <c r="BU605" s="3285"/>
    </row>
    <row r="606" spans="1:243" hidden="1">
      <c r="A606" s="3267" t="s">
        <v>7273</v>
      </c>
      <c r="B606" s="3267" t="s">
        <v>7274</v>
      </c>
      <c r="C606" s="3269" t="s">
        <v>7275</v>
      </c>
      <c r="D606" s="3267">
        <v>13651309108</v>
      </c>
      <c r="E606" s="3267" t="s">
        <v>2985</v>
      </c>
      <c r="F606" s="3267" t="s">
        <v>7276</v>
      </c>
      <c r="G606" s="3267"/>
      <c r="H606" s="3267" t="s">
        <v>3964</v>
      </c>
      <c r="I606" s="3267"/>
      <c r="J606" s="3267">
        <v>1002</v>
      </c>
      <c r="K606" s="3267" t="s">
        <v>7277</v>
      </c>
      <c r="L606" s="3267">
        <v>88.9</v>
      </c>
      <c r="M606" s="3267">
        <v>10</v>
      </c>
      <c r="N606" s="3267" t="s">
        <v>3122</v>
      </c>
      <c r="O606" s="3267"/>
      <c r="P606" s="3267" t="s">
        <v>2963</v>
      </c>
      <c r="Q606" s="3267">
        <v>600000</v>
      </c>
      <c r="R606" s="3288">
        <v>6749</v>
      </c>
      <c r="S606" s="3272">
        <v>56.79</v>
      </c>
      <c r="T606" s="3273">
        <v>567900</v>
      </c>
      <c r="U606" s="3267">
        <v>6389</v>
      </c>
      <c r="V606" s="3289">
        <v>0.2</v>
      </c>
      <c r="W606" s="3272">
        <v>45.43</v>
      </c>
      <c r="X606" s="3275">
        <v>454300</v>
      </c>
      <c r="Y606" s="3267">
        <v>2006</v>
      </c>
      <c r="Z606" s="3267">
        <v>7</v>
      </c>
      <c r="AA606" s="3267">
        <v>4</v>
      </c>
      <c r="AB606" s="3276">
        <v>1500</v>
      </c>
      <c r="AC606" s="3267" t="s">
        <v>2980</v>
      </c>
      <c r="AD606" s="3267"/>
      <c r="AE606" s="3267" t="s">
        <v>3069</v>
      </c>
      <c r="AF606" s="3267" t="s">
        <v>2966</v>
      </c>
      <c r="AG606" s="3267" t="s">
        <v>2967</v>
      </c>
      <c r="AH606" s="3267"/>
      <c r="AI606" s="3267" t="s">
        <v>3115</v>
      </c>
      <c r="AJ606" s="3267"/>
      <c r="AK606" s="3267" t="s">
        <v>2993</v>
      </c>
      <c r="AL606" s="3276">
        <v>53</v>
      </c>
      <c r="AM606" s="3267" t="s">
        <v>7278</v>
      </c>
      <c r="AN606" s="3267" t="s">
        <v>3131</v>
      </c>
      <c r="AO606" s="3267"/>
      <c r="AP606" s="3267" t="s">
        <v>3180</v>
      </c>
      <c r="AQ606" s="3267" t="s">
        <v>3228</v>
      </c>
      <c r="AR606" s="3267">
        <v>2006</v>
      </c>
      <c r="AS606" s="3267">
        <v>7</v>
      </c>
      <c r="AT606" s="3267">
        <v>4</v>
      </c>
      <c r="AU606" s="3267"/>
      <c r="AV606" s="3267"/>
      <c r="AW606" s="3267" t="s">
        <v>3171</v>
      </c>
      <c r="AX606" s="3267"/>
      <c r="AY606" s="3267"/>
      <c r="AZ606" s="3267" t="s">
        <v>7277</v>
      </c>
      <c r="BA606" s="3267"/>
      <c r="BB606" s="3267"/>
      <c r="BC606" s="3267"/>
      <c r="BD606" s="3267"/>
      <c r="BE606" s="3267"/>
      <c r="BF606" s="3267"/>
      <c r="BG606" s="3284">
        <v>38870</v>
      </c>
      <c r="BH606" s="3267"/>
      <c r="BI606" s="3267" t="s">
        <v>3069</v>
      </c>
      <c r="BJ606" s="3284">
        <v>38884</v>
      </c>
      <c r="BK606" s="3267"/>
      <c r="BL606" s="3267" t="s">
        <v>2998</v>
      </c>
      <c r="BM606" s="3267" t="s">
        <v>3345</v>
      </c>
      <c r="BN606" s="3267" t="s">
        <v>2999</v>
      </c>
      <c r="BO606" s="3267" t="s">
        <v>3146</v>
      </c>
      <c r="BP606" s="3267"/>
      <c r="BQ606" s="3276" t="e">
        <v>#DIV/0!</v>
      </c>
      <c r="BR606" s="3276" t="e">
        <v>#DIV/0!</v>
      </c>
      <c r="BS606" s="3285"/>
      <c r="BT606" s="3285"/>
      <c r="BU606" s="3285"/>
    </row>
    <row r="607" spans="1:243" hidden="1">
      <c r="A607" s="3268" t="s">
        <v>7279</v>
      </c>
      <c r="B607" s="3267" t="s">
        <v>7280</v>
      </c>
      <c r="C607" s="3269" t="s">
        <v>7281</v>
      </c>
      <c r="D607" s="3269" t="s">
        <v>7282</v>
      </c>
      <c r="E607" s="3267" t="s">
        <v>2985</v>
      </c>
      <c r="F607" s="3268" t="s">
        <v>7283</v>
      </c>
      <c r="G607" s="3267"/>
      <c r="H607" s="3267" t="s">
        <v>3130</v>
      </c>
      <c r="I607" s="3267"/>
      <c r="J607" s="3269" t="s">
        <v>7284</v>
      </c>
      <c r="K607" s="3267" t="s">
        <v>7285</v>
      </c>
      <c r="L607" s="3267">
        <v>117.02</v>
      </c>
      <c r="M607" s="3267">
        <v>6</v>
      </c>
      <c r="N607" s="3267" t="s">
        <v>3129</v>
      </c>
      <c r="O607" s="3267"/>
      <c r="P607" s="3267" t="s">
        <v>3495</v>
      </c>
      <c r="Q607" s="3271">
        <v>585000</v>
      </c>
      <c r="R607" s="3267">
        <v>4999</v>
      </c>
      <c r="S607" s="3272">
        <v>57.37</v>
      </c>
      <c r="T607" s="3273">
        <v>573700</v>
      </c>
      <c r="U607" s="3267">
        <v>4903</v>
      </c>
      <c r="V607" s="3289">
        <v>0.2</v>
      </c>
      <c r="W607" s="3272">
        <v>45.89</v>
      </c>
      <c r="X607" s="3275">
        <v>458900</v>
      </c>
      <c r="Y607" s="3267">
        <v>2006</v>
      </c>
      <c r="Z607" s="3276">
        <v>7</v>
      </c>
      <c r="AA607" s="3276">
        <v>4</v>
      </c>
      <c r="AB607" s="3267">
        <v>1500</v>
      </c>
      <c r="AC607" s="3267" t="s">
        <v>2980</v>
      </c>
      <c r="AD607" s="3267"/>
      <c r="AE607" s="3267" t="s">
        <v>3487</v>
      </c>
      <c r="AF607" s="3267" t="s">
        <v>2966</v>
      </c>
      <c r="AG607" s="3267" t="s">
        <v>2967</v>
      </c>
      <c r="AH607" s="3267" t="s">
        <v>2968</v>
      </c>
      <c r="AI607" s="3270" t="s">
        <v>2992</v>
      </c>
      <c r="AJ607" s="3284"/>
      <c r="AK607" s="3278">
        <v>7</v>
      </c>
      <c r="AL607" s="3276">
        <v>42</v>
      </c>
      <c r="AM607" s="3276"/>
      <c r="AN607" s="3279" t="s">
        <v>3131</v>
      </c>
      <c r="AO607" s="3276" t="s">
        <v>2968</v>
      </c>
      <c r="AP607" s="3276" t="s">
        <v>3487</v>
      </c>
      <c r="AQ607" s="3267" t="s">
        <v>3228</v>
      </c>
      <c r="AR607" s="3276"/>
      <c r="AS607" s="3276"/>
      <c r="AT607" s="3276"/>
      <c r="AU607" s="3276"/>
      <c r="AV607" s="3276" t="s">
        <v>2968</v>
      </c>
      <c r="AW607" s="3276" t="s">
        <v>3171</v>
      </c>
      <c r="AX607" s="3276"/>
      <c r="AY607" s="3291"/>
      <c r="AZ607" s="3267"/>
      <c r="BA607" s="3276"/>
      <c r="BB607" s="3291"/>
      <c r="BC607" s="3276"/>
      <c r="BD607" s="3292"/>
      <c r="BE607" s="3276"/>
      <c r="BF607" s="3281"/>
      <c r="BG607" s="3290">
        <v>38834</v>
      </c>
      <c r="BH607" s="3276" t="s">
        <v>2998</v>
      </c>
      <c r="BI607" s="3267" t="s">
        <v>3487</v>
      </c>
      <c r="BJ607" s="3283">
        <v>38884</v>
      </c>
      <c r="BK607" s="3283"/>
      <c r="BL607" s="3267" t="s">
        <v>2998</v>
      </c>
      <c r="BM607" s="3276"/>
      <c r="BN607" s="3276"/>
      <c r="BO607" s="3276"/>
      <c r="BP607" s="3276"/>
      <c r="BQ607" s="3276" t="e">
        <v>#DIV/0!</v>
      </c>
      <c r="BR607" s="3276" t="e">
        <v>#DIV/0!</v>
      </c>
      <c r="BS607" s="3285"/>
      <c r="BT607" s="3285"/>
      <c r="BU607" s="3285"/>
    </row>
    <row r="608" spans="1:243" hidden="1">
      <c r="A608" s="3267" t="s">
        <v>7286</v>
      </c>
      <c r="B608" s="3267" t="s">
        <v>7287</v>
      </c>
      <c r="C608" s="3269" t="s">
        <v>7288</v>
      </c>
      <c r="D608" s="3269">
        <v>13381263586</v>
      </c>
      <c r="E608" s="3268" t="s">
        <v>2985</v>
      </c>
      <c r="F608" s="3268" t="s">
        <v>7289</v>
      </c>
      <c r="G608" s="3267"/>
      <c r="H608" s="3267" t="s">
        <v>3379</v>
      </c>
      <c r="I608" s="3268" t="s">
        <v>3318</v>
      </c>
      <c r="J608" s="3267" t="s">
        <v>3151</v>
      </c>
      <c r="K608" s="3267" t="s">
        <v>7287</v>
      </c>
      <c r="L608" s="3267">
        <v>57.83</v>
      </c>
      <c r="M608" s="3267">
        <v>5</v>
      </c>
      <c r="N608" s="3267" t="s">
        <v>3152</v>
      </c>
      <c r="O608" s="3267"/>
      <c r="P608" s="3267" t="s">
        <v>2963</v>
      </c>
      <c r="Q608" s="3271">
        <v>350000</v>
      </c>
      <c r="R608" s="3288">
        <v>6052</v>
      </c>
      <c r="S608" s="3272">
        <v>32.89</v>
      </c>
      <c r="T608" s="3273">
        <v>328900</v>
      </c>
      <c r="U608" s="3267">
        <v>5688</v>
      </c>
      <c r="V608" s="3289">
        <v>0.2</v>
      </c>
      <c r="W608" s="3272">
        <v>26.31</v>
      </c>
      <c r="X608" s="3273">
        <v>263100</v>
      </c>
      <c r="Y608" s="3267">
        <v>2006</v>
      </c>
      <c r="Z608" s="3276">
        <v>6</v>
      </c>
      <c r="AA608" s="3276">
        <v>23</v>
      </c>
      <c r="AB608" s="3267">
        <v>985</v>
      </c>
      <c r="AC608" s="3267" t="s">
        <v>2980</v>
      </c>
      <c r="AD608" s="3267"/>
      <c r="AE608" s="3279" t="s">
        <v>3069</v>
      </c>
      <c r="AF608" s="3268" t="s">
        <v>2966</v>
      </c>
      <c r="AG608" s="3279" t="s">
        <v>2967</v>
      </c>
      <c r="AH608" s="3267"/>
      <c r="AI608" s="3279" t="s">
        <v>2992</v>
      </c>
      <c r="AJ608" s="3284"/>
      <c r="AK608" s="3278">
        <v>6</v>
      </c>
      <c r="AL608" s="3276">
        <v>67641700</v>
      </c>
      <c r="AM608" s="3276"/>
      <c r="AN608" s="3279" t="s">
        <v>2994</v>
      </c>
      <c r="AO608" s="3267"/>
      <c r="AP608" s="3279" t="s">
        <v>3305</v>
      </c>
      <c r="AQ608" s="3267" t="s">
        <v>3228</v>
      </c>
      <c r="AR608" s="3276"/>
      <c r="AS608" s="3276"/>
      <c r="AT608" s="3276"/>
      <c r="AU608" s="3276"/>
      <c r="AV608" s="3276"/>
      <c r="AW608" s="3276" t="s">
        <v>3171</v>
      </c>
      <c r="AX608" s="3276"/>
      <c r="AY608" s="3291" t="s">
        <v>2968</v>
      </c>
      <c r="AZ608" s="3267" t="s">
        <v>7290</v>
      </c>
      <c r="BA608" s="3296"/>
      <c r="BB608" s="3297"/>
      <c r="BC608" s="3296"/>
      <c r="BD608" s="3298"/>
      <c r="BE608" s="3276" t="s">
        <v>2968</v>
      </c>
      <c r="BF608" s="3281"/>
      <c r="BG608" s="3293">
        <v>38883</v>
      </c>
      <c r="BH608" s="3267" t="s">
        <v>2998</v>
      </c>
      <c r="BI608" s="3314" t="s">
        <v>3305</v>
      </c>
      <c r="BJ608" s="3283">
        <v>38884</v>
      </c>
      <c r="BK608" s="3283"/>
      <c r="BL608" s="3267" t="s">
        <v>3249</v>
      </c>
      <c r="BM608" s="3276" t="s">
        <v>2879</v>
      </c>
      <c r="BN608" s="3276" t="s">
        <v>3111</v>
      </c>
      <c r="BO608" s="3276" t="s">
        <v>3446</v>
      </c>
      <c r="BP608" s="3276"/>
      <c r="BQ608" s="3276" t="e">
        <v>#DIV/0!</v>
      </c>
      <c r="BR608" s="3276" t="e">
        <v>#DIV/0!</v>
      </c>
      <c r="BS608" s="3285"/>
      <c r="BT608" s="3285"/>
      <c r="BU608" s="3285"/>
    </row>
    <row r="609" spans="1:114" hidden="1">
      <c r="A609" s="3267" t="s">
        <v>7291</v>
      </c>
      <c r="B609" s="3267" t="s">
        <v>7292</v>
      </c>
      <c r="C609" s="3269" t="s">
        <v>7293</v>
      </c>
      <c r="D609" s="3269" t="s">
        <v>7294</v>
      </c>
      <c r="E609" s="3267" t="s">
        <v>2985</v>
      </c>
      <c r="F609" s="3244" t="s">
        <v>7295</v>
      </c>
      <c r="G609" s="3267"/>
      <c r="H609" s="3267" t="s">
        <v>3169</v>
      </c>
      <c r="I609" s="3267"/>
      <c r="J609" s="3269" t="s">
        <v>7296</v>
      </c>
      <c r="K609" s="3267" t="s">
        <v>7297</v>
      </c>
      <c r="L609" s="3267">
        <v>57.12</v>
      </c>
      <c r="M609" s="3267">
        <v>3</v>
      </c>
      <c r="N609" s="3267" t="s">
        <v>3122</v>
      </c>
      <c r="O609" s="3267"/>
      <c r="P609" s="3267" t="s">
        <v>2963</v>
      </c>
      <c r="Q609" s="3271">
        <v>380000</v>
      </c>
      <c r="R609" s="3267">
        <v>6653</v>
      </c>
      <c r="S609" s="3272">
        <v>33.92</v>
      </c>
      <c r="T609" s="3273">
        <v>339200</v>
      </c>
      <c r="U609" s="3267">
        <v>5940</v>
      </c>
      <c r="V609" s="3289">
        <v>0.2</v>
      </c>
      <c r="W609" s="3272">
        <v>27.13</v>
      </c>
      <c r="X609" s="3275">
        <v>271300</v>
      </c>
      <c r="Y609" s="3276">
        <v>2006</v>
      </c>
      <c r="Z609" s="3276">
        <v>6</v>
      </c>
      <c r="AA609" s="3276">
        <v>26</v>
      </c>
      <c r="AB609" s="3267">
        <v>1015</v>
      </c>
      <c r="AC609" s="3267" t="s">
        <v>2980</v>
      </c>
      <c r="AD609" s="3267"/>
      <c r="AE609" s="3276" t="s">
        <v>3487</v>
      </c>
      <c r="AF609" s="3267" t="s">
        <v>2966</v>
      </c>
      <c r="AG609" s="3279" t="s">
        <v>2967</v>
      </c>
      <c r="AH609" s="3267" t="s">
        <v>2968</v>
      </c>
      <c r="AI609" s="3267" t="s">
        <v>2992</v>
      </c>
      <c r="AJ609" s="3284"/>
      <c r="AK609" s="3316">
        <v>6</v>
      </c>
      <c r="AL609" s="3276">
        <v>67641700</v>
      </c>
      <c r="AM609" s="3276"/>
      <c r="AN609" s="3276" t="s">
        <v>2994</v>
      </c>
      <c r="AO609" s="3276" t="s">
        <v>2968</v>
      </c>
      <c r="AP609" s="3276" t="s">
        <v>3305</v>
      </c>
      <c r="AQ609" s="3276" t="s">
        <v>3113</v>
      </c>
      <c r="AR609" s="3276"/>
      <c r="AS609" s="3276"/>
      <c r="AT609" s="3276"/>
      <c r="AU609" s="3276"/>
      <c r="AV609" s="3276" t="s">
        <v>2968</v>
      </c>
      <c r="AW609" s="3276" t="s">
        <v>3171</v>
      </c>
      <c r="AX609" s="3276"/>
      <c r="AY609" s="3291"/>
      <c r="AZ609" s="3276"/>
      <c r="BA609" s="3276"/>
      <c r="BB609" s="3291"/>
      <c r="BC609" s="3276"/>
      <c r="BD609" s="3292"/>
      <c r="BE609" s="3276"/>
      <c r="BF609" s="3281"/>
      <c r="BG609" s="3299">
        <v>38883</v>
      </c>
      <c r="BH609" s="3276" t="s">
        <v>2998</v>
      </c>
      <c r="BI609" s="3276" t="s">
        <v>3487</v>
      </c>
      <c r="BJ609" s="3283">
        <v>38884</v>
      </c>
      <c r="BK609" s="3283"/>
      <c r="BL609" s="3267" t="s">
        <v>2998</v>
      </c>
      <c r="BM609" s="3276"/>
      <c r="BN609" s="3276"/>
      <c r="BO609" s="3276"/>
      <c r="BP609" s="3276"/>
      <c r="BQ609" s="3276" t="e">
        <v>#DIV/0!</v>
      </c>
      <c r="BR609" s="3276" t="e">
        <v>#DIV/0!</v>
      </c>
      <c r="BS609" s="3285"/>
      <c r="BT609" s="3285"/>
      <c r="BU609" s="3285"/>
    </row>
    <row r="610" spans="1:114" hidden="1">
      <c r="A610" s="3267" t="s">
        <v>7298</v>
      </c>
      <c r="B610" s="3267" t="s">
        <v>7299</v>
      </c>
      <c r="C610" s="3269" t="s">
        <v>7300</v>
      </c>
      <c r="D610" s="3268">
        <v>13651159777</v>
      </c>
      <c r="E610" s="3267" t="s">
        <v>2985</v>
      </c>
      <c r="F610" s="3267" t="s">
        <v>7301</v>
      </c>
      <c r="G610" s="3267"/>
      <c r="H610" s="3279" t="s">
        <v>3244</v>
      </c>
      <c r="I610" s="3268" t="s">
        <v>7302</v>
      </c>
      <c r="J610" s="3270" t="s">
        <v>3301</v>
      </c>
      <c r="K610" s="3268" t="s">
        <v>7303</v>
      </c>
      <c r="L610" s="3286">
        <v>73.94</v>
      </c>
      <c r="M610" s="3270">
        <v>5</v>
      </c>
      <c r="N610" s="3267" t="s">
        <v>3122</v>
      </c>
      <c r="O610" s="3267"/>
      <c r="P610" s="3267" t="s">
        <v>2963</v>
      </c>
      <c r="Q610" s="3287">
        <v>425000</v>
      </c>
      <c r="R610" s="3267">
        <v>5748</v>
      </c>
      <c r="S610" s="3272">
        <v>46.41</v>
      </c>
      <c r="T610" s="3273">
        <v>464100</v>
      </c>
      <c r="U610" s="3267">
        <v>6277</v>
      </c>
      <c r="V610" s="3289">
        <v>0.2</v>
      </c>
      <c r="W610" s="3272">
        <v>37.119999999999997</v>
      </c>
      <c r="X610" s="3275">
        <v>371200</v>
      </c>
      <c r="Y610" s="3276">
        <v>2006</v>
      </c>
      <c r="Z610" s="3276">
        <v>7</v>
      </c>
      <c r="AA610" s="3276">
        <v>4</v>
      </c>
      <c r="AB610" s="3276">
        <v>1390</v>
      </c>
      <c r="AC610" s="3269" t="s">
        <v>2980</v>
      </c>
      <c r="AD610" s="3267"/>
      <c r="AE610" s="3267" t="s">
        <v>3069</v>
      </c>
      <c r="AF610" s="3267" t="s">
        <v>2966</v>
      </c>
      <c r="AG610" s="3267" t="s">
        <v>2967</v>
      </c>
      <c r="AH610" s="3267"/>
      <c r="AI610" s="3267" t="s">
        <v>3115</v>
      </c>
      <c r="AJ610" s="3290"/>
      <c r="AK610" s="3278" t="s">
        <v>2993</v>
      </c>
      <c r="AL610" s="3267"/>
      <c r="AM610" s="3267"/>
      <c r="AN610" s="3279" t="s">
        <v>3131</v>
      </c>
      <c r="AO610" s="3267" t="s">
        <v>7304</v>
      </c>
      <c r="AP610" s="3267" t="s">
        <v>3180</v>
      </c>
      <c r="AQ610" s="3267" t="s">
        <v>3228</v>
      </c>
      <c r="AR610" s="3267">
        <v>2006</v>
      </c>
      <c r="AS610" s="3267">
        <v>7</v>
      </c>
      <c r="AT610" s="3267">
        <v>4</v>
      </c>
      <c r="AU610" s="3267"/>
      <c r="AV610" s="3267"/>
      <c r="AW610" s="3267" t="s">
        <v>3112</v>
      </c>
      <c r="AX610" s="3267"/>
      <c r="AY610" s="3279"/>
      <c r="AZ610" s="3267" t="s">
        <v>7303</v>
      </c>
      <c r="BA610" s="3267"/>
      <c r="BB610" s="3267"/>
      <c r="BC610" s="3267"/>
      <c r="BD610" s="3267"/>
      <c r="BE610" s="3267"/>
      <c r="BF610" s="3267"/>
      <c r="BG610" s="3290">
        <v>38866</v>
      </c>
      <c r="BH610" s="3267"/>
      <c r="BI610" s="3267" t="s">
        <v>3069</v>
      </c>
      <c r="BJ610" s="3284">
        <v>38887</v>
      </c>
      <c r="BK610" s="3284"/>
      <c r="BL610" s="3267" t="s">
        <v>2998</v>
      </c>
      <c r="BM610" s="3267" t="s">
        <v>3345</v>
      </c>
      <c r="BN610" s="3276"/>
      <c r="BO610" s="3267"/>
      <c r="BP610" s="3267"/>
      <c r="BQ610" s="3276" t="e">
        <v>#DIV/0!</v>
      </c>
      <c r="BR610" s="3276" t="e">
        <v>#DIV/0!</v>
      </c>
      <c r="BS610" s="3285"/>
      <c r="BT610" s="3285"/>
      <c r="BU610" s="3285"/>
    </row>
    <row r="611" spans="1:114" hidden="1">
      <c r="A611" s="3267" t="s">
        <v>7305</v>
      </c>
      <c r="B611" s="3267" t="s">
        <v>7306</v>
      </c>
      <c r="C611" s="3269" t="s">
        <v>7307</v>
      </c>
      <c r="D611" s="3269">
        <v>13520303945</v>
      </c>
      <c r="E611" s="3268" t="s">
        <v>2985</v>
      </c>
      <c r="F611" s="3268" t="s">
        <v>4088</v>
      </c>
      <c r="G611" s="3267"/>
      <c r="H611" s="3268" t="s">
        <v>3183</v>
      </c>
      <c r="I611" s="3268" t="s">
        <v>3458</v>
      </c>
      <c r="J611" s="3267" t="s">
        <v>3123</v>
      </c>
      <c r="K611" s="3267" t="s">
        <v>7308</v>
      </c>
      <c r="L611" s="3267">
        <v>86.51</v>
      </c>
      <c r="M611" s="3267">
        <v>4</v>
      </c>
      <c r="N611" s="3267" t="s">
        <v>3122</v>
      </c>
      <c r="O611" s="3267">
        <v>78.05</v>
      </c>
      <c r="P611" s="3267" t="s">
        <v>2963</v>
      </c>
      <c r="Q611" s="3271">
        <v>346040</v>
      </c>
      <c r="R611" s="3267">
        <v>4000</v>
      </c>
      <c r="S611" s="3272">
        <v>34.6</v>
      </c>
      <c r="T611" s="3273">
        <v>346000</v>
      </c>
      <c r="U611" s="3267">
        <v>4000</v>
      </c>
      <c r="V611" s="3289">
        <v>0.2</v>
      </c>
      <c r="W611" s="3272">
        <v>27.68</v>
      </c>
      <c r="X611" s="3275">
        <v>276800</v>
      </c>
      <c r="Y611" s="3276">
        <v>2006</v>
      </c>
      <c r="Z611" s="3276">
        <v>6</v>
      </c>
      <c r="AA611" s="3276">
        <v>21</v>
      </c>
      <c r="AB611" s="3267">
        <v>1035</v>
      </c>
      <c r="AC611" s="3267" t="s">
        <v>2980</v>
      </c>
      <c r="AD611" s="3267"/>
      <c r="AE611" s="3279" t="s">
        <v>3180</v>
      </c>
      <c r="AF611" s="3268" t="s">
        <v>2966</v>
      </c>
      <c r="AG611" s="3279" t="s">
        <v>5571</v>
      </c>
      <c r="AH611" s="3267"/>
      <c r="AI611" s="3279" t="s">
        <v>2992</v>
      </c>
      <c r="AJ611" s="3284" t="s">
        <v>2968</v>
      </c>
      <c r="AK611" s="3278">
        <v>6</v>
      </c>
      <c r="AL611" s="3276">
        <v>67641700</v>
      </c>
      <c r="AM611" s="3276"/>
      <c r="AN611" s="3279" t="s">
        <v>2994</v>
      </c>
      <c r="AO611" s="3267" t="s">
        <v>2968</v>
      </c>
      <c r="AP611" s="3279" t="s">
        <v>3305</v>
      </c>
      <c r="AQ611" s="3276" t="s">
        <v>2996</v>
      </c>
      <c r="AR611" s="3276"/>
      <c r="AS611" s="3276"/>
      <c r="AT611" s="3276"/>
      <c r="AU611" s="3276"/>
      <c r="AV611" s="3276"/>
      <c r="AW611" s="3276" t="s">
        <v>2997</v>
      </c>
      <c r="AX611" s="3276"/>
      <c r="AY611" s="3291"/>
      <c r="AZ611" s="3267" t="s">
        <v>7308</v>
      </c>
      <c r="BA611" s="3296"/>
      <c r="BB611" s="3297"/>
      <c r="BC611" s="3296"/>
      <c r="BD611" s="3298"/>
      <c r="BE611" s="3276"/>
      <c r="BF611" s="3281"/>
      <c r="BG611" s="3293">
        <v>38884</v>
      </c>
      <c r="BH611" s="3267" t="s">
        <v>2998</v>
      </c>
      <c r="BI611" s="3314" t="s">
        <v>3305</v>
      </c>
      <c r="BJ611" s="3283">
        <v>38884</v>
      </c>
      <c r="BK611" s="3283"/>
      <c r="BL611" s="3267" t="s">
        <v>3249</v>
      </c>
      <c r="BM611" s="3276" t="s">
        <v>2879</v>
      </c>
      <c r="BN611" s="3276" t="s">
        <v>2999</v>
      </c>
      <c r="BO611" s="3276" t="s">
        <v>3146</v>
      </c>
      <c r="BP611" s="3276"/>
      <c r="BQ611" s="3276">
        <v>4433</v>
      </c>
      <c r="BR611" s="3276">
        <v>4434</v>
      </c>
      <c r="BS611" s="3285"/>
      <c r="BT611" s="3285"/>
      <c r="BU611" s="3285"/>
    </row>
    <row r="612" spans="1:114" hidden="1">
      <c r="A612" s="3267" t="s">
        <v>7309</v>
      </c>
      <c r="B612" s="3267" t="s">
        <v>7310</v>
      </c>
      <c r="C612" s="3269" t="s">
        <v>7311</v>
      </c>
      <c r="D612" s="3268">
        <v>13651207783</v>
      </c>
      <c r="E612" s="3267" t="s">
        <v>2985</v>
      </c>
      <c r="F612" s="3267" t="s">
        <v>7312</v>
      </c>
      <c r="G612" s="3267"/>
      <c r="H612" s="3270" t="s">
        <v>7313</v>
      </c>
      <c r="I612" s="3267" t="s">
        <v>2968</v>
      </c>
      <c r="J612" s="3270">
        <v>107</v>
      </c>
      <c r="K612" s="3267"/>
      <c r="L612" s="3286">
        <v>57.99</v>
      </c>
      <c r="M612" s="3270">
        <v>1</v>
      </c>
      <c r="N612" s="3267" t="s">
        <v>3122</v>
      </c>
      <c r="O612" s="3267"/>
      <c r="P612" s="3267" t="s">
        <v>2963</v>
      </c>
      <c r="Q612" s="3287">
        <v>140000</v>
      </c>
      <c r="R612" s="3267">
        <v>2414</v>
      </c>
      <c r="S612" s="3272">
        <v>13.96</v>
      </c>
      <c r="T612" s="3273">
        <v>139600</v>
      </c>
      <c r="U612" s="3267">
        <v>2408</v>
      </c>
      <c r="V612" s="3289">
        <v>0.2</v>
      </c>
      <c r="W612" s="3272">
        <v>11.16</v>
      </c>
      <c r="X612" s="3275">
        <v>111600</v>
      </c>
      <c r="Y612" s="3276">
        <v>2006</v>
      </c>
      <c r="Z612" s="3276">
        <v>7</v>
      </c>
      <c r="AA612" s="3267">
        <v>18</v>
      </c>
      <c r="AB612" s="3267">
        <v>415</v>
      </c>
      <c r="AC612" s="3267" t="s">
        <v>2980</v>
      </c>
      <c r="AD612" s="3267"/>
      <c r="AE612" s="3279" t="s">
        <v>3304</v>
      </c>
      <c r="AF612" s="3268" t="s">
        <v>2966</v>
      </c>
      <c r="AG612" s="3267" t="s">
        <v>2967</v>
      </c>
      <c r="AH612" s="3267" t="s">
        <v>7314</v>
      </c>
      <c r="AI612" s="3267" t="s">
        <v>3295</v>
      </c>
      <c r="AJ612" s="3290"/>
      <c r="AK612" s="3278">
        <v>7</v>
      </c>
      <c r="AL612" s="3276">
        <v>43</v>
      </c>
      <c r="AM612" s="3267" t="s">
        <v>7315</v>
      </c>
      <c r="AN612" s="3279" t="s">
        <v>3114</v>
      </c>
      <c r="AO612" s="3276"/>
      <c r="AP612" s="3276" t="s">
        <v>3305</v>
      </c>
      <c r="AQ612" s="3267" t="s">
        <v>3228</v>
      </c>
      <c r="AR612" s="3267" t="s">
        <v>2968</v>
      </c>
      <c r="AS612" s="3267" t="s">
        <v>2968</v>
      </c>
      <c r="AT612" s="3267" t="s">
        <v>2968</v>
      </c>
      <c r="AU612" s="3267" t="s">
        <v>2968</v>
      </c>
      <c r="AV612" s="3267"/>
      <c r="AW612" s="3267" t="s">
        <v>3171</v>
      </c>
      <c r="AX612" s="3267"/>
      <c r="AY612" s="3279"/>
      <c r="AZ612" s="3267"/>
      <c r="BA612" s="3267"/>
      <c r="BB612" s="3267"/>
      <c r="BC612" s="3267"/>
      <c r="BD612" s="3267"/>
      <c r="BE612" s="3267"/>
      <c r="BF612" s="3267"/>
      <c r="BG612" s="3290">
        <v>38887</v>
      </c>
      <c r="BH612" s="3267"/>
      <c r="BI612" s="3267" t="s">
        <v>2979</v>
      </c>
      <c r="BJ612" s="3299">
        <v>38887</v>
      </c>
      <c r="BK612" s="3284"/>
      <c r="BL612" s="3276" t="s">
        <v>2998</v>
      </c>
      <c r="BM612" s="3276" t="s">
        <v>2879</v>
      </c>
      <c r="BN612" s="3267" t="s">
        <v>2999</v>
      </c>
      <c r="BO612" s="3267" t="s">
        <v>3268</v>
      </c>
      <c r="BP612" s="3267"/>
      <c r="BQ612" s="3276" t="e">
        <v>#DIV/0!</v>
      </c>
      <c r="BR612" s="3276" t="e">
        <v>#DIV/0!</v>
      </c>
      <c r="BS612" s="3285"/>
      <c r="BT612" s="3285"/>
      <c r="BU612" s="3285"/>
    </row>
    <row r="613" spans="1:114" hidden="1">
      <c r="A613" s="3267" t="s">
        <v>7316</v>
      </c>
      <c r="B613" s="3267" t="s">
        <v>7317</v>
      </c>
      <c r="C613" s="3269" t="s">
        <v>7318</v>
      </c>
      <c r="D613" s="3267">
        <v>13126728786</v>
      </c>
      <c r="E613" s="3267" t="s">
        <v>2985</v>
      </c>
      <c r="F613" s="3267" t="s">
        <v>4424</v>
      </c>
      <c r="G613" s="3267"/>
      <c r="H613" s="3267" t="s">
        <v>3178</v>
      </c>
      <c r="I613" s="3267"/>
      <c r="J613" s="3267" t="s">
        <v>7319</v>
      </c>
      <c r="K613" s="3268" t="s">
        <v>7320</v>
      </c>
      <c r="L613" s="3267">
        <v>72.45</v>
      </c>
      <c r="M613" s="3267">
        <v>4</v>
      </c>
      <c r="N613" s="3267" t="s">
        <v>3125</v>
      </c>
      <c r="O613" s="3267"/>
      <c r="P613" s="3267" t="s">
        <v>2963</v>
      </c>
      <c r="Q613" s="3267">
        <v>580000</v>
      </c>
      <c r="R613" s="3267">
        <v>8006</v>
      </c>
      <c r="S613" s="3272">
        <v>50.5</v>
      </c>
      <c r="T613" s="3273">
        <v>505000</v>
      </c>
      <c r="U613" s="3267">
        <v>6971</v>
      </c>
      <c r="V613" s="3274">
        <v>0.2</v>
      </c>
      <c r="W613" s="3272">
        <v>40.4</v>
      </c>
      <c r="X613" s="3275">
        <v>404000</v>
      </c>
      <c r="Y613" s="3267">
        <v>2006</v>
      </c>
      <c r="Z613" s="3267">
        <v>6</v>
      </c>
      <c r="AA613" s="3276">
        <v>21</v>
      </c>
      <c r="AB613" s="3267">
        <v>1500</v>
      </c>
      <c r="AC613" s="3267" t="s">
        <v>2980</v>
      </c>
      <c r="AD613" s="3267"/>
      <c r="AE613" s="3276" t="s">
        <v>2991</v>
      </c>
      <c r="AF613" s="3267" t="s">
        <v>2966</v>
      </c>
      <c r="AG613" s="3267" t="s">
        <v>2967</v>
      </c>
      <c r="AH613" s="3267"/>
      <c r="AI613" s="3267" t="s">
        <v>2992</v>
      </c>
      <c r="AJ613" s="3284"/>
      <c r="AK613" s="3278">
        <v>6</v>
      </c>
      <c r="AL613" s="3267">
        <v>82253558</v>
      </c>
      <c r="AM613" s="3267"/>
      <c r="AN613" s="3267" t="s">
        <v>2994</v>
      </c>
      <c r="AO613" s="3267"/>
      <c r="AP613" s="3267" t="s">
        <v>2991</v>
      </c>
      <c r="AQ613" s="3276" t="s">
        <v>2996</v>
      </c>
      <c r="AR613" s="3267"/>
      <c r="AS613" s="3267"/>
      <c r="AT613" s="3267"/>
      <c r="AU613" s="3267"/>
      <c r="AV613" s="3267"/>
      <c r="AW613" s="3267" t="s">
        <v>2997</v>
      </c>
      <c r="AX613" s="3267"/>
      <c r="AY613" s="3269"/>
      <c r="AZ613" s="3267" t="s">
        <v>7266</v>
      </c>
      <c r="BA613" s="3267"/>
      <c r="BB613" s="3267"/>
      <c r="BC613" s="3267"/>
      <c r="BD613" s="3267"/>
      <c r="BE613" s="3267"/>
      <c r="BF613" s="3267"/>
      <c r="BG613" s="3307">
        <v>38868</v>
      </c>
      <c r="BH613" s="3267"/>
      <c r="BI613" s="3267" t="s">
        <v>2991</v>
      </c>
      <c r="BJ613" s="3283">
        <v>38887</v>
      </c>
      <c r="BK613" s="3283"/>
      <c r="BL613" s="3267" t="s">
        <v>2998</v>
      </c>
      <c r="BM613" s="3267" t="s">
        <v>2879</v>
      </c>
      <c r="BN613" s="3267" t="s">
        <v>2999</v>
      </c>
      <c r="BO613" s="3267" t="s">
        <v>3000</v>
      </c>
      <c r="BP613" s="3267"/>
      <c r="BQ613" s="3276" t="e">
        <v>#DIV/0!</v>
      </c>
      <c r="BR613" s="3276" t="e">
        <v>#DIV/0!</v>
      </c>
      <c r="BS613" s="3285"/>
      <c r="BT613" s="3285"/>
      <c r="BU613" s="3285"/>
      <c r="BV613" s="3370"/>
      <c r="BW613" s="3370"/>
      <c r="BX613" s="3370"/>
      <c r="BY613" s="3370"/>
      <c r="BZ613" s="3370"/>
      <c r="CA613" s="3370"/>
      <c r="CB613" s="3370"/>
      <c r="CC613" s="3370"/>
      <c r="CD613" s="3370"/>
      <c r="CE613" s="3370"/>
      <c r="CF613" s="3370"/>
      <c r="CG613" s="3370"/>
      <c r="CH613" s="3370"/>
      <c r="CI613" s="3370"/>
      <c r="CJ613" s="3370"/>
      <c r="CK613" s="3370"/>
      <c r="CL613" s="3370"/>
      <c r="CM613" s="3370"/>
      <c r="CN613" s="3370"/>
      <c r="CO613" s="3370"/>
      <c r="CP613" s="3370"/>
      <c r="CQ613" s="3370"/>
      <c r="CR613" s="3370"/>
      <c r="CS613" s="3370"/>
      <c r="CT613" s="3370"/>
      <c r="CU613" s="3370"/>
      <c r="CV613" s="3370"/>
      <c r="CW613" s="3370"/>
      <c r="CX613" s="3370"/>
      <c r="CY613" s="3370"/>
      <c r="CZ613" s="3370"/>
      <c r="DA613" s="3370"/>
      <c r="DB613" s="3370"/>
      <c r="DC613" s="3370"/>
      <c r="DD613" s="3370"/>
      <c r="DE613" s="3370"/>
      <c r="DF613" s="3370"/>
      <c r="DG613" s="3370"/>
      <c r="DH613" s="3370"/>
      <c r="DI613" s="3370"/>
      <c r="DJ613" s="3370"/>
    </row>
    <row r="614" spans="1:114" hidden="1">
      <c r="A614" s="3267" t="s">
        <v>7321</v>
      </c>
      <c r="B614" s="3267" t="s">
        <v>7322</v>
      </c>
      <c r="C614" s="3269" t="s">
        <v>7323</v>
      </c>
      <c r="D614" s="3269">
        <v>13810480313</v>
      </c>
      <c r="E614" s="3268" t="s">
        <v>2985</v>
      </c>
      <c r="F614" s="3268" t="s">
        <v>7324</v>
      </c>
      <c r="G614" s="3267"/>
      <c r="H614" s="3267" t="s">
        <v>3139</v>
      </c>
      <c r="I614" s="3268" t="s">
        <v>3188</v>
      </c>
      <c r="J614" s="3267" t="s">
        <v>3301</v>
      </c>
      <c r="K614" s="3267" t="s">
        <v>7325</v>
      </c>
      <c r="L614" s="3267">
        <v>53.91</v>
      </c>
      <c r="M614" s="3267">
        <v>5</v>
      </c>
      <c r="N614" s="3267" t="s">
        <v>3122</v>
      </c>
      <c r="O614" s="3267"/>
      <c r="P614" s="3267" t="s">
        <v>2963</v>
      </c>
      <c r="Q614" s="3271">
        <v>465000</v>
      </c>
      <c r="R614" s="3288">
        <v>8625</v>
      </c>
      <c r="S614" s="3272">
        <v>38.81</v>
      </c>
      <c r="T614" s="3273">
        <v>388100</v>
      </c>
      <c r="U614" s="3267">
        <v>7200</v>
      </c>
      <c r="V614" s="3289">
        <v>0.2</v>
      </c>
      <c r="W614" s="3272">
        <v>31.04</v>
      </c>
      <c r="X614" s="3273">
        <v>310400</v>
      </c>
      <c r="Y614" s="3267">
        <v>2006</v>
      </c>
      <c r="Z614" s="3276">
        <v>7</v>
      </c>
      <c r="AA614" s="3276">
        <v>4</v>
      </c>
      <c r="AB614" s="3267">
        <v>1160</v>
      </c>
      <c r="AC614" s="3267" t="s">
        <v>2980</v>
      </c>
      <c r="AD614" s="3267"/>
      <c r="AE614" s="3279" t="s">
        <v>3344</v>
      </c>
      <c r="AF614" s="3268" t="s">
        <v>2966</v>
      </c>
      <c r="AG614" s="3279" t="s">
        <v>2967</v>
      </c>
      <c r="AH614" s="3267"/>
      <c r="AI614" s="3279" t="s">
        <v>2992</v>
      </c>
      <c r="AJ614" s="3284"/>
      <c r="AK614" s="3278">
        <v>7</v>
      </c>
      <c r="AL614" s="3276">
        <v>25</v>
      </c>
      <c r="AM614" s="3276"/>
      <c r="AN614" s="3279" t="s">
        <v>3131</v>
      </c>
      <c r="AO614" s="3267"/>
      <c r="AP614" s="3279" t="s">
        <v>3305</v>
      </c>
      <c r="AQ614" s="3267" t="s">
        <v>3228</v>
      </c>
      <c r="AR614" s="3276"/>
      <c r="AS614" s="3276"/>
      <c r="AT614" s="3276"/>
      <c r="AU614" s="3276"/>
      <c r="AV614" s="3276"/>
      <c r="AW614" s="3276" t="s">
        <v>3171</v>
      </c>
      <c r="AX614" s="3276"/>
      <c r="AY614" s="3291"/>
      <c r="AZ614" s="3267" t="s">
        <v>7325</v>
      </c>
      <c r="BA614" s="3296"/>
      <c r="BB614" s="3297"/>
      <c r="BC614" s="3296"/>
      <c r="BD614" s="3298"/>
      <c r="BE614" s="3276" t="s">
        <v>7326</v>
      </c>
      <c r="BF614" s="3281"/>
      <c r="BG614" s="3293">
        <v>38887</v>
      </c>
      <c r="BH614" s="3267" t="s">
        <v>2998</v>
      </c>
      <c r="BI614" s="3314" t="s">
        <v>3305</v>
      </c>
      <c r="BJ614" s="3283">
        <v>38887</v>
      </c>
      <c r="BK614" s="3283"/>
      <c r="BL614" s="3267" t="s">
        <v>3249</v>
      </c>
      <c r="BM614" s="3276" t="s">
        <v>2879</v>
      </c>
      <c r="BN614" s="3276" t="s">
        <v>2999</v>
      </c>
      <c r="BO614" s="3276" t="s">
        <v>3146</v>
      </c>
      <c r="BP614" s="3276"/>
      <c r="BQ614" s="3276" t="e">
        <v>#DIV/0!</v>
      </c>
      <c r="BR614" s="3276" t="e">
        <v>#DIV/0!</v>
      </c>
      <c r="BS614" s="3285"/>
      <c r="BT614" s="3285"/>
      <c r="BU614" s="3285"/>
    </row>
    <row r="615" spans="1:114" hidden="1">
      <c r="A615" s="3267" t="s">
        <v>7327</v>
      </c>
      <c r="B615" s="3267" t="s">
        <v>7328</v>
      </c>
      <c r="C615" s="3269" t="s">
        <v>7329</v>
      </c>
      <c r="D615" s="3269" t="s">
        <v>7330</v>
      </c>
      <c r="E615" s="3268" t="s">
        <v>2985</v>
      </c>
      <c r="F615" s="3268" t="s">
        <v>3279</v>
      </c>
      <c r="G615" s="3267"/>
      <c r="H615" s="3267" t="s">
        <v>7193</v>
      </c>
      <c r="I615" s="3268" t="s">
        <v>3586</v>
      </c>
      <c r="J615" s="3267" t="s">
        <v>7331</v>
      </c>
      <c r="K615" s="3267" t="s">
        <v>7328</v>
      </c>
      <c r="L615" s="3267">
        <v>57.47</v>
      </c>
      <c r="M615" s="3267">
        <v>6</v>
      </c>
      <c r="N615" s="3267" t="s">
        <v>3122</v>
      </c>
      <c r="O615" s="3267"/>
      <c r="P615" s="3267" t="s">
        <v>2963</v>
      </c>
      <c r="Q615" s="3271">
        <v>300000</v>
      </c>
      <c r="R615" s="3267">
        <v>5220</v>
      </c>
      <c r="S615" s="3272">
        <v>31.03</v>
      </c>
      <c r="T615" s="3273">
        <v>310300</v>
      </c>
      <c r="U615" s="3267">
        <v>5400</v>
      </c>
      <c r="V615" s="3289">
        <v>0.2</v>
      </c>
      <c r="W615" s="3272">
        <v>24.82</v>
      </c>
      <c r="X615" s="3275">
        <v>248200</v>
      </c>
      <c r="Y615" s="3276">
        <v>2006</v>
      </c>
      <c r="Z615" s="3276">
        <v>8</v>
      </c>
      <c r="AA615" s="3276">
        <v>10</v>
      </c>
      <c r="AB615" s="3267">
        <v>930</v>
      </c>
      <c r="AC615" s="3267" t="s">
        <v>2980</v>
      </c>
      <c r="AD615" s="3267"/>
      <c r="AE615" s="3279" t="s">
        <v>3245</v>
      </c>
      <c r="AF615" s="3268" t="s">
        <v>2966</v>
      </c>
      <c r="AG615" s="3279" t="s">
        <v>2967</v>
      </c>
      <c r="AH615" s="3267" t="s">
        <v>2968</v>
      </c>
      <c r="AI615" s="3279" t="s">
        <v>2992</v>
      </c>
      <c r="AJ615" s="3284"/>
      <c r="AK615" s="3278">
        <v>8</v>
      </c>
      <c r="AL615" s="3276">
        <v>37</v>
      </c>
      <c r="AM615" s="3267" t="s">
        <v>7332</v>
      </c>
      <c r="AN615" s="3279" t="s">
        <v>3140</v>
      </c>
      <c r="AO615" s="3267"/>
      <c r="AP615" s="3279" t="s">
        <v>3305</v>
      </c>
      <c r="AQ615" s="3267" t="s">
        <v>3228</v>
      </c>
      <c r="AR615" s="3276"/>
      <c r="AS615" s="3276"/>
      <c r="AT615" s="3276"/>
      <c r="AU615" s="3276"/>
      <c r="AV615" s="3276" t="s">
        <v>2968</v>
      </c>
      <c r="AW615" s="3276" t="s">
        <v>2997</v>
      </c>
      <c r="AX615" s="3276"/>
      <c r="AY615" s="3291"/>
      <c r="AZ615" s="3267" t="s">
        <v>7333</v>
      </c>
      <c r="BA615" s="3296"/>
      <c r="BB615" s="3297"/>
      <c r="BC615" s="3296"/>
      <c r="BD615" s="3298"/>
      <c r="BE615" s="3276">
        <v>13511031683</v>
      </c>
      <c r="BF615" s="3281"/>
      <c r="BG615" s="3293">
        <v>38887</v>
      </c>
      <c r="BH615" s="3267" t="s">
        <v>2998</v>
      </c>
      <c r="BI615" s="3314" t="s">
        <v>3305</v>
      </c>
      <c r="BJ615" s="3283">
        <v>38888</v>
      </c>
      <c r="BK615" s="3283"/>
      <c r="BL615" s="3267" t="s">
        <v>3249</v>
      </c>
      <c r="BM615" s="3276" t="s">
        <v>2879</v>
      </c>
      <c r="BN615" s="3276" t="s">
        <v>3111</v>
      </c>
      <c r="BO615" s="3276" t="s">
        <v>3146</v>
      </c>
      <c r="BP615" s="3276"/>
      <c r="BQ615" s="3276" t="e">
        <v>#DIV/0!</v>
      </c>
      <c r="BR615" s="3276" t="e">
        <v>#DIV/0!</v>
      </c>
      <c r="BS615" s="3285"/>
      <c r="BT615" s="3285"/>
      <c r="BU615" s="3285"/>
    </row>
    <row r="616" spans="1:114" hidden="1">
      <c r="A616" s="3267" t="s">
        <v>7334</v>
      </c>
      <c r="B616" s="3267" t="s">
        <v>7335</v>
      </c>
      <c r="C616" s="3269" t="s">
        <v>7336</v>
      </c>
      <c r="D616" s="3269" t="s">
        <v>7337</v>
      </c>
      <c r="E616" s="3268" t="s">
        <v>2985</v>
      </c>
      <c r="F616" s="3268" t="s">
        <v>4786</v>
      </c>
      <c r="G616" s="3267"/>
      <c r="H616" s="3268" t="s">
        <v>3280</v>
      </c>
      <c r="I616" s="3268"/>
      <c r="J616" s="3267" t="s">
        <v>7338</v>
      </c>
      <c r="K616" s="3267" t="s">
        <v>7339</v>
      </c>
      <c r="L616" s="3267">
        <v>96</v>
      </c>
      <c r="M616" s="3267">
        <v>17</v>
      </c>
      <c r="N616" s="3267" t="s">
        <v>3122</v>
      </c>
      <c r="O616" s="3267"/>
      <c r="P616" s="3267" t="s">
        <v>2963</v>
      </c>
      <c r="Q616" s="3271">
        <v>610000</v>
      </c>
      <c r="R616" s="3267">
        <v>6354</v>
      </c>
      <c r="S616" s="3272">
        <v>54.52</v>
      </c>
      <c r="T616" s="3273">
        <v>545200</v>
      </c>
      <c r="U616" s="3267">
        <v>5680</v>
      </c>
      <c r="V616" s="3289">
        <v>0.3</v>
      </c>
      <c r="W616" s="3272">
        <v>38.159999999999997</v>
      </c>
      <c r="X616" s="3275">
        <v>381600</v>
      </c>
      <c r="Y616" s="3276">
        <v>2006</v>
      </c>
      <c r="Z616" s="3276">
        <v>7</v>
      </c>
      <c r="AA616" s="3276">
        <v>10</v>
      </c>
      <c r="AB616" s="3267">
        <v>1500</v>
      </c>
      <c r="AC616" s="3267" t="s">
        <v>2980</v>
      </c>
      <c r="AD616" s="3267"/>
      <c r="AE616" s="3314" t="s">
        <v>3245</v>
      </c>
      <c r="AF616" s="3268" t="s">
        <v>2966</v>
      </c>
      <c r="AG616" s="3279" t="s">
        <v>2967</v>
      </c>
      <c r="AH616" s="3267"/>
      <c r="AI616" s="3279" t="s">
        <v>2992</v>
      </c>
      <c r="AJ616" s="3284"/>
      <c r="AK616" s="3278">
        <v>7</v>
      </c>
      <c r="AL616" s="3276">
        <v>52</v>
      </c>
      <c r="AM616" s="3276"/>
      <c r="AN616" s="3279" t="s">
        <v>3140</v>
      </c>
      <c r="AO616" s="3267"/>
      <c r="AP616" s="3279" t="s">
        <v>3305</v>
      </c>
      <c r="AQ616" s="3267" t="s">
        <v>3228</v>
      </c>
      <c r="AR616" s="3276"/>
      <c r="AS616" s="3276"/>
      <c r="AT616" s="3276"/>
      <c r="AU616" s="3276"/>
      <c r="AV616" s="3276"/>
      <c r="AW616" s="3276" t="s">
        <v>2997</v>
      </c>
      <c r="AX616" s="3276"/>
      <c r="AY616" s="3291"/>
      <c r="AZ616" s="3267" t="s">
        <v>7339</v>
      </c>
      <c r="BA616" s="3296"/>
      <c r="BB616" s="3297"/>
      <c r="BC616" s="3296"/>
      <c r="BD616" s="3298"/>
      <c r="BE616" s="3276">
        <v>13366409309</v>
      </c>
      <c r="BF616" s="3281"/>
      <c r="BG616" s="3293">
        <v>38856</v>
      </c>
      <c r="BH616" s="3267" t="s">
        <v>2998</v>
      </c>
      <c r="BI616" s="3314" t="s">
        <v>3305</v>
      </c>
      <c r="BJ616" s="3283">
        <v>38888</v>
      </c>
      <c r="BK616" s="3283"/>
      <c r="BL616" s="3267" t="s">
        <v>3249</v>
      </c>
      <c r="BM616" s="3276" t="s">
        <v>2879</v>
      </c>
      <c r="BN616" s="3276" t="s">
        <v>3111</v>
      </c>
      <c r="BO616" s="3276" t="s">
        <v>3146</v>
      </c>
      <c r="BP616" s="3276"/>
      <c r="BQ616" s="3276" t="e">
        <v>#DIV/0!</v>
      </c>
      <c r="BR616" s="3276" t="e">
        <v>#DIV/0!</v>
      </c>
      <c r="BS616" s="3285"/>
      <c r="BT616" s="3285"/>
      <c r="BU616" s="3285"/>
    </row>
    <row r="617" spans="1:114" hidden="1">
      <c r="A617" s="3267" t="s">
        <v>7340</v>
      </c>
      <c r="B617" s="3267" t="s">
        <v>5574</v>
      </c>
      <c r="C617" s="3269" t="s">
        <v>7341</v>
      </c>
      <c r="D617" s="3269" t="s">
        <v>7342</v>
      </c>
      <c r="E617" s="3268" t="s">
        <v>2985</v>
      </c>
      <c r="F617" s="3268" t="s">
        <v>4786</v>
      </c>
      <c r="G617" s="3267"/>
      <c r="H617" s="3268" t="s">
        <v>7343</v>
      </c>
      <c r="I617" s="3268" t="s">
        <v>3254</v>
      </c>
      <c r="J617" s="3267" t="s">
        <v>3126</v>
      </c>
      <c r="K617" s="3267" t="s">
        <v>5574</v>
      </c>
      <c r="L617" s="3267">
        <v>134.04</v>
      </c>
      <c r="M617" s="3282" t="s">
        <v>3588</v>
      </c>
      <c r="N617" s="3267" t="s">
        <v>3129</v>
      </c>
      <c r="O617" s="3267">
        <v>120.34</v>
      </c>
      <c r="P617" s="3267" t="s">
        <v>3495</v>
      </c>
      <c r="Q617" s="3271">
        <v>905000</v>
      </c>
      <c r="R617" s="3267">
        <v>6752</v>
      </c>
      <c r="S617" s="3272">
        <v>73.930000000000007</v>
      </c>
      <c r="T617" s="3273">
        <v>739300</v>
      </c>
      <c r="U617" s="3267">
        <v>5516</v>
      </c>
      <c r="V617" s="3289">
        <v>0.3</v>
      </c>
      <c r="W617" s="3272">
        <v>51.75</v>
      </c>
      <c r="X617" s="3275">
        <v>517500</v>
      </c>
      <c r="Y617" s="3276">
        <v>2006</v>
      </c>
      <c r="Z617" s="3276">
        <v>7</v>
      </c>
      <c r="AA617" s="3276">
        <v>14</v>
      </c>
      <c r="AB617" s="3267">
        <v>1500</v>
      </c>
      <c r="AC617" s="3267" t="s">
        <v>2980</v>
      </c>
      <c r="AD617" s="3267"/>
      <c r="AE617" s="3314" t="s">
        <v>3245</v>
      </c>
      <c r="AF617" s="3268" t="s">
        <v>2966</v>
      </c>
      <c r="AG617" s="3279" t="s">
        <v>2967</v>
      </c>
      <c r="AH617" s="3267"/>
      <c r="AI617" s="3279" t="s">
        <v>2992</v>
      </c>
      <c r="AJ617" s="3284"/>
      <c r="AK617" s="3278">
        <v>7</v>
      </c>
      <c r="AL617" s="3276">
        <v>45</v>
      </c>
      <c r="AM617" s="3267" t="s">
        <v>7344</v>
      </c>
      <c r="AN617" s="3279" t="s">
        <v>3140</v>
      </c>
      <c r="AO617" s="3267" t="s">
        <v>7345</v>
      </c>
      <c r="AP617" s="3279" t="s">
        <v>3305</v>
      </c>
      <c r="AQ617" s="3267" t="s">
        <v>3228</v>
      </c>
      <c r="AR617" s="3276"/>
      <c r="AS617" s="3276"/>
      <c r="AT617" s="3276"/>
      <c r="AU617" s="3276"/>
      <c r="AV617" s="3276"/>
      <c r="AW617" s="3276" t="s">
        <v>2997</v>
      </c>
      <c r="AX617" s="3276"/>
      <c r="AY617" s="3291"/>
      <c r="AZ617" s="3267" t="s">
        <v>7346</v>
      </c>
      <c r="BA617" s="3296"/>
      <c r="BB617" s="3297"/>
      <c r="BC617" s="3296"/>
      <c r="BD617" s="3298"/>
      <c r="BE617" s="3276">
        <v>13366376463</v>
      </c>
      <c r="BF617" s="3281"/>
      <c r="BG617" s="3293">
        <v>38889</v>
      </c>
      <c r="BH617" s="3267" t="s">
        <v>2998</v>
      </c>
      <c r="BI617" s="3314" t="s">
        <v>3305</v>
      </c>
      <c r="BJ617" s="3283">
        <v>38889</v>
      </c>
      <c r="BK617" s="3283"/>
      <c r="BL617" s="3267" t="s">
        <v>3249</v>
      </c>
      <c r="BM617" s="3276" t="s">
        <v>2879</v>
      </c>
      <c r="BN617" s="3276" t="s">
        <v>3111</v>
      </c>
      <c r="BO617" s="3276" t="s">
        <v>3146</v>
      </c>
      <c r="BP617" s="3276"/>
      <c r="BQ617" s="3276">
        <v>6143</v>
      </c>
      <c r="BR617" s="3276">
        <v>7520</v>
      </c>
      <c r="BS617" s="3285"/>
      <c r="BT617" s="3285"/>
      <c r="BU617" s="3285"/>
    </row>
    <row r="618" spans="1:114" hidden="1">
      <c r="A618" s="3267" t="s">
        <v>7347</v>
      </c>
      <c r="B618" s="3267" t="s">
        <v>7348</v>
      </c>
      <c r="C618" s="3269" t="s">
        <v>7349</v>
      </c>
      <c r="D618" s="3269" t="s">
        <v>7350</v>
      </c>
      <c r="E618" s="3268" t="s">
        <v>2985</v>
      </c>
      <c r="F618" s="3268" t="s">
        <v>4786</v>
      </c>
      <c r="G618" s="3267"/>
      <c r="H618" s="3268" t="s">
        <v>4724</v>
      </c>
      <c r="I618" s="3268"/>
      <c r="J618" s="3267" t="s">
        <v>7351</v>
      </c>
      <c r="K618" s="3267" t="s">
        <v>7348</v>
      </c>
      <c r="L618" s="3267">
        <v>123.52</v>
      </c>
      <c r="M618" s="3267">
        <v>25</v>
      </c>
      <c r="N618" s="3267" t="s">
        <v>3395</v>
      </c>
      <c r="O618" s="3267">
        <v>103.48</v>
      </c>
      <c r="P618" s="3267" t="s">
        <v>2963</v>
      </c>
      <c r="Q618" s="3271">
        <v>580000</v>
      </c>
      <c r="R618" s="3267">
        <v>4696</v>
      </c>
      <c r="S618" s="3272">
        <v>70.400000000000006</v>
      </c>
      <c r="T618" s="3273">
        <v>704000</v>
      </c>
      <c r="U618" s="3267">
        <v>5700</v>
      </c>
      <c r="V618" s="3289">
        <v>0.3</v>
      </c>
      <c r="W618" s="3272">
        <v>49.28</v>
      </c>
      <c r="X618" s="3275">
        <v>492800</v>
      </c>
      <c r="Y618" s="3276">
        <v>2006</v>
      </c>
      <c r="Z618" s="3276">
        <v>8</v>
      </c>
      <c r="AA618" s="3276">
        <v>2</v>
      </c>
      <c r="AB618" s="3267">
        <v>1500</v>
      </c>
      <c r="AC618" s="3267" t="s">
        <v>2980</v>
      </c>
      <c r="AD618" s="3267"/>
      <c r="AE618" s="3314" t="s">
        <v>3245</v>
      </c>
      <c r="AF618" s="3268" t="s">
        <v>2966</v>
      </c>
      <c r="AG618" s="3279" t="s">
        <v>2967</v>
      </c>
      <c r="AH618" s="3267"/>
      <c r="AI618" s="3279" t="s">
        <v>2992</v>
      </c>
      <c r="AJ618" s="3284"/>
      <c r="AK618" s="3278">
        <v>8</v>
      </c>
      <c r="AL618" s="3276">
        <v>54</v>
      </c>
      <c r="AM618" s="3267" t="s">
        <v>7352</v>
      </c>
      <c r="AN618" s="3279" t="s">
        <v>3131</v>
      </c>
      <c r="AO618" s="3267"/>
      <c r="AP618" s="3279" t="s">
        <v>3305</v>
      </c>
      <c r="AQ618" s="3267" t="s">
        <v>3228</v>
      </c>
      <c r="AR618" s="3276"/>
      <c r="AS618" s="3276"/>
      <c r="AT618" s="3276"/>
      <c r="AU618" s="3276"/>
      <c r="AV618" s="3276"/>
      <c r="AW618" s="3276" t="s">
        <v>2997</v>
      </c>
      <c r="AX618" s="3276"/>
      <c r="AY618" s="3291"/>
      <c r="AZ618" s="3267" t="s">
        <v>7353</v>
      </c>
      <c r="BA618" s="3296"/>
      <c r="BB618" s="3297"/>
      <c r="BC618" s="3296"/>
      <c r="BD618" s="3298"/>
      <c r="BE618" s="3276"/>
      <c r="BF618" s="3281"/>
      <c r="BG618" s="3293">
        <v>38889</v>
      </c>
      <c r="BH618" s="3267" t="s">
        <v>2998</v>
      </c>
      <c r="BI618" s="3314" t="s">
        <v>3305</v>
      </c>
      <c r="BJ618" s="3283">
        <v>38889</v>
      </c>
      <c r="BK618" s="3283"/>
      <c r="BL618" s="3267" t="s">
        <v>3249</v>
      </c>
      <c r="BM618" s="3276" t="s">
        <v>2879</v>
      </c>
      <c r="BN618" s="3276" t="s">
        <v>3111</v>
      </c>
      <c r="BO618" s="3276" t="s">
        <v>3146</v>
      </c>
      <c r="BP618" s="3276"/>
      <c r="BQ618" s="3276">
        <v>6803</v>
      </c>
      <c r="BR618" s="3276">
        <v>5605</v>
      </c>
      <c r="BS618" s="3285"/>
      <c r="BT618" s="3285"/>
      <c r="BU618" s="3285"/>
    </row>
    <row r="619" spans="1:114" hidden="1">
      <c r="A619" s="3267" t="s">
        <v>7354</v>
      </c>
      <c r="B619" s="3267" t="s">
        <v>7355</v>
      </c>
      <c r="C619" s="3269" t="s">
        <v>7356</v>
      </c>
      <c r="D619" s="3269">
        <v>13621211591</v>
      </c>
      <c r="E619" s="3268" t="s">
        <v>2985</v>
      </c>
      <c r="F619" s="3268" t="s">
        <v>7357</v>
      </c>
      <c r="G619" s="3267"/>
      <c r="H619" s="3267" t="s">
        <v>3118</v>
      </c>
      <c r="I619" s="3268" t="s">
        <v>3823</v>
      </c>
      <c r="J619" s="3267" t="s">
        <v>3226</v>
      </c>
      <c r="K619" s="3267" t="s">
        <v>7358</v>
      </c>
      <c r="L619" s="3267">
        <v>80.650000000000006</v>
      </c>
      <c r="M619" s="3270">
        <v>14</v>
      </c>
      <c r="N619" s="3267" t="s">
        <v>3125</v>
      </c>
      <c r="O619" s="3267"/>
      <c r="P619" s="3267" t="s">
        <v>2963</v>
      </c>
      <c r="Q619" s="3271">
        <v>600000</v>
      </c>
      <c r="R619" s="3267">
        <v>7440</v>
      </c>
      <c r="S619" s="3272">
        <v>48.36</v>
      </c>
      <c r="T619" s="3273">
        <v>483600</v>
      </c>
      <c r="U619" s="3267">
        <v>5997</v>
      </c>
      <c r="V619" s="3289">
        <v>0.2</v>
      </c>
      <c r="W619" s="3272">
        <v>38.68</v>
      </c>
      <c r="X619" s="3275">
        <v>386800</v>
      </c>
      <c r="Y619" s="3276">
        <v>2006</v>
      </c>
      <c r="Z619" s="3276">
        <v>7</v>
      </c>
      <c r="AA619" s="3276">
        <v>14</v>
      </c>
      <c r="AB619" s="3267">
        <v>1450</v>
      </c>
      <c r="AC619" s="3267" t="s">
        <v>2980</v>
      </c>
      <c r="AD619" s="3267"/>
      <c r="AE619" s="3279" t="s">
        <v>3295</v>
      </c>
      <c r="AF619" s="3268" t="s">
        <v>2966</v>
      </c>
      <c r="AG619" s="3279" t="s">
        <v>2967</v>
      </c>
      <c r="AH619" s="3267"/>
      <c r="AI619" s="3279" t="s">
        <v>2992</v>
      </c>
      <c r="AJ619" s="3284"/>
      <c r="AK619" s="3278">
        <v>7</v>
      </c>
      <c r="AL619" s="3276">
        <v>41</v>
      </c>
      <c r="AM619" s="3276" t="s">
        <v>2968</v>
      </c>
      <c r="AN619" s="3279" t="s">
        <v>3140</v>
      </c>
      <c r="AO619" s="3267" t="s">
        <v>7359</v>
      </c>
      <c r="AP619" s="3279" t="s">
        <v>3305</v>
      </c>
      <c r="AQ619" s="3267" t="s">
        <v>3228</v>
      </c>
      <c r="AR619" s="3276"/>
      <c r="AS619" s="3276"/>
      <c r="AT619" s="3276"/>
      <c r="AU619" s="3276"/>
      <c r="AV619" s="3276"/>
      <c r="AW619" s="3276" t="s">
        <v>3112</v>
      </c>
      <c r="AX619" s="3276"/>
      <c r="AY619" s="3291"/>
      <c r="AZ619" s="3267" t="s">
        <v>7358</v>
      </c>
      <c r="BA619" s="3296"/>
      <c r="BB619" s="3297"/>
      <c r="BC619" s="3296"/>
      <c r="BD619" s="3298"/>
      <c r="BE619" s="3276">
        <v>13601257375</v>
      </c>
      <c r="BF619" s="3281"/>
      <c r="BG619" s="3293">
        <v>38889</v>
      </c>
      <c r="BH619" s="3267" t="s">
        <v>2998</v>
      </c>
      <c r="BI619" s="3314" t="s">
        <v>3305</v>
      </c>
      <c r="BJ619" s="3283">
        <v>38897</v>
      </c>
      <c r="BK619" s="3283"/>
      <c r="BL619" s="3267" t="s">
        <v>3249</v>
      </c>
      <c r="BM619" s="3276" t="s">
        <v>3345</v>
      </c>
      <c r="BN619" s="3276" t="s">
        <v>2999</v>
      </c>
      <c r="BO619" s="3276" t="s">
        <v>3000</v>
      </c>
      <c r="BP619" s="3276"/>
      <c r="BQ619" s="3276" t="e">
        <v>#DIV/0!</v>
      </c>
      <c r="BR619" s="3276" t="e">
        <v>#DIV/0!</v>
      </c>
      <c r="BS619" s="3285"/>
      <c r="BT619" s="3285"/>
      <c r="BU619" s="3285"/>
    </row>
    <row r="620" spans="1:114" hidden="1">
      <c r="A620" s="3268" t="s">
        <v>7360</v>
      </c>
      <c r="B620" s="3267" t="s">
        <v>7361</v>
      </c>
      <c r="C620" s="3267" t="s">
        <v>7362</v>
      </c>
      <c r="D620" s="3267">
        <v>13910932448</v>
      </c>
      <c r="E620" s="3267" t="s">
        <v>2985</v>
      </c>
      <c r="F620" s="3267" t="s">
        <v>4386</v>
      </c>
      <c r="G620" s="3267"/>
      <c r="H620" s="3267" t="s">
        <v>3150</v>
      </c>
      <c r="I620" s="3267"/>
      <c r="J620" s="3267">
        <v>1107</v>
      </c>
      <c r="K620" s="3267" t="s">
        <v>7363</v>
      </c>
      <c r="L620" s="3267">
        <v>78.11</v>
      </c>
      <c r="M620" s="3267">
        <v>11</v>
      </c>
      <c r="N620" s="3267" t="s">
        <v>3122</v>
      </c>
      <c r="O620" s="3267"/>
      <c r="P620" s="3267" t="s">
        <v>2963</v>
      </c>
      <c r="Q620" s="3267">
        <v>420000</v>
      </c>
      <c r="R620" s="3288">
        <v>5377</v>
      </c>
      <c r="S620" s="3272">
        <v>41.92</v>
      </c>
      <c r="T620" s="3273">
        <v>419200</v>
      </c>
      <c r="U620" s="3267">
        <v>5367</v>
      </c>
      <c r="V620" s="3289">
        <v>0.2</v>
      </c>
      <c r="W620" s="3272">
        <v>33.53</v>
      </c>
      <c r="X620" s="3273">
        <v>335300</v>
      </c>
      <c r="Y620" s="3267">
        <v>2006</v>
      </c>
      <c r="Z620" s="3276">
        <v>6</v>
      </c>
      <c r="AA620" s="3267">
        <v>30</v>
      </c>
      <c r="AB620" s="3267">
        <v>1255</v>
      </c>
      <c r="AC620" s="3267" t="s">
        <v>2980</v>
      </c>
      <c r="AD620" s="3267"/>
      <c r="AE620" s="3267" t="s">
        <v>3487</v>
      </c>
      <c r="AF620" s="3267" t="s">
        <v>2966</v>
      </c>
      <c r="AG620" s="3267" t="s">
        <v>2967</v>
      </c>
      <c r="AH620" s="3267"/>
      <c r="AI620" s="3267" t="s">
        <v>3115</v>
      </c>
      <c r="AJ620" s="3267"/>
      <c r="AK620" s="3278">
        <v>6</v>
      </c>
      <c r="AL620" s="3267">
        <v>82253558</v>
      </c>
      <c r="AM620" s="3267"/>
      <c r="AN620" s="3279" t="s">
        <v>3099</v>
      </c>
      <c r="AO620" s="3267"/>
      <c r="AP620" s="3267" t="s">
        <v>3180</v>
      </c>
      <c r="AQ620" s="3267" t="s">
        <v>3228</v>
      </c>
      <c r="AR620" s="3267"/>
      <c r="AS620" s="3267"/>
      <c r="AT620" s="3267"/>
      <c r="AU620" s="3267"/>
      <c r="AV620" s="3267"/>
      <c r="AW620" s="3267" t="s">
        <v>3112</v>
      </c>
      <c r="AX620" s="3267"/>
      <c r="AY620" s="3267"/>
      <c r="AZ620" s="3267" t="s">
        <v>7363</v>
      </c>
      <c r="BA620" s="3267"/>
      <c r="BB620" s="3267"/>
      <c r="BC620" s="3267"/>
      <c r="BD620" s="3267"/>
      <c r="BE620" s="3267"/>
      <c r="BF620" s="3267"/>
      <c r="BG620" s="3290">
        <v>38890</v>
      </c>
      <c r="BH620" s="3267"/>
      <c r="BI620" s="3267" t="s">
        <v>3537</v>
      </c>
      <c r="BJ620" s="3290">
        <v>38890</v>
      </c>
      <c r="BK620" s="3267"/>
      <c r="BL620" s="3267" t="s">
        <v>2998</v>
      </c>
      <c r="BM620" s="3267" t="s">
        <v>3345</v>
      </c>
      <c r="BN620" s="3267" t="s">
        <v>2999</v>
      </c>
      <c r="BO620" s="3267"/>
      <c r="BP620" s="3267"/>
      <c r="BQ620" s="3276" t="e">
        <v>#DIV/0!</v>
      </c>
      <c r="BR620" s="3276" t="e">
        <v>#DIV/0!</v>
      </c>
      <c r="BS620" s="3285"/>
      <c r="BT620" s="3285"/>
      <c r="BU620" s="3285"/>
    </row>
    <row r="621" spans="1:114" hidden="1">
      <c r="A621" s="3267" t="s">
        <v>7364</v>
      </c>
      <c r="B621" s="3267" t="s">
        <v>7365</v>
      </c>
      <c r="C621" s="3269" t="s">
        <v>7366</v>
      </c>
      <c r="D621" s="3269" t="s">
        <v>7367</v>
      </c>
      <c r="E621" s="3268" t="s">
        <v>2985</v>
      </c>
      <c r="F621" s="3268" t="s">
        <v>4884</v>
      </c>
      <c r="G621" s="3267"/>
      <c r="H621" s="3268" t="s">
        <v>7368</v>
      </c>
      <c r="I621" s="3268" t="s">
        <v>3254</v>
      </c>
      <c r="J621" s="3267" t="s">
        <v>3301</v>
      </c>
      <c r="K621" s="3267" t="s">
        <v>7365</v>
      </c>
      <c r="L621" s="3267">
        <v>134.63</v>
      </c>
      <c r="M621" s="3270">
        <v>5</v>
      </c>
      <c r="N621" s="3267" t="s">
        <v>3129</v>
      </c>
      <c r="O621" s="3267">
        <v>121.68</v>
      </c>
      <c r="P621" s="3267" t="s">
        <v>2963</v>
      </c>
      <c r="Q621" s="3271">
        <v>700000</v>
      </c>
      <c r="R621" s="3267">
        <v>5199</v>
      </c>
      <c r="S621" s="3272">
        <v>72.510000000000005</v>
      </c>
      <c r="T621" s="3273">
        <v>725100</v>
      </c>
      <c r="U621" s="3267">
        <v>5386</v>
      </c>
      <c r="V621" s="3289">
        <v>0.3</v>
      </c>
      <c r="W621" s="3272">
        <v>50.75</v>
      </c>
      <c r="X621" s="3275">
        <v>507500</v>
      </c>
      <c r="Y621" s="3276">
        <v>2006</v>
      </c>
      <c r="Z621" s="3276">
        <v>7</v>
      </c>
      <c r="AA621" s="3276">
        <v>14</v>
      </c>
      <c r="AB621" s="3267">
        <v>1500</v>
      </c>
      <c r="AC621" s="3267" t="s">
        <v>2980</v>
      </c>
      <c r="AD621" s="3267"/>
      <c r="AE621" s="3314" t="s">
        <v>3245</v>
      </c>
      <c r="AF621" s="3268" t="s">
        <v>2966</v>
      </c>
      <c r="AG621" s="3279" t="s">
        <v>2967</v>
      </c>
      <c r="AH621" s="3267"/>
      <c r="AI621" s="3279" t="s">
        <v>2992</v>
      </c>
      <c r="AJ621" s="3284"/>
      <c r="AK621" s="3278">
        <v>7</v>
      </c>
      <c r="AL621" s="3276">
        <v>42</v>
      </c>
      <c r="AM621" s="3267" t="s">
        <v>7369</v>
      </c>
      <c r="AN621" s="3279" t="s">
        <v>3140</v>
      </c>
      <c r="AO621" s="3267"/>
      <c r="AP621" s="3279" t="s">
        <v>3305</v>
      </c>
      <c r="AQ621" s="3267" t="s">
        <v>3228</v>
      </c>
      <c r="AR621" s="3276"/>
      <c r="AS621" s="3276"/>
      <c r="AT621" s="3276"/>
      <c r="AU621" s="3276"/>
      <c r="AV621" s="3276"/>
      <c r="AW621" s="3276" t="s">
        <v>2997</v>
      </c>
      <c r="AX621" s="3276"/>
      <c r="AY621" s="3291"/>
      <c r="AZ621" s="3267" t="s">
        <v>7370</v>
      </c>
      <c r="BA621" s="3296"/>
      <c r="BB621" s="3297"/>
      <c r="BC621" s="3296"/>
      <c r="BD621" s="3298"/>
      <c r="BE621" s="3276">
        <v>13810823000</v>
      </c>
      <c r="BF621" s="3281"/>
      <c r="BG621" s="3293">
        <v>38890</v>
      </c>
      <c r="BH621" s="3267" t="s">
        <v>2998</v>
      </c>
      <c r="BI621" s="3314" t="s">
        <v>3305</v>
      </c>
      <c r="BJ621" s="3283">
        <v>38890</v>
      </c>
      <c r="BK621" s="3283"/>
      <c r="BL621" s="3267" t="s">
        <v>3249</v>
      </c>
      <c r="BM621" s="3276" t="s">
        <v>2879</v>
      </c>
      <c r="BN621" s="3276" t="s">
        <v>3111</v>
      </c>
      <c r="BO621" s="3276" t="s">
        <v>3146</v>
      </c>
      <c r="BP621" s="3276"/>
      <c r="BQ621" s="3276">
        <v>5959</v>
      </c>
      <c r="BR621" s="3276">
        <v>5753</v>
      </c>
      <c r="BS621" s="3285"/>
      <c r="BT621" s="3285"/>
      <c r="BU621" s="3285"/>
    </row>
    <row r="622" spans="1:114">
      <c r="A622" s="3267" t="s">
        <v>7371</v>
      </c>
      <c r="B622" s="3267" t="s">
        <v>5643</v>
      </c>
      <c r="C622" s="3269" t="s">
        <v>7372</v>
      </c>
      <c r="D622" s="3269" t="s">
        <v>7373</v>
      </c>
      <c r="E622" s="3268" t="s">
        <v>2985</v>
      </c>
      <c r="F622" s="3268" t="s">
        <v>4729</v>
      </c>
      <c r="G622" s="3267"/>
      <c r="H622" s="3268" t="s">
        <v>3138</v>
      </c>
      <c r="I622" s="3268"/>
      <c r="J622" s="3267" t="s">
        <v>7374</v>
      </c>
      <c r="K622" s="3267" t="s">
        <v>7375</v>
      </c>
      <c r="L622" s="3267">
        <v>79.92</v>
      </c>
      <c r="M622" s="3267">
        <v>22</v>
      </c>
      <c r="N622" s="3267" t="s">
        <v>3122</v>
      </c>
      <c r="O622" s="3267" t="s">
        <v>2968</v>
      </c>
      <c r="P622" s="3267" t="s">
        <v>2963</v>
      </c>
      <c r="Q622" s="3271">
        <v>550000</v>
      </c>
      <c r="R622" s="3267">
        <v>6882</v>
      </c>
      <c r="S622" s="3272">
        <v>52.09</v>
      </c>
      <c r="T622" s="3273">
        <v>520900.00000000006</v>
      </c>
      <c r="U622" s="3267">
        <v>6518</v>
      </c>
      <c r="V622" s="3289">
        <v>0.2</v>
      </c>
      <c r="W622" s="3272">
        <v>41.67</v>
      </c>
      <c r="X622" s="3275">
        <v>416700</v>
      </c>
      <c r="Y622" s="3276">
        <v>2006</v>
      </c>
      <c r="Z622" s="3276">
        <v>7</v>
      </c>
      <c r="AA622" s="3276">
        <v>3</v>
      </c>
      <c r="AB622" s="3267">
        <v>1500</v>
      </c>
      <c r="AC622" s="3267" t="s">
        <v>2980</v>
      </c>
      <c r="AD622" s="3267"/>
      <c r="AE622" s="3314" t="s">
        <v>3344</v>
      </c>
      <c r="AF622" s="3268" t="s">
        <v>2966</v>
      </c>
      <c r="AG622" s="3279" t="s">
        <v>2967</v>
      </c>
      <c r="AH622" s="3267" t="s">
        <v>2968</v>
      </c>
      <c r="AI622" s="3279" t="s">
        <v>2992</v>
      </c>
      <c r="AJ622" s="3284"/>
      <c r="AK622" s="3278">
        <v>7</v>
      </c>
      <c r="AL622" s="3276">
        <v>55</v>
      </c>
      <c r="AM622" s="3276"/>
      <c r="AN622" s="3279" t="s">
        <v>3131</v>
      </c>
      <c r="AO622" s="3267"/>
      <c r="AP622" s="3279" t="s">
        <v>3305</v>
      </c>
      <c r="AQ622" s="3276" t="s">
        <v>3113</v>
      </c>
      <c r="AR622" s="3276"/>
      <c r="AS622" s="3276"/>
      <c r="AT622" s="3276"/>
      <c r="AU622" s="3276"/>
      <c r="AV622" s="3276"/>
      <c r="AW622" s="3276" t="s">
        <v>2997</v>
      </c>
      <c r="AX622" s="3276"/>
      <c r="AY622" s="3291"/>
      <c r="AZ622" s="3267" t="s">
        <v>7375</v>
      </c>
      <c r="BA622" s="3296"/>
      <c r="BB622" s="3297"/>
      <c r="BC622" s="3296"/>
      <c r="BD622" s="3298"/>
      <c r="BE622" s="3276">
        <v>13910803963</v>
      </c>
      <c r="BF622" s="3281"/>
      <c r="BG622" s="3293">
        <v>38890</v>
      </c>
      <c r="BH622" s="3267" t="s">
        <v>2998</v>
      </c>
      <c r="BI622" s="3314" t="s">
        <v>3305</v>
      </c>
      <c r="BJ622" s="3283">
        <v>38896</v>
      </c>
      <c r="BK622" s="3283"/>
      <c r="BL622" s="3267" t="s">
        <v>3249</v>
      </c>
      <c r="BM622" s="3276" t="s">
        <v>2879</v>
      </c>
      <c r="BN622" s="3276" t="s">
        <v>2999</v>
      </c>
      <c r="BO622" s="3276"/>
      <c r="BP622" s="3276"/>
      <c r="BQ622" s="3276" t="e">
        <v>#VALUE!</v>
      </c>
      <c r="BR622" s="3276" t="e">
        <v>#VALUE!</v>
      </c>
      <c r="BS622" s="3285"/>
      <c r="BT622" s="3285"/>
      <c r="BU622" s="3285"/>
    </row>
    <row r="623" spans="1:114" hidden="1">
      <c r="A623" s="3267" t="s">
        <v>7376</v>
      </c>
      <c r="B623" s="3267" t="s">
        <v>7377</v>
      </c>
      <c r="C623" s="3269" t="s">
        <v>7378</v>
      </c>
      <c r="D623" s="3267">
        <v>13910688089</v>
      </c>
      <c r="E623" s="3267" t="s">
        <v>2985</v>
      </c>
      <c r="F623" s="3267" t="s">
        <v>7379</v>
      </c>
      <c r="G623" s="3267"/>
      <c r="H623" s="3267" t="s">
        <v>3139</v>
      </c>
      <c r="I623" s="3267"/>
      <c r="J623" s="3267" t="s">
        <v>7380</v>
      </c>
      <c r="K623" s="3268" t="s">
        <v>4309</v>
      </c>
      <c r="L623" s="3267">
        <v>86.96</v>
      </c>
      <c r="M623" s="3267">
        <v>13</v>
      </c>
      <c r="N623" s="3267" t="s">
        <v>3122</v>
      </c>
      <c r="O623" s="3267"/>
      <c r="P623" s="3267" t="s">
        <v>2963</v>
      </c>
      <c r="Q623" s="3267">
        <v>540000</v>
      </c>
      <c r="R623" s="3267">
        <v>6210</v>
      </c>
      <c r="S623" s="3272">
        <v>58.08</v>
      </c>
      <c r="T623" s="3273">
        <v>580800</v>
      </c>
      <c r="U623" s="3267">
        <v>6679</v>
      </c>
      <c r="V623" s="3289">
        <v>0.2</v>
      </c>
      <c r="W623" s="3272">
        <v>46.46</v>
      </c>
      <c r="X623" s="3275">
        <v>464600</v>
      </c>
      <c r="Y623" s="3276">
        <v>2006</v>
      </c>
      <c r="Z623" s="3276">
        <v>12</v>
      </c>
      <c r="AA623" s="3276">
        <v>26</v>
      </c>
      <c r="AB623" s="3267">
        <v>1500</v>
      </c>
      <c r="AC623" s="3267" t="s">
        <v>2980</v>
      </c>
      <c r="AD623" s="3267">
        <v>91302006071528</v>
      </c>
      <c r="AE623" s="3267" t="s">
        <v>2979</v>
      </c>
      <c r="AF623" s="3267" t="s">
        <v>2966</v>
      </c>
      <c r="AG623" s="3267" t="s">
        <v>2967</v>
      </c>
      <c r="AH623" s="3267"/>
      <c r="AI623" s="3270" t="s">
        <v>2992</v>
      </c>
      <c r="AJ623" s="3284"/>
      <c r="AK623" s="3267" t="s">
        <v>3120</v>
      </c>
      <c r="AL623" s="3267">
        <v>53</v>
      </c>
      <c r="AM623" s="3267" t="s">
        <v>7381</v>
      </c>
      <c r="AN623" s="3279" t="s">
        <v>2994</v>
      </c>
      <c r="AO623" s="3267" t="s">
        <v>7382</v>
      </c>
      <c r="AP623" s="3267" t="s">
        <v>2979</v>
      </c>
      <c r="AQ623" s="3267" t="s">
        <v>3228</v>
      </c>
      <c r="AR623" s="3267">
        <v>2006</v>
      </c>
      <c r="AS623" s="3267">
        <v>12</v>
      </c>
      <c r="AT623" s="3267">
        <v>26</v>
      </c>
      <c r="AU623" s="3267"/>
      <c r="AV623" s="3267"/>
      <c r="AW623" s="3267" t="s">
        <v>3171</v>
      </c>
      <c r="AX623" s="3267"/>
      <c r="AY623" s="3269"/>
      <c r="AZ623" s="3267" t="s">
        <v>4309</v>
      </c>
      <c r="BA623" s="3267"/>
      <c r="BB623" s="3267"/>
      <c r="BC623" s="3267"/>
      <c r="BD623" s="3267"/>
      <c r="BE623" s="3267"/>
      <c r="BF623" s="3267"/>
      <c r="BG623" s="3307">
        <v>38924</v>
      </c>
      <c r="BH623" s="3267"/>
      <c r="BI623" s="3267" t="s">
        <v>2979</v>
      </c>
      <c r="BJ623" s="3283">
        <v>38924</v>
      </c>
      <c r="BK623" s="3283"/>
      <c r="BL623" s="3267" t="s">
        <v>2998</v>
      </c>
      <c r="BM623" s="3267" t="s">
        <v>2879</v>
      </c>
      <c r="BN623" s="3267" t="s">
        <v>2999</v>
      </c>
      <c r="BO623" s="3267" t="s">
        <v>3000</v>
      </c>
      <c r="BP623" s="3267"/>
      <c r="BQ623" s="3276" t="e">
        <v>#DIV/0!</v>
      </c>
      <c r="BR623" s="3276" t="e">
        <v>#DIV/0!</v>
      </c>
      <c r="BS623" s="3285"/>
      <c r="BT623" s="3285"/>
      <c r="BU623" s="3285"/>
    </row>
    <row r="624" spans="1:114" hidden="1">
      <c r="A624" s="3267" t="s">
        <v>7383</v>
      </c>
      <c r="B624" s="3267" t="s">
        <v>7384</v>
      </c>
      <c r="C624" s="3269" t="s">
        <v>7385</v>
      </c>
      <c r="D624" s="3269" t="s">
        <v>7386</v>
      </c>
      <c r="E624" s="3267" t="s">
        <v>2985</v>
      </c>
      <c r="F624" s="3267" t="s">
        <v>7276</v>
      </c>
      <c r="G624" s="3267"/>
      <c r="H624" s="3267" t="s">
        <v>3964</v>
      </c>
      <c r="I624" s="3267"/>
      <c r="J624" s="3269" t="s">
        <v>7387</v>
      </c>
      <c r="K624" s="3267" t="s">
        <v>7388</v>
      </c>
      <c r="L624" s="3286">
        <v>78.64</v>
      </c>
      <c r="M624" s="3267">
        <v>10</v>
      </c>
      <c r="N624" s="3269" t="s">
        <v>3152</v>
      </c>
      <c r="O624" s="3267">
        <v>63.11</v>
      </c>
      <c r="P624" s="3267" t="s">
        <v>2963</v>
      </c>
      <c r="Q624" s="3287">
        <v>563000</v>
      </c>
      <c r="R624" s="3267">
        <v>7159</v>
      </c>
      <c r="S624" s="3272">
        <v>48.04</v>
      </c>
      <c r="T624" s="3273">
        <v>480400</v>
      </c>
      <c r="U624" s="3267">
        <v>6109</v>
      </c>
      <c r="V624" s="3274">
        <v>0.2</v>
      </c>
      <c r="W624" s="3272">
        <v>38.43</v>
      </c>
      <c r="X624" s="3275">
        <v>384300</v>
      </c>
      <c r="Y624" s="3276">
        <v>2006</v>
      </c>
      <c r="Z624" s="3276">
        <v>7</v>
      </c>
      <c r="AA624" s="3276">
        <v>13</v>
      </c>
      <c r="AB624" s="3267">
        <v>1440</v>
      </c>
      <c r="AC624" s="3267" t="s">
        <v>2980</v>
      </c>
      <c r="AD624" s="3267"/>
      <c r="AE624" s="3276" t="s">
        <v>3304</v>
      </c>
      <c r="AF624" s="3267" t="s">
        <v>2966</v>
      </c>
      <c r="AG624" s="3279" t="s">
        <v>2967</v>
      </c>
      <c r="AH624" s="3267"/>
      <c r="AI624" s="3267" t="s">
        <v>3295</v>
      </c>
      <c r="AJ624" s="3284"/>
      <c r="AK624" s="3316" t="s">
        <v>2993</v>
      </c>
      <c r="AL624" s="3267">
        <v>54</v>
      </c>
      <c r="AM624" s="3267"/>
      <c r="AN624" s="3371" t="s">
        <v>3140</v>
      </c>
      <c r="AO624" s="3267"/>
      <c r="AP624" s="3267" t="s">
        <v>3342</v>
      </c>
      <c r="AQ624" s="3267" t="s">
        <v>3228</v>
      </c>
      <c r="AR624" s="3276"/>
      <c r="AS624" s="3276"/>
      <c r="AT624" s="3276"/>
      <c r="AU624" s="3276"/>
      <c r="AV624" s="3276"/>
      <c r="AW624" s="3276" t="s">
        <v>2968</v>
      </c>
      <c r="AX624" s="3276"/>
      <c r="AY624" s="3291"/>
      <c r="AZ624" s="3276" t="s">
        <v>7388</v>
      </c>
      <c r="BA624" s="3276"/>
      <c r="BB624" s="3291"/>
      <c r="BC624" s="3276"/>
      <c r="BD624" s="3292"/>
      <c r="BE624" s="3276"/>
      <c r="BF624" s="3281"/>
      <c r="BG624" s="3299">
        <v>38890</v>
      </c>
      <c r="BH624" s="3276"/>
      <c r="BI624" s="3267" t="s">
        <v>3342</v>
      </c>
      <c r="BJ624" s="3283">
        <v>38897</v>
      </c>
      <c r="BK624" s="3283"/>
      <c r="BL624" s="3267" t="s">
        <v>2998</v>
      </c>
      <c r="BM624" s="3276" t="s">
        <v>2879</v>
      </c>
      <c r="BN624" s="3276" t="s">
        <v>2999</v>
      </c>
      <c r="BO624" s="3276" t="s">
        <v>3146</v>
      </c>
      <c r="BP624" s="3276"/>
      <c r="BQ624" s="3276"/>
      <c r="BR624" s="3276"/>
      <c r="BS624" s="3285"/>
      <c r="BT624" s="3285"/>
      <c r="BU624" s="3285"/>
    </row>
    <row r="625" spans="1:109" hidden="1">
      <c r="A625" s="3268" t="s">
        <v>7389</v>
      </c>
      <c r="B625" s="3267" t="s">
        <v>7390</v>
      </c>
      <c r="C625" s="3269" t="s">
        <v>7391</v>
      </c>
      <c r="D625" s="3269" t="s">
        <v>7392</v>
      </c>
      <c r="E625" s="3268" t="s">
        <v>2985</v>
      </c>
      <c r="F625" s="3268" t="s">
        <v>7393</v>
      </c>
      <c r="G625" s="3267"/>
      <c r="H625" s="3268" t="s">
        <v>3144</v>
      </c>
      <c r="I625" s="3268"/>
      <c r="J625" s="3267" t="s">
        <v>7394</v>
      </c>
      <c r="K625" s="3267" t="s">
        <v>7390</v>
      </c>
      <c r="L625" s="3267">
        <v>69.430000000000007</v>
      </c>
      <c r="M625" s="3267">
        <v>5</v>
      </c>
      <c r="N625" s="3267" t="s">
        <v>3125</v>
      </c>
      <c r="O625" s="3267"/>
      <c r="P625" s="3267" t="s">
        <v>2963</v>
      </c>
      <c r="Q625" s="3271">
        <v>480000</v>
      </c>
      <c r="R625" s="3267">
        <v>6913</v>
      </c>
      <c r="S625" s="3272">
        <v>44.56</v>
      </c>
      <c r="T625" s="3273">
        <v>445600</v>
      </c>
      <c r="U625" s="3267">
        <v>6419</v>
      </c>
      <c r="V625" s="3289">
        <v>0.2</v>
      </c>
      <c r="W625" s="3272">
        <v>35.64</v>
      </c>
      <c r="X625" s="3275">
        <v>356400</v>
      </c>
      <c r="Y625" s="3276">
        <v>2006</v>
      </c>
      <c r="Z625" s="3276">
        <v>7</v>
      </c>
      <c r="AA625" s="3267">
        <v>26</v>
      </c>
      <c r="AB625" s="3267">
        <v>1335</v>
      </c>
      <c r="AC625" s="3267" t="s">
        <v>2980</v>
      </c>
      <c r="AD625" s="3267"/>
      <c r="AE625" s="3279" t="s">
        <v>3069</v>
      </c>
      <c r="AF625" s="3268" t="s">
        <v>2966</v>
      </c>
      <c r="AG625" s="3279" t="s">
        <v>2967</v>
      </c>
      <c r="AH625" s="3267"/>
      <c r="AI625" s="3279" t="s">
        <v>2992</v>
      </c>
      <c r="AJ625" s="3284"/>
      <c r="AK625" s="3278">
        <v>7</v>
      </c>
      <c r="AL625" s="3276">
        <v>34</v>
      </c>
      <c r="AM625" s="3267" t="s">
        <v>7395</v>
      </c>
      <c r="AN625" s="3279" t="s">
        <v>2994</v>
      </c>
      <c r="AO625" s="3267"/>
      <c r="AP625" s="3279" t="s">
        <v>3305</v>
      </c>
      <c r="AQ625" s="3267" t="s">
        <v>3228</v>
      </c>
      <c r="AR625" s="3276"/>
      <c r="AS625" s="3276"/>
      <c r="AT625" s="3276"/>
      <c r="AU625" s="3276"/>
      <c r="AV625" s="3276"/>
      <c r="AW625" s="3276" t="s">
        <v>2997</v>
      </c>
      <c r="AX625" s="3276"/>
      <c r="AY625" s="3291"/>
      <c r="AZ625" s="3267" t="s">
        <v>7396</v>
      </c>
      <c r="BA625" s="3296"/>
      <c r="BB625" s="3297"/>
      <c r="BC625" s="3296"/>
      <c r="BD625" s="3298"/>
      <c r="BE625" s="3276"/>
      <c r="BF625" s="3281"/>
      <c r="BG625" s="3290">
        <v>38890</v>
      </c>
      <c r="BH625" s="3267" t="s">
        <v>2998</v>
      </c>
      <c r="BI625" s="3267" t="s">
        <v>3537</v>
      </c>
      <c r="BJ625" s="3290">
        <v>38890</v>
      </c>
      <c r="BK625" s="3283"/>
      <c r="BL625" s="3267" t="s">
        <v>3249</v>
      </c>
      <c r="BM625" s="3276" t="s">
        <v>3345</v>
      </c>
      <c r="BN625" s="3276" t="s">
        <v>3111</v>
      </c>
      <c r="BO625" s="3276" t="s">
        <v>3146</v>
      </c>
      <c r="BP625" s="3276"/>
      <c r="BQ625" s="3276" t="e">
        <v>#DIV/0!</v>
      </c>
      <c r="BR625" s="3276" t="e">
        <v>#DIV/0!</v>
      </c>
      <c r="BS625" s="3285"/>
      <c r="BT625" s="3285"/>
      <c r="BU625" s="3285"/>
    </row>
    <row r="626" spans="1:109" hidden="1">
      <c r="A626" s="3267" t="s">
        <v>7397</v>
      </c>
      <c r="B626" s="3267" t="s">
        <v>7398</v>
      </c>
      <c r="C626" s="3269" t="s">
        <v>7399</v>
      </c>
      <c r="D626" s="3269" t="s">
        <v>7400</v>
      </c>
      <c r="E626" s="3268" t="s">
        <v>2985</v>
      </c>
      <c r="F626" s="3268" t="s">
        <v>5176</v>
      </c>
      <c r="G626" s="3267"/>
      <c r="H626" s="3267" t="s">
        <v>3130</v>
      </c>
      <c r="I626" s="3268"/>
      <c r="J626" s="3267" t="s">
        <v>7401</v>
      </c>
      <c r="K626" s="3267"/>
      <c r="L626" s="3267">
        <v>70.37</v>
      </c>
      <c r="M626" s="3267">
        <v>4</v>
      </c>
      <c r="N626" s="3267" t="s">
        <v>3122</v>
      </c>
      <c r="O626" s="3267"/>
      <c r="P626" s="3267" t="s">
        <v>2963</v>
      </c>
      <c r="Q626" s="3271">
        <v>560000</v>
      </c>
      <c r="R626" s="3288">
        <v>7958</v>
      </c>
      <c r="S626" s="3272">
        <v>43.79</v>
      </c>
      <c r="T626" s="3273">
        <v>437900</v>
      </c>
      <c r="U626" s="3267">
        <v>6223</v>
      </c>
      <c r="V626" s="3289">
        <v>0.2</v>
      </c>
      <c r="W626" s="3272">
        <v>35.03</v>
      </c>
      <c r="X626" s="3273">
        <v>350300</v>
      </c>
      <c r="Y626" s="3267">
        <v>2006</v>
      </c>
      <c r="Z626" s="3276">
        <v>9</v>
      </c>
      <c r="AA626" s="3276">
        <v>8</v>
      </c>
      <c r="AB626" s="3267">
        <v>1310</v>
      </c>
      <c r="AC626" s="3267" t="s">
        <v>2980</v>
      </c>
      <c r="AD626" s="3269" t="s">
        <v>7402</v>
      </c>
      <c r="AE626" s="3279" t="s">
        <v>3069</v>
      </c>
      <c r="AF626" s="3268" t="s">
        <v>2966</v>
      </c>
      <c r="AG626" s="3279" t="s">
        <v>2967</v>
      </c>
      <c r="AH626" s="3267"/>
      <c r="AI626" s="3279" t="s">
        <v>2992</v>
      </c>
      <c r="AJ626" s="3284"/>
      <c r="AK626" s="3278">
        <v>9</v>
      </c>
      <c r="AL626" s="3276">
        <v>45</v>
      </c>
      <c r="AM626" s="3267" t="s">
        <v>7403</v>
      </c>
      <c r="AN626" s="3279" t="s">
        <v>3140</v>
      </c>
      <c r="AO626" s="3267" t="s">
        <v>7404</v>
      </c>
      <c r="AP626" s="3279" t="s">
        <v>4395</v>
      </c>
      <c r="AQ626" s="3267" t="s">
        <v>3228</v>
      </c>
      <c r="AR626" s="3276"/>
      <c r="AS626" s="3276"/>
      <c r="AT626" s="3276"/>
      <c r="AU626" s="3276"/>
      <c r="AV626" s="3276"/>
      <c r="AW626" s="3276" t="s">
        <v>2997</v>
      </c>
      <c r="AX626" s="3276"/>
      <c r="AY626" s="3291"/>
      <c r="AZ626" s="3267" t="s">
        <v>7405</v>
      </c>
      <c r="BA626" s="3296"/>
      <c r="BB626" s="3297"/>
      <c r="BC626" s="3296"/>
      <c r="BD626" s="3298"/>
      <c r="BE626" s="3276"/>
      <c r="BF626" s="3281"/>
      <c r="BG626" s="3293">
        <v>38890</v>
      </c>
      <c r="BH626" s="3276"/>
      <c r="BI626" s="3314" t="s">
        <v>4395</v>
      </c>
      <c r="BJ626" s="3283">
        <v>38952</v>
      </c>
      <c r="BK626" s="3283"/>
      <c r="BL626" s="3267" t="s">
        <v>2998</v>
      </c>
      <c r="BM626" s="3276" t="s">
        <v>2879</v>
      </c>
      <c r="BN626" s="3276" t="s">
        <v>3111</v>
      </c>
      <c r="BO626" s="3276" t="s">
        <v>5178</v>
      </c>
      <c r="BP626" s="3276"/>
      <c r="BQ626" s="3276" t="e">
        <v>#DIV/0!</v>
      </c>
      <c r="BR626" s="3276" t="e">
        <v>#DIV/0!</v>
      </c>
      <c r="BS626" s="3285"/>
      <c r="BT626" s="3285"/>
      <c r="BU626" s="3285"/>
    </row>
    <row r="627" spans="1:109" hidden="1">
      <c r="A627" s="3267" t="s">
        <v>7406</v>
      </c>
      <c r="B627" s="3267" t="s">
        <v>7407</v>
      </c>
      <c r="C627" s="3269" t="s">
        <v>7408</v>
      </c>
      <c r="D627" s="3269" t="s">
        <v>7409</v>
      </c>
      <c r="E627" s="3268" t="s">
        <v>2985</v>
      </c>
      <c r="F627" s="3268" t="s">
        <v>6124</v>
      </c>
      <c r="G627" s="3267"/>
      <c r="H627" s="3267" t="s">
        <v>3263</v>
      </c>
      <c r="I627" s="3268" t="s">
        <v>3188</v>
      </c>
      <c r="J627" s="3267" t="s">
        <v>3151</v>
      </c>
      <c r="K627" s="3267" t="s">
        <v>7407</v>
      </c>
      <c r="L627" s="3267">
        <v>112.39</v>
      </c>
      <c r="M627" s="3267">
        <v>5</v>
      </c>
      <c r="N627" s="3267" t="s">
        <v>3122</v>
      </c>
      <c r="O627" s="3267">
        <v>90.5</v>
      </c>
      <c r="P627" s="3267" t="s">
        <v>2963</v>
      </c>
      <c r="Q627" s="3271">
        <v>680000</v>
      </c>
      <c r="R627" s="3288">
        <v>6050</v>
      </c>
      <c r="S627" s="3272">
        <v>71.05</v>
      </c>
      <c r="T627" s="3273">
        <v>710500</v>
      </c>
      <c r="U627" s="3267">
        <v>6322</v>
      </c>
      <c r="V627" s="3289">
        <v>0.3</v>
      </c>
      <c r="W627" s="3272">
        <v>49.73</v>
      </c>
      <c r="X627" s="3273">
        <v>497300</v>
      </c>
      <c r="Y627" s="3267">
        <v>2006</v>
      </c>
      <c r="Z627" s="3276">
        <v>7</v>
      </c>
      <c r="AA627" s="3276">
        <v>19</v>
      </c>
      <c r="AB627" s="3267">
        <v>1500</v>
      </c>
      <c r="AC627" s="3267" t="s">
        <v>2980</v>
      </c>
      <c r="AD627" s="3267"/>
      <c r="AE627" s="3279" t="s">
        <v>3344</v>
      </c>
      <c r="AF627" s="3268" t="s">
        <v>2966</v>
      </c>
      <c r="AG627" s="3279" t="s">
        <v>2967</v>
      </c>
      <c r="AH627" s="3267" t="s">
        <v>2968</v>
      </c>
      <c r="AI627" s="3279" t="s">
        <v>2992</v>
      </c>
      <c r="AJ627" s="3284"/>
      <c r="AK627" s="3278">
        <v>7</v>
      </c>
      <c r="AL627" s="3276">
        <v>55</v>
      </c>
      <c r="AM627" s="3267" t="s">
        <v>7410</v>
      </c>
      <c r="AN627" s="3279" t="s">
        <v>3114</v>
      </c>
      <c r="AO627" s="3267"/>
      <c r="AP627" s="3279" t="s">
        <v>3305</v>
      </c>
      <c r="AQ627" s="3267" t="s">
        <v>3228</v>
      </c>
      <c r="AR627" s="3276"/>
      <c r="AS627" s="3276"/>
      <c r="AT627" s="3276"/>
      <c r="AU627" s="3276"/>
      <c r="AV627" s="3276"/>
      <c r="AW627" s="3276" t="s">
        <v>2997</v>
      </c>
      <c r="AX627" s="3276"/>
      <c r="AY627" s="3291"/>
      <c r="AZ627" s="3267" t="s">
        <v>7411</v>
      </c>
      <c r="BA627" s="3296"/>
      <c r="BB627" s="3297"/>
      <c r="BC627" s="3296"/>
      <c r="BD627" s="3298"/>
      <c r="BE627" s="3276">
        <v>13901059946</v>
      </c>
      <c r="BF627" s="3281"/>
      <c r="BG627" s="3293">
        <v>38807</v>
      </c>
      <c r="BH627" s="3267" t="s">
        <v>2998</v>
      </c>
      <c r="BI627" s="3314" t="s">
        <v>3305</v>
      </c>
      <c r="BJ627" s="3283">
        <v>38891</v>
      </c>
      <c r="BK627" s="3283"/>
      <c r="BL627" s="3267" t="s">
        <v>3249</v>
      </c>
      <c r="BM627" s="3276" t="s">
        <v>2879</v>
      </c>
      <c r="BN627" s="3276" t="s">
        <v>2999</v>
      </c>
      <c r="BO627" s="3276"/>
      <c r="BP627" s="3276"/>
      <c r="BQ627" s="3276">
        <v>7851</v>
      </c>
      <c r="BR627" s="3276">
        <v>7514</v>
      </c>
      <c r="BS627" s="3285"/>
      <c r="BT627" s="3285"/>
      <c r="BU627" s="3285"/>
    </row>
    <row r="628" spans="1:109" hidden="1">
      <c r="A628" s="3267" t="s">
        <v>7412</v>
      </c>
      <c r="B628" s="3267" t="s">
        <v>7413</v>
      </c>
      <c r="C628" s="3269" t="s">
        <v>7414</v>
      </c>
      <c r="D628" s="3267">
        <v>13911682551</v>
      </c>
      <c r="E628" s="3267" t="s">
        <v>2985</v>
      </c>
      <c r="F628" s="3267" t="s">
        <v>5896</v>
      </c>
      <c r="G628" s="3267"/>
      <c r="H628" s="3267" t="s">
        <v>3263</v>
      </c>
      <c r="I628" s="3267"/>
      <c r="J628" s="3267" t="s">
        <v>5961</v>
      </c>
      <c r="K628" s="3268" t="s">
        <v>7415</v>
      </c>
      <c r="L628" s="3267">
        <v>47.08</v>
      </c>
      <c r="M628" s="3267">
        <v>4</v>
      </c>
      <c r="N628" s="3267" t="s">
        <v>3152</v>
      </c>
      <c r="O628" s="3267"/>
      <c r="P628" s="3267" t="s">
        <v>2963</v>
      </c>
      <c r="Q628" s="3267">
        <v>440000</v>
      </c>
      <c r="R628" s="3267">
        <v>9346</v>
      </c>
      <c r="S628" s="3272">
        <v>35.270000000000003</v>
      </c>
      <c r="T628" s="3273">
        <v>352700</v>
      </c>
      <c r="U628" s="3267">
        <v>7493</v>
      </c>
      <c r="V628" s="3274">
        <v>0.2</v>
      </c>
      <c r="W628" s="3272">
        <v>28.21</v>
      </c>
      <c r="X628" s="3273">
        <v>282100</v>
      </c>
      <c r="Y628" s="3267">
        <v>2006</v>
      </c>
      <c r="Z628" s="3267">
        <v>7</v>
      </c>
      <c r="AA628" s="3276">
        <v>7</v>
      </c>
      <c r="AB628" s="3267">
        <v>1055</v>
      </c>
      <c r="AC628" s="3267" t="s">
        <v>2980</v>
      </c>
      <c r="AD628" s="3267"/>
      <c r="AE628" s="3276" t="s">
        <v>2991</v>
      </c>
      <c r="AF628" s="3267" t="s">
        <v>2966</v>
      </c>
      <c r="AG628" s="3267" t="s">
        <v>2967</v>
      </c>
      <c r="AH628" s="3267"/>
      <c r="AI628" s="3267" t="s">
        <v>2992</v>
      </c>
      <c r="AJ628" s="3284"/>
      <c r="AK628" s="3278" t="s">
        <v>2993</v>
      </c>
      <c r="AL628" s="3276">
        <v>49</v>
      </c>
      <c r="AM628" s="3267"/>
      <c r="AN628" s="3267" t="s">
        <v>3131</v>
      </c>
      <c r="AO628" s="3267"/>
      <c r="AP628" s="3279" t="s">
        <v>4230</v>
      </c>
      <c r="AQ628" s="3267" t="s">
        <v>3228</v>
      </c>
      <c r="AR628" s="3267"/>
      <c r="AS628" s="3267"/>
      <c r="AT628" s="3267"/>
      <c r="AU628" s="3267"/>
      <c r="AV628" s="3267"/>
      <c r="AW628" s="3267" t="s">
        <v>2997</v>
      </c>
      <c r="AX628" s="3267"/>
      <c r="AY628" s="3269"/>
      <c r="AZ628" s="3267" t="s">
        <v>7415</v>
      </c>
      <c r="BA628" s="3267"/>
      <c r="BB628" s="3267"/>
      <c r="BC628" s="3267"/>
      <c r="BD628" s="3267"/>
      <c r="BE628" s="3267"/>
      <c r="BF628" s="3267"/>
      <c r="BG628" s="3307"/>
      <c r="BH628" s="3267" t="s">
        <v>2998</v>
      </c>
      <c r="BI628" s="3267" t="s">
        <v>4230</v>
      </c>
      <c r="BJ628" s="3283">
        <v>38891</v>
      </c>
      <c r="BK628" s="3283"/>
      <c r="BL628" s="3267" t="s">
        <v>3249</v>
      </c>
      <c r="BM628" s="3267" t="s">
        <v>2879</v>
      </c>
      <c r="BN628" s="3267" t="s">
        <v>2999</v>
      </c>
      <c r="BO628" s="3267" t="s">
        <v>7416</v>
      </c>
      <c r="BP628" s="3267"/>
      <c r="BQ628" s="3276" t="e">
        <v>#DIV/0!</v>
      </c>
      <c r="BR628" s="3276" t="e">
        <v>#DIV/0!</v>
      </c>
      <c r="BS628" s="3285"/>
      <c r="BT628" s="3285"/>
      <c r="BU628" s="3285"/>
      <c r="BV628" s="3347"/>
      <c r="BW628" s="3347"/>
      <c r="BX628" s="3347"/>
      <c r="BY628" s="3347"/>
      <c r="BZ628" s="3347"/>
      <c r="CA628" s="3347"/>
      <c r="CB628" s="3347"/>
      <c r="CC628" s="3347"/>
      <c r="CD628" s="3347"/>
      <c r="CE628" s="3347"/>
      <c r="CF628" s="3347"/>
      <c r="CG628" s="3347"/>
      <c r="CH628" s="3347"/>
      <c r="CI628" s="3347"/>
      <c r="CJ628" s="3347"/>
      <c r="CK628" s="3347"/>
      <c r="CL628" s="3347"/>
      <c r="CM628" s="3347"/>
      <c r="CN628" s="3347"/>
      <c r="CO628" s="3347"/>
      <c r="CP628" s="3347"/>
      <c r="CQ628" s="3347"/>
      <c r="CR628" s="3347"/>
      <c r="CS628" s="3347"/>
      <c r="CT628" s="3347"/>
      <c r="CU628" s="3347"/>
      <c r="CV628" s="3347"/>
      <c r="CW628" s="3347"/>
      <c r="CX628" s="3347"/>
      <c r="CY628" s="3347"/>
      <c r="CZ628" s="3347"/>
      <c r="DA628" s="3347"/>
      <c r="DB628" s="3347"/>
      <c r="DC628" s="3347"/>
      <c r="DD628" s="3347"/>
      <c r="DE628" s="3347"/>
    </row>
    <row r="629" spans="1:109" hidden="1">
      <c r="A629" s="3267" t="s">
        <v>7417</v>
      </c>
      <c r="B629" s="3267" t="s">
        <v>7418</v>
      </c>
      <c r="C629" s="3269" t="s">
        <v>7419</v>
      </c>
      <c r="D629" s="3267">
        <v>13641022572</v>
      </c>
      <c r="E629" s="3267" t="s">
        <v>2985</v>
      </c>
      <c r="F629" s="3267" t="s">
        <v>7420</v>
      </c>
      <c r="G629" s="3267"/>
      <c r="H629" s="3267" t="s">
        <v>7421</v>
      </c>
      <c r="I629" s="3267"/>
      <c r="J629" s="3267">
        <v>2404</v>
      </c>
      <c r="K629" s="3268" t="s">
        <v>7422</v>
      </c>
      <c r="L629" s="3267">
        <v>88.69</v>
      </c>
      <c r="M629" s="3267">
        <v>24</v>
      </c>
      <c r="N629" s="3267" t="s">
        <v>3122</v>
      </c>
      <c r="O629" s="3267">
        <v>72.45</v>
      </c>
      <c r="P629" s="3267" t="s">
        <v>2963</v>
      </c>
      <c r="Q629" s="3267">
        <v>470000</v>
      </c>
      <c r="R629" s="3267">
        <v>5299</v>
      </c>
      <c r="S629" s="3272">
        <v>40.22</v>
      </c>
      <c r="T629" s="3273">
        <v>402200</v>
      </c>
      <c r="U629" s="3267">
        <v>4536</v>
      </c>
      <c r="V629" s="3274">
        <v>0.2</v>
      </c>
      <c r="W629" s="3272">
        <v>32.17</v>
      </c>
      <c r="X629" s="3273">
        <v>321700</v>
      </c>
      <c r="Y629" s="3267">
        <v>2006</v>
      </c>
      <c r="Z629" s="3267">
        <v>7</v>
      </c>
      <c r="AA629" s="3276">
        <v>13</v>
      </c>
      <c r="AB629" s="3267">
        <v>1205</v>
      </c>
      <c r="AC629" s="3267" t="s">
        <v>2980</v>
      </c>
      <c r="AD629" s="3267"/>
      <c r="AE629" s="3276" t="s">
        <v>2991</v>
      </c>
      <c r="AF629" s="3267" t="s">
        <v>2966</v>
      </c>
      <c r="AG629" s="3267" t="s">
        <v>2967</v>
      </c>
      <c r="AH629" s="3267"/>
      <c r="AI629" s="3267" t="s">
        <v>2992</v>
      </c>
      <c r="AJ629" s="3284"/>
      <c r="AK629" s="3278" t="s">
        <v>2993</v>
      </c>
      <c r="AL629" s="3276">
        <v>58</v>
      </c>
      <c r="AM629" s="3267"/>
      <c r="AN629" s="3267" t="s">
        <v>3140</v>
      </c>
      <c r="AO629" s="3267"/>
      <c r="AP629" s="3279" t="s">
        <v>4230</v>
      </c>
      <c r="AQ629" s="3267" t="s">
        <v>3228</v>
      </c>
      <c r="AR629" s="3267"/>
      <c r="AS629" s="3267"/>
      <c r="AT629" s="3267"/>
      <c r="AU629" s="3267"/>
      <c r="AV629" s="3267"/>
      <c r="AW629" s="3267" t="s">
        <v>2997</v>
      </c>
      <c r="AX629" s="3267"/>
      <c r="AY629" s="3269"/>
      <c r="AZ629" s="3267" t="s">
        <v>7422</v>
      </c>
      <c r="BA629" s="3267"/>
      <c r="BB629" s="3267"/>
      <c r="BC629" s="3267"/>
      <c r="BD629" s="3267"/>
      <c r="BE629" s="3267"/>
      <c r="BF629" s="3267"/>
      <c r="BG629" s="3307">
        <v>38851</v>
      </c>
      <c r="BH629" s="3267" t="s">
        <v>2998</v>
      </c>
      <c r="BI629" s="3267" t="s">
        <v>4230</v>
      </c>
      <c r="BJ629" s="3283">
        <v>38894</v>
      </c>
      <c r="BK629" s="3283"/>
      <c r="BL629" s="3267" t="s">
        <v>3249</v>
      </c>
      <c r="BM629" s="3267" t="s">
        <v>2879</v>
      </c>
      <c r="BN629" s="3267" t="s">
        <v>2999</v>
      </c>
      <c r="BO629" s="3267" t="s">
        <v>3000</v>
      </c>
      <c r="BP629" s="3267"/>
      <c r="BQ629" s="3276" t="e">
        <v>#DIV/0!</v>
      </c>
      <c r="BR629" s="3276" t="e">
        <v>#DIV/0!</v>
      </c>
      <c r="BS629" s="3285"/>
      <c r="BT629" s="3285"/>
      <c r="BU629" s="3285"/>
      <c r="BV629" s="3347"/>
      <c r="BW629" s="3347"/>
      <c r="BX629" s="3347"/>
      <c r="BY629" s="3347"/>
      <c r="BZ629" s="3347"/>
      <c r="CA629" s="3347"/>
      <c r="CB629" s="3347"/>
      <c r="CC629" s="3347"/>
      <c r="CD629" s="3347"/>
      <c r="CE629" s="3347"/>
      <c r="CF629" s="3347"/>
      <c r="CG629" s="3347"/>
      <c r="CH629" s="3347"/>
      <c r="CI629" s="3347"/>
      <c r="CJ629" s="3347"/>
      <c r="CK629" s="3347"/>
      <c r="CL629" s="3347"/>
      <c r="CM629" s="3347"/>
      <c r="CN629" s="3347"/>
      <c r="CO629" s="3347"/>
      <c r="CP629" s="3347"/>
      <c r="CQ629" s="3347"/>
      <c r="CR629" s="3347"/>
      <c r="CS629" s="3347"/>
      <c r="CT629" s="3347"/>
      <c r="CU629" s="3347"/>
      <c r="CV629" s="3347"/>
      <c r="CW629" s="3347"/>
      <c r="CX629" s="3347"/>
      <c r="CY629" s="3347"/>
      <c r="CZ629" s="3347"/>
      <c r="DA629" s="3347"/>
      <c r="DB629" s="3347"/>
      <c r="DC629" s="3347"/>
      <c r="DD629" s="3347"/>
      <c r="DE629" s="3347"/>
    </row>
    <row r="630" spans="1:109" hidden="1">
      <c r="A630" s="3267" t="s">
        <v>7423</v>
      </c>
      <c r="B630" s="3267" t="s">
        <v>7424</v>
      </c>
      <c r="C630" s="3269" t="s">
        <v>7425</v>
      </c>
      <c r="D630" s="3269" t="s">
        <v>7426</v>
      </c>
      <c r="E630" s="3268" t="s">
        <v>2985</v>
      </c>
      <c r="F630" s="3268" t="s">
        <v>4379</v>
      </c>
      <c r="G630" s="3267"/>
      <c r="H630" s="3267" t="s">
        <v>3159</v>
      </c>
      <c r="I630" s="3268" t="s">
        <v>3254</v>
      </c>
      <c r="J630" s="3267" t="s">
        <v>3189</v>
      </c>
      <c r="K630" s="3267" t="s">
        <v>7424</v>
      </c>
      <c r="L630" s="3267">
        <v>64.39</v>
      </c>
      <c r="M630" s="3267" t="s">
        <v>6618</v>
      </c>
      <c r="N630" s="3267" t="s">
        <v>3152</v>
      </c>
      <c r="O630" s="3267"/>
      <c r="P630" s="3267" t="s">
        <v>2963</v>
      </c>
      <c r="Q630" s="3271">
        <v>525000</v>
      </c>
      <c r="R630" s="3288">
        <v>8153</v>
      </c>
      <c r="S630" s="3272">
        <v>45.63</v>
      </c>
      <c r="T630" s="3273">
        <v>456300</v>
      </c>
      <c r="U630" s="3267">
        <v>7087</v>
      </c>
      <c r="V630" s="3289">
        <v>0.2</v>
      </c>
      <c r="W630" s="3272">
        <v>36.5</v>
      </c>
      <c r="X630" s="3273">
        <v>365000</v>
      </c>
      <c r="Y630" s="3267">
        <v>2006</v>
      </c>
      <c r="Z630" s="3276">
        <v>7</v>
      </c>
      <c r="AA630" s="3276">
        <v>11</v>
      </c>
      <c r="AB630" s="3267">
        <v>1365</v>
      </c>
      <c r="AC630" s="3267" t="s">
        <v>2980</v>
      </c>
      <c r="AD630" s="3267"/>
      <c r="AE630" s="3279" t="s">
        <v>3295</v>
      </c>
      <c r="AF630" s="3268" t="s">
        <v>2966</v>
      </c>
      <c r="AG630" s="3279" t="s">
        <v>2967</v>
      </c>
      <c r="AH630" s="3267"/>
      <c r="AI630" s="3279" t="s">
        <v>2992</v>
      </c>
      <c r="AJ630" s="3284"/>
      <c r="AK630" s="3278">
        <v>7</v>
      </c>
      <c r="AL630" s="3276">
        <v>41</v>
      </c>
      <c r="AM630" s="3267" t="s">
        <v>7427</v>
      </c>
      <c r="AN630" s="3279" t="s">
        <v>3140</v>
      </c>
      <c r="AO630" s="3267"/>
      <c r="AP630" s="3279" t="s">
        <v>3305</v>
      </c>
      <c r="AQ630" s="3267" t="s">
        <v>3228</v>
      </c>
      <c r="AR630" s="3276"/>
      <c r="AS630" s="3276"/>
      <c r="AT630" s="3276"/>
      <c r="AU630" s="3276"/>
      <c r="AV630" s="3276"/>
      <c r="AW630" s="3276" t="s">
        <v>3112</v>
      </c>
      <c r="AX630" s="3276"/>
      <c r="AY630" s="3291"/>
      <c r="AZ630" s="3267" t="s">
        <v>7428</v>
      </c>
      <c r="BA630" s="3296"/>
      <c r="BB630" s="3297"/>
      <c r="BC630" s="3296"/>
      <c r="BD630" s="3298"/>
      <c r="BE630" s="3276">
        <v>13801093207</v>
      </c>
      <c r="BF630" s="3281"/>
      <c r="BG630" s="3293">
        <v>38886</v>
      </c>
      <c r="BH630" s="3267" t="s">
        <v>2998</v>
      </c>
      <c r="BI630" s="3314" t="s">
        <v>3305</v>
      </c>
      <c r="BJ630" s="3283">
        <v>38894</v>
      </c>
      <c r="BK630" s="3283"/>
      <c r="BL630" s="3267" t="s">
        <v>3249</v>
      </c>
      <c r="BM630" s="3276" t="s">
        <v>2879</v>
      </c>
      <c r="BN630" s="3276" t="s">
        <v>2999</v>
      </c>
      <c r="BO630" s="3276" t="s">
        <v>3000</v>
      </c>
      <c r="BP630" s="3276"/>
      <c r="BQ630" s="3276" t="e">
        <v>#DIV/0!</v>
      </c>
      <c r="BR630" s="3276" t="e">
        <v>#DIV/0!</v>
      </c>
      <c r="BS630" s="3285"/>
      <c r="BT630" s="3285"/>
      <c r="BU630" s="3285"/>
    </row>
    <row r="631" spans="1:109" hidden="1">
      <c r="A631" s="3267" t="s">
        <v>7429</v>
      </c>
      <c r="B631" s="3267" t="s">
        <v>7430</v>
      </c>
      <c r="C631" s="3269" t="s">
        <v>7431</v>
      </c>
      <c r="D631" s="3269" t="s">
        <v>7432</v>
      </c>
      <c r="E631" s="3268" t="s">
        <v>2985</v>
      </c>
      <c r="F631" s="3268" t="s">
        <v>6194</v>
      </c>
      <c r="G631" s="3267"/>
      <c r="H631" s="3267" t="s">
        <v>3097</v>
      </c>
      <c r="I631" s="3268"/>
      <c r="J631" s="3267" t="s">
        <v>7433</v>
      </c>
      <c r="K631" s="3267" t="s">
        <v>7434</v>
      </c>
      <c r="L631" s="3267">
        <v>65.09</v>
      </c>
      <c r="M631" s="3267" t="s">
        <v>7435</v>
      </c>
      <c r="N631" s="3267" t="s">
        <v>3122</v>
      </c>
      <c r="O631" s="3267"/>
      <c r="P631" s="3267" t="s">
        <v>2963</v>
      </c>
      <c r="Q631" s="3271">
        <v>600000</v>
      </c>
      <c r="R631" s="3267">
        <v>9218</v>
      </c>
      <c r="S631" s="3272">
        <v>45.57</v>
      </c>
      <c r="T631" s="3273">
        <v>455700</v>
      </c>
      <c r="U631" s="3267">
        <v>7002</v>
      </c>
      <c r="V631" s="3289">
        <v>0.2</v>
      </c>
      <c r="W631" s="3272">
        <v>36.450000000000003</v>
      </c>
      <c r="X631" s="3275">
        <v>364500</v>
      </c>
      <c r="Y631" s="3276">
        <v>2006</v>
      </c>
      <c r="Z631" s="3276">
        <v>7</v>
      </c>
      <c r="AA631" s="3276">
        <v>7</v>
      </c>
      <c r="AB631" s="3267">
        <v>1365</v>
      </c>
      <c r="AC631" s="3267" t="s">
        <v>2980</v>
      </c>
      <c r="AD631" s="3280"/>
      <c r="AE631" s="3279" t="s">
        <v>3295</v>
      </c>
      <c r="AF631" s="3268" t="s">
        <v>2966</v>
      </c>
      <c r="AG631" s="3279" t="s">
        <v>2967</v>
      </c>
      <c r="AH631" s="3267"/>
      <c r="AI631" s="3279" t="s">
        <v>2992</v>
      </c>
      <c r="AJ631" s="3284"/>
      <c r="AK631" s="3278">
        <v>7</v>
      </c>
      <c r="AL631" s="3276">
        <v>42</v>
      </c>
      <c r="AM631" s="3276"/>
      <c r="AN631" s="3279" t="s">
        <v>3131</v>
      </c>
      <c r="AO631" s="3267" t="s">
        <v>7436</v>
      </c>
      <c r="AP631" s="3279" t="s">
        <v>3305</v>
      </c>
      <c r="AQ631" s="3276" t="s">
        <v>3113</v>
      </c>
      <c r="AR631" s="3276"/>
      <c r="AS631" s="3276"/>
      <c r="AT631" s="3276"/>
      <c r="AU631" s="3276"/>
      <c r="AV631" s="3276"/>
      <c r="AW631" s="3276" t="s">
        <v>3112</v>
      </c>
      <c r="AX631" s="3276"/>
      <c r="AY631" s="3291"/>
      <c r="AZ631" s="3267" t="s">
        <v>7434</v>
      </c>
      <c r="BA631" s="3296"/>
      <c r="BB631" s="3297"/>
      <c r="BC631" s="3296"/>
      <c r="BD631" s="3298"/>
      <c r="BE631" s="3276"/>
      <c r="BF631" s="3281"/>
      <c r="BG631" s="3293">
        <v>38894</v>
      </c>
      <c r="BH631" s="3267" t="s">
        <v>2998</v>
      </c>
      <c r="BI631" s="3314" t="s">
        <v>3305</v>
      </c>
      <c r="BJ631" s="3283">
        <v>38897</v>
      </c>
      <c r="BK631" s="3283"/>
      <c r="BL631" s="3267" t="s">
        <v>3249</v>
      </c>
      <c r="BM631" s="3276" t="s">
        <v>2879</v>
      </c>
      <c r="BN631" s="3276" t="s">
        <v>2999</v>
      </c>
      <c r="BO631" s="3276" t="s">
        <v>3000</v>
      </c>
      <c r="BP631" s="3276"/>
      <c r="BQ631" s="3276" t="e">
        <v>#DIV/0!</v>
      </c>
      <c r="BR631" s="3276" t="e">
        <v>#DIV/0!</v>
      </c>
      <c r="BS631" s="3285"/>
      <c r="BT631" s="3285"/>
      <c r="BU631" s="3285"/>
    </row>
    <row r="632" spans="1:109">
      <c r="A632" s="3267" t="s">
        <v>7437</v>
      </c>
      <c r="B632" s="3267" t="s">
        <v>7438</v>
      </c>
      <c r="C632" s="3269" t="s">
        <v>7439</v>
      </c>
      <c r="D632" s="3269">
        <v>13911591974</v>
      </c>
      <c r="E632" s="3268" t="s">
        <v>2985</v>
      </c>
      <c r="F632" s="3268" t="s">
        <v>7440</v>
      </c>
      <c r="G632" s="3267"/>
      <c r="H632" s="3268" t="s">
        <v>3402</v>
      </c>
      <c r="I632" s="3268"/>
      <c r="J632" s="3267" t="s">
        <v>3815</v>
      </c>
      <c r="K632" s="3267" t="s">
        <v>7441</v>
      </c>
      <c r="L632" s="3267">
        <v>89.13</v>
      </c>
      <c r="M632" s="3270" t="s">
        <v>3155</v>
      </c>
      <c r="N632" s="3267" t="s">
        <v>3122</v>
      </c>
      <c r="O632" s="3267"/>
      <c r="P632" s="3267" t="s">
        <v>2963</v>
      </c>
      <c r="Q632" s="3271">
        <v>690000</v>
      </c>
      <c r="R632" s="3267">
        <v>7742</v>
      </c>
      <c r="S632" s="3272">
        <v>51.73</v>
      </c>
      <c r="T632" s="3273">
        <v>517300</v>
      </c>
      <c r="U632" s="3267">
        <v>5804</v>
      </c>
      <c r="V632" s="3289">
        <v>0.2</v>
      </c>
      <c r="W632" s="3272">
        <v>41.38</v>
      </c>
      <c r="X632" s="3275">
        <v>413800</v>
      </c>
      <c r="Y632" s="3276">
        <v>2006</v>
      </c>
      <c r="Z632" s="3276">
        <v>7</v>
      </c>
      <c r="AA632" s="3276">
        <v>17</v>
      </c>
      <c r="AB632" s="3267">
        <v>1500</v>
      </c>
      <c r="AC632" s="3267" t="s">
        <v>2980</v>
      </c>
      <c r="AD632" s="3267"/>
      <c r="AE632" s="3279" t="s">
        <v>3295</v>
      </c>
      <c r="AF632" s="3268" t="s">
        <v>2966</v>
      </c>
      <c r="AG632" s="3279" t="s">
        <v>2967</v>
      </c>
      <c r="AH632" s="3268"/>
      <c r="AI632" s="3279" t="s">
        <v>2992</v>
      </c>
      <c r="AJ632" s="3284"/>
      <c r="AK632" s="3278">
        <v>7</v>
      </c>
      <c r="AL632" s="3276">
        <v>53</v>
      </c>
      <c r="AM632" s="3276"/>
      <c r="AN632" s="3279" t="s">
        <v>3114</v>
      </c>
      <c r="AO632" s="3267" t="s">
        <v>7442</v>
      </c>
      <c r="AP632" s="3279" t="s">
        <v>3305</v>
      </c>
      <c r="AQ632" s="3267" t="s">
        <v>3228</v>
      </c>
      <c r="AR632" s="3276"/>
      <c r="AS632" s="3276"/>
      <c r="AT632" s="3276"/>
      <c r="AU632" s="3276"/>
      <c r="AV632" s="3276"/>
      <c r="AW632" s="3276" t="s">
        <v>2997</v>
      </c>
      <c r="AX632" s="3276"/>
      <c r="AY632" s="3291"/>
      <c r="AZ632" s="3267" t="s">
        <v>7441</v>
      </c>
      <c r="BA632" s="3296"/>
      <c r="BB632" s="3297"/>
      <c r="BC632" s="3296"/>
      <c r="BD632" s="3298"/>
      <c r="BE632" s="3276"/>
      <c r="BF632" s="3281"/>
      <c r="BG632" s="3293">
        <v>38891</v>
      </c>
      <c r="BH632" s="3267" t="s">
        <v>2998</v>
      </c>
      <c r="BI632" s="3314" t="s">
        <v>3305</v>
      </c>
      <c r="BJ632" s="3283">
        <v>38896</v>
      </c>
      <c r="BK632" s="3283"/>
      <c r="BL632" s="3267" t="s">
        <v>3249</v>
      </c>
      <c r="BM632" s="3276" t="s">
        <v>2879</v>
      </c>
      <c r="BN632" s="3276" t="s">
        <v>2999</v>
      </c>
      <c r="BO632" s="3276" t="s">
        <v>3146</v>
      </c>
      <c r="BP632" s="3276"/>
      <c r="BQ632" s="3276" t="e">
        <v>#DIV/0!</v>
      </c>
      <c r="BR632" s="3276" t="e">
        <v>#DIV/0!</v>
      </c>
      <c r="BS632" s="3285"/>
      <c r="BT632" s="3285"/>
      <c r="BU632" s="3285"/>
    </row>
    <row r="633" spans="1:109">
      <c r="A633" s="3267" t="s">
        <v>7443</v>
      </c>
      <c r="B633" s="3267" t="s">
        <v>7444</v>
      </c>
      <c r="C633" s="3269" t="s">
        <v>7445</v>
      </c>
      <c r="D633" s="3269" t="s">
        <v>7446</v>
      </c>
      <c r="E633" s="3267" t="s">
        <v>2985</v>
      </c>
      <c r="F633" s="3267" t="s">
        <v>4717</v>
      </c>
      <c r="G633" s="3267"/>
      <c r="H633" s="3267" t="s">
        <v>3159</v>
      </c>
      <c r="I633" s="3267"/>
      <c r="J633" s="3269" t="s">
        <v>4886</v>
      </c>
      <c r="K633" s="3267" t="s">
        <v>7444</v>
      </c>
      <c r="L633" s="3286">
        <v>107.16</v>
      </c>
      <c r="M633" s="3269" t="s">
        <v>5190</v>
      </c>
      <c r="N633" s="3268" t="s">
        <v>3125</v>
      </c>
      <c r="O633" s="3267"/>
      <c r="P633" s="3267" t="s">
        <v>2963</v>
      </c>
      <c r="Q633" s="3287">
        <v>600000</v>
      </c>
      <c r="R633" s="3267">
        <v>5599</v>
      </c>
      <c r="S633" s="3272">
        <v>74.599999999999994</v>
      </c>
      <c r="T633" s="3273">
        <v>746000</v>
      </c>
      <c r="U633" s="3267">
        <v>6962</v>
      </c>
      <c r="V633" s="3289">
        <v>0.2</v>
      </c>
      <c r="W633" s="3272">
        <v>59.68</v>
      </c>
      <c r="X633" s="3275">
        <v>596800</v>
      </c>
      <c r="Y633" s="3276">
        <v>2006</v>
      </c>
      <c r="Z633" s="3276">
        <v>7</v>
      </c>
      <c r="AA633" s="3276">
        <v>10</v>
      </c>
      <c r="AB633" s="3267">
        <v>1500</v>
      </c>
      <c r="AC633" s="3267" t="s">
        <v>2980</v>
      </c>
      <c r="AD633" s="3267"/>
      <c r="AE633" s="3267" t="s">
        <v>3295</v>
      </c>
      <c r="AF633" s="3267" t="s">
        <v>2966</v>
      </c>
      <c r="AG633" s="3279" t="s">
        <v>2967</v>
      </c>
      <c r="AH633" s="3267"/>
      <c r="AI633" s="3267" t="s">
        <v>2992</v>
      </c>
      <c r="AJ633" s="3284"/>
      <c r="AK633" s="3278">
        <v>7</v>
      </c>
      <c r="AL633" s="3276">
        <v>50</v>
      </c>
      <c r="AM633" s="3267" t="s">
        <v>7447</v>
      </c>
      <c r="AN633" s="3279" t="s">
        <v>3140</v>
      </c>
      <c r="AO633" s="3267"/>
      <c r="AP633" s="3267" t="s">
        <v>3305</v>
      </c>
      <c r="AQ633" s="3267" t="s">
        <v>3228</v>
      </c>
      <c r="AR633" s="3276"/>
      <c r="AS633" s="3276"/>
      <c r="AT633" s="3276"/>
      <c r="AU633" s="3276"/>
      <c r="AV633" s="3276"/>
      <c r="AW633" s="3267" t="s">
        <v>3171</v>
      </c>
      <c r="AX633" s="3276"/>
      <c r="AY633" s="3291"/>
      <c r="AZ633" s="3291" t="s">
        <v>7448</v>
      </c>
      <c r="BA633" s="3276"/>
      <c r="BB633" s="3291"/>
      <c r="BC633" s="3276"/>
      <c r="BD633" s="3292"/>
      <c r="BE633" s="3276">
        <v>13701012483</v>
      </c>
      <c r="BF633" s="3281"/>
      <c r="BG633" s="3299">
        <v>38867</v>
      </c>
      <c r="BH633" s="3267" t="s">
        <v>2998</v>
      </c>
      <c r="BI633" s="3314" t="s">
        <v>3305</v>
      </c>
      <c r="BJ633" s="3283">
        <v>38894</v>
      </c>
      <c r="BK633" s="3283"/>
      <c r="BL633" s="3267" t="s">
        <v>3249</v>
      </c>
      <c r="BM633" s="3267"/>
      <c r="BN633" s="3267"/>
      <c r="BO633" s="3276" t="s">
        <v>3000</v>
      </c>
      <c r="BP633" s="3276"/>
      <c r="BQ633" s="3276" t="e">
        <v>#DIV/0!</v>
      </c>
      <c r="BR633" s="3276" t="e">
        <v>#DIV/0!</v>
      </c>
      <c r="BS633" s="3285"/>
      <c r="BT633" s="3285"/>
      <c r="BU633" s="3285"/>
    </row>
    <row r="634" spans="1:109" hidden="1">
      <c r="A634" s="3267" t="s">
        <v>7449</v>
      </c>
      <c r="B634" s="3267" t="s">
        <v>7450</v>
      </c>
      <c r="C634" s="3269" t="s">
        <v>7451</v>
      </c>
      <c r="D634" s="3267">
        <v>13811933961</v>
      </c>
      <c r="E634" s="3267" t="s">
        <v>2985</v>
      </c>
      <c r="F634" s="3267" t="s">
        <v>7452</v>
      </c>
      <c r="G634" s="3267"/>
      <c r="H634" s="3267" t="s">
        <v>7453</v>
      </c>
      <c r="I634" s="3267"/>
      <c r="J634" s="3267" t="s">
        <v>7454</v>
      </c>
      <c r="K634" s="3268" t="s">
        <v>7455</v>
      </c>
      <c r="L634" s="3267">
        <v>48.11</v>
      </c>
      <c r="M634" s="3267">
        <v>6</v>
      </c>
      <c r="N634" s="3267" t="s">
        <v>3152</v>
      </c>
      <c r="O634" s="3267"/>
      <c r="P634" s="3267" t="s">
        <v>2963</v>
      </c>
      <c r="Q634" s="3267">
        <v>300000</v>
      </c>
      <c r="R634" s="3267">
        <v>6236</v>
      </c>
      <c r="S634" s="3272">
        <v>25.56</v>
      </c>
      <c r="T634" s="3273">
        <v>255600</v>
      </c>
      <c r="U634" s="3267">
        <v>5314</v>
      </c>
      <c r="V634" s="3274">
        <v>0.2</v>
      </c>
      <c r="W634" s="3272">
        <v>20.440000000000001</v>
      </c>
      <c r="X634" s="3273">
        <v>204400</v>
      </c>
      <c r="Y634" s="3267">
        <v>2006</v>
      </c>
      <c r="Z634" s="3267">
        <v>7</v>
      </c>
      <c r="AA634" s="3276">
        <v>6</v>
      </c>
      <c r="AB634" s="3267">
        <v>765</v>
      </c>
      <c r="AC634" s="3267" t="s">
        <v>2980</v>
      </c>
      <c r="AD634" s="3267"/>
      <c r="AE634" s="3276" t="s">
        <v>2991</v>
      </c>
      <c r="AF634" s="3267" t="s">
        <v>2966</v>
      </c>
      <c r="AG634" s="3267" t="s">
        <v>2967</v>
      </c>
      <c r="AH634" s="3267"/>
      <c r="AI634" s="3267" t="s">
        <v>2992</v>
      </c>
      <c r="AJ634" s="3284"/>
      <c r="AK634" s="3278" t="s">
        <v>2993</v>
      </c>
      <c r="AL634" s="3276">
        <v>37</v>
      </c>
      <c r="AM634" s="3267"/>
      <c r="AN634" s="3267" t="s">
        <v>3131</v>
      </c>
      <c r="AO634" s="3267"/>
      <c r="AP634" s="3279" t="s">
        <v>4230</v>
      </c>
      <c r="AQ634" s="3267" t="s">
        <v>3228</v>
      </c>
      <c r="AR634" s="3267"/>
      <c r="AS634" s="3267"/>
      <c r="AT634" s="3267"/>
      <c r="AU634" s="3267"/>
      <c r="AV634" s="3267"/>
      <c r="AW634" s="3267" t="s">
        <v>2997</v>
      </c>
      <c r="AX634" s="3267"/>
      <c r="AY634" s="3269"/>
      <c r="AZ634" s="3267" t="s">
        <v>7455</v>
      </c>
      <c r="BA634" s="3267"/>
      <c r="BB634" s="3267"/>
      <c r="BC634" s="3267"/>
      <c r="BD634" s="3267"/>
      <c r="BE634" s="3267"/>
      <c r="BF634" s="3267"/>
      <c r="BG634" s="3307">
        <v>38894</v>
      </c>
      <c r="BH634" s="3267" t="s">
        <v>2998</v>
      </c>
      <c r="BI634" s="3267" t="s">
        <v>4230</v>
      </c>
      <c r="BJ634" s="3283">
        <v>38894</v>
      </c>
      <c r="BK634" s="3283"/>
      <c r="BL634" s="3267" t="s">
        <v>3249</v>
      </c>
      <c r="BM634" s="3267" t="s">
        <v>2879</v>
      </c>
      <c r="BN634" s="3267" t="s">
        <v>2999</v>
      </c>
      <c r="BO634" s="3267" t="s">
        <v>3000</v>
      </c>
      <c r="BP634" s="3267"/>
      <c r="BQ634" s="3276" t="e">
        <v>#DIV/0!</v>
      </c>
      <c r="BR634" s="3276" t="e">
        <v>#DIV/0!</v>
      </c>
      <c r="BS634" s="3285"/>
      <c r="BT634" s="3285"/>
      <c r="BU634" s="3285"/>
      <c r="BV634" s="3347"/>
      <c r="BW634" s="3347"/>
      <c r="BX634" s="3347"/>
      <c r="BY634" s="3347"/>
      <c r="BZ634" s="3347"/>
      <c r="CA634" s="3347"/>
      <c r="CB634" s="3347"/>
      <c r="CC634" s="3347"/>
      <c r="CD634" s="3347"/>
      <c r="CE634" s="3347"/>
      <c r="CF634" s="3347"/>
      <c r="CG634" s="3347"/>
      <c r="CH634" s="3347"/>
      <c r="CI634" s="3347"/>
      <c r="CJ634" s="3347"/>
      <c r="CK634" s="3347"/>
      <c r="CL634" s="3347"/>
      <c r="CM634" s="3347"/>
      <c r="CN634" s="3347"/>
      <c r="CO634" s="3347"/>
      <c r="CP634" s="3347"/>
      <c r="CQ634" s="3347"/>
      <c r="CR634" s="3347"/>
      <c r="CS634" s="3347"/>
      <c r="CT634" s="3347"/>
      <c r="CU634" s="3347"/>
      <c r="CV634" s="3347"/>
      <c r="CW634" s="3347"/>
      <c r="CX634" s="3347"/>
      <c r="CY634" s="3347"/>
      <c r="CZ634" s="3347"/>
      <c r="DA634" s="3347"/>
      <c r="DB634" s="3347"/>
      <c r="DC634" s="3347"/>
      <c r="DD634" s="3347"/>
      <c r="DE634" s="3347"/>
    </row>
    <row r="635" spans="1:109" hidden="1">
      <c r="A635" s="3267" t="s">
        <v>7456</v>
      </c>
      <c r="B635" s="3267" t="s">
        <v>7457</v>
      </c>
      <c r="C635" s="3269" t="s">
        <v>7458</v>
      </c>
      <c r="D635" s="3267">
        <v>13146948113</v>
      </c>
      <c r="E635" s="3267" t="s">
        <v>2985</v>
      </c>
      <c r="F635" s="3267" t="s">
        <v>4441</v>
      </c>
      <c r="G635" s="3267"/>
      <c r="H635" s="3267" t="s">
        <v>7459</v>
      </c>
      <c r="I635" s="3267"/>
      <c r="J635" s="3267" t="s">
        <v>7460</v>
      </c>
      <c r="K635" s="3268" t="s">
        <v>7461</v>
      </c>
      <c r="L635" s="3267">
        <v>85.84</v>
      </c>
      <c r="M635" s="3267">
        <v>7</v>
      </c>
      <c r="N635" s="3267" t="s">
        <v>3098</v>
      </c>
      <c r="O635" s="3267"/>
      <c r="P635" s="3267" t="s">
        <v>2963</v>
      </c>
      <c r="Q635" s="3267">
        <v>605000</v>
      </c>
      <c r="R635" s="3267">
        <v>7048</v>
      </c>
      <c r="S635" s="3272">
        <v>53.35</v>
      </c>
      <c r="T635" s="3273">
        <v>533500</v>
      </c>
      <c r="U635" s="3267">
        <v>6216</v>
      </c>
      <c r="V635" s="3274">
        <v>0.2</v>
      </c>
      <c r="W635" s="3272">
        <v>42.68</v>
      </c>
      <c r="X635" s="3273">
        <v>426800</v>
      </c>
      <c r="Y635" s="3267">
        <v>2006</v>
      </c>
      <c r="Z635" s="3267">
        <v>7</v>
      </c>
      <c r="AA635" s="3276">
        <v>4</v>
      </c>
      <c r="AB635" s="3267">
        <v>1500</v>
      </c>
      <c r="AC635" s="3267" t="s">
        <v>2980</v>
      </c>
      <c r="AD635" s="3267"/>
      <c r="AE635" s="3276" t="s">
        <v>2991</v>
      </c>
      <c r="AF635" s="3267" t="s">
        <v>2966</v>
      </c>
      <c r="AG635" s="3267" t="s">
        <v>2967</v>
      </c>
      <c r="AH635" s="3267"/>
      <c r="AI635" s="3267" t="s">
        <v>2992</v>
      </c>
      <c r="AJ635" s="3284"/>
      <c r="AK635" s="3278" t="s">
        <v>2993</v>
      </c>
      <c r="AL635" s="3276">
        <v>51</v>
      </c>
      <c r="AM635" s="3267" t="s">
        <v>7462</v>
      </c>
      <c r="AN635" s="3267" t="s">
        <v>3131</v>
      </c>
      <c r="AO635" s="3267"/>
      <c r="AP635" s="3279" t="s">
        <v>3305</v>
      </c>
      <c r="AQ635" s="3267" t="s">
        <v>3228</v>
      </c>
      <c r="AR635" s="3267"/>
      <c r="AS635" s="3267"/>
      <c r="AT635" s="3267"/>
      <c r="AU635" s="3267"/>
      <c r="AV635" s="3267"/>
      <c r="AW635" s="3267" t="s">
        <v>2997</v>
      </c>
      <c r="AX635" s="3267"/>
      <c r="AY635" s="3269" t="s">
        <v>7463</v>
      </c>
      <c r="AZ635" s="3267" t="s">
        <v>7461</v>
      </c>
      <c r="BA635" s="3267"/>
      <c r="BB635" s="3267"/>
      <c r="BC635" s="3267"/>
      <c r="BD635" s="3267"/>
      <c r="BE635" s="3267"/>
      <c r="BF635" s="3267"/>
      <c r="BG635" s="3307">
        <v>38894</v>
      </c>
      <c r="BH635" s="3267" t="s">
        <v>2998</v>
      </c>
      <c r="BI635" s="3267" t="s">
        <v>4230</v>
      </c>
      <c r="BJ635" s="3283">
        <v>38895</v>
      </c>
      <c r="BK635" s="3283"/>
      <c r="BL635" s="3267" t="s">
        <v>3249</v>
      </c>
      <c r="BM635" s="3267" t="s">
        <v>2879</v>
      </c>
      <c r="BN635" s="3267" t="s">
        <v>2999</v>
      </c>
      <c r="BO635" s="3267" t="s">
        <v>3000</v>
      </c>
      <c r="BP635" s="3267"/>
      <c r="BQ635" s="3276" t="e">
        <v>#DIV/0!</v>
      </c>
      <c r="BR635" s="3276" t="e">
        <v>#DIV/0!</v>
      </c>
      <c r="BS635" s="3285"/>
      <c r="BT635" s="3285"/>
      <c r="BU635" s="3285"/>
      <c r="BV635" s="3347"/>
      <c r="BW635" s="3347"/>
      <c r="BX635" s="3347"/>
      <c r="BY635" s="3347"/>
      <c r="BZ635" s="3347"/>
      <c r="CA635" s="3347"/>
      <c r="CB635" s="3347"/>
      <c r="CC635" s="3347"/>
      <c r="CD635" s="3347"/>
      <c r="CE635" s="3347"/>
      <c r="CF635" s="3347"/>
      <c r="CG635" s="3347"/>
      <c r="CH635" s="3347"/>
      <c r="CI635" s="3347"/>
      <c r="CJ635" s="3347"/>
      <c r="CK635" s="3347"/>
      <c r="CL635" s="3347"/>
      <c r="CM635" s="3347"/>
      <c r="CN635" s="3347"/>
      <c r="CO635" s="3347"/>
      <c r="CP635" s="3347"/>
      <c r="CQ635" s="3347"/>
      <c r="CR635" s="3347"/>
      <c r="CS635" s="3347"/>
      <c r="CT635" s="3347"/>
      <c r="CU635" s="3347"/>
      <c r="CV635" s="3347"/>
      <c r="CW635" s="3347"/>
      <c r="CX635" s="3347"/>
      <c r="CY635" s="3347"/>
    </row>
    <row r="636" spans="1:109" hidden="1">
      <c r="A636" s="3267" t="s">
        <v>7464</v>
      </c>
      <c r="B636" s="3267" t="s">
        <v>4410</v>
      </c>
      <c r="C636" s="3269" t="s">
        <v>7465</v>
      </c>
      <c r="D636" s="3269" t="s">
        <v>7466</v>
      </c>
      <c r="E636" s="3268" t="s">
        <v>2985</v>
      </c>
      <c r="F636" s="3268" t="s">
        <v>3309</v>
      </c>
      <c r="G636" s="3267"/>
      <c r="H636" s="3268" t="s">
        <v>6364</v>
      </c>
      <c r="I636" s="3268"/>
      <c r="J636" s="3267" t="s">
        <v>3713</v>
      </c>
      <c r="K636" s="3267" t="s">
        <v>4410</v>
      </c>
      <c r="L636" s="3267">
        <v>91.69</v>
      </c>
      <c r="M636" s="3267">
        <v>2</v>
      </c>
      <c r="N636" s="3267" t="s">
        <v>3098</v>
      </c>
      <c r="O636" s="3267">
        <v>75.819999999999993</v>
      </c>
      <c r="P636" s="3267" t="s">
        <v>2963</v>
      </c>
      <c r="Q636" s="3271">
        <v>650000</v>
      </c>
      <c r="R636" s="3267">
        <v>7089</v>
      </c>
      <c r="S636" s="3272">
        <v>53.4</v>
      </c>
      <c r="T636" s="3273">
        <v>534000</v>
      </c>
      <c r="U636" s="3267">
        <v>5825</v>
      </c>
      <c r="V636" s="3289">
        <v>0.2</v>
      </c>
      <c r="W636" s="3272">
        <v>42.72</v>
      </c>
      <c r="X636" s="3275">
        <v>427200</v>
      </c>
      <c r="Y636" s="3276">
        <v>2006</v>
      </c>
      <c r="Z636" s="3276">
        <v>7</v>
      </c>
      <c r="AA636" s="3276">
        <v>25</v>
      </c>
      <c r="AB636" s="3267">
        <v>1500</v>
      </c>
      <c r="AC636" s="3267" t="s">
        <v>2980</v>
      </c>
      <c r="AD636" s="3267"/>
      <c r="AE636" s="3314" t="s">
        <v>3344</v>
      </c>
      <c r="AF636" s="3268" t="s">
        <v>2966</v>
      </c>
      <c r="AG636" s="3279" t="s">
        <v>2967</v>
      </c>
      <c r="AH636" s="3267" t="s">
        <v>2968</v>
      </c>
      <c r="AI636" s="3279" t="s">
        <v>2992</v>
      </c>
      <c r="AJ636" s="3284"/>
      <c r="AK636" s="3278">
        <v>7</v>
      </c>
      <c r="AL636" s="3276">
        <v>56</v>
      </c>
      <c r="AM636" s="3267" t="s">
        <v>7467</v>
      </c>
      <c r="AN636" s="3279" t="s">
        <v>2994</v>
      </c>
      <c r="AO636" s="3267"/>
      <c r="AP636" s="3279" t="s">
        <v>4395</v>
      </c>
      <c r="AQ636" s="3267" t="s">
        <v>3228</v>
      </c>
      <c r="AR636" s="3276"/>
      <c r="AS636" s="3276"/>
      <c r="AT636" s="3276"/>
      <c r="AU636" s="3276"/>
      <c r="AV636" s="3276"/>
      <c r="AW636" s="3276" t="s">
        <v>2997</v>
      </c>
      <c r="AX636" s="3276"/>
      <c r="AY636" s="3291"/>
      <c r="AZ636" s="3267" t="s">
        <v>7468</v>
      </c>
      <c r="BA636" s="3296"/>
      <c r="BB636" s="3297"/>
      <c r="BC636" s="3296"/>
      <c r="BD636" s="3298"/>
      <c r="BE636" s="3276">
        <v>13810076911</v>
      </c>
      <c r="BF636" s="3281"/>
      <c r="BG636" s="3293">
        <v>38875</v>
      </c>
      <c r="BH636" s="3267"/>
      <c r="BI636" s="3267" t="s">
        <v>4395</v>
      </c>
      <c r="BJ636" s="3283">
        <v>38895</v>
      </c>
      <c r="BK636" s="3283"/>
      <c r="BL636" s="3267" t="s">
        <v>2998</v>
      </c>
      <c r="BM636" s="3276" t="s">
        <v>2879</v>
      </c>
      <c r="BN636" s="3276" t="s">
        <v>2999</v>
      </c>
      <c r="BO636" s="3276"/>
      <c r="BP636" s="3276"/>
      <c r="BQ636" s="3276">
        <v>7043</v>
      </c>
      <c r="BR636" s="3276">
        <v>8573</v>
      </c>
      <c r="BS636" s="3285"/>
      <c r="BT636" s="3285"/>
      <c r="BU636" s="3285"/>
    </row>
    <row r="637" spans="1:109" hidden="1">
      <c r="A637" s="3267" t="s">
        <v>7469</v>
      </c>
      <c r="B637" s="3267" t="s">
        <v>7470</v>
      </c>
      <c r="C637" s="3269" t="s">
        <v>7471</v>
      </c>
      <c r="D637" s="3269" t="s">
        <v>7472</v>
      </c>
      <c r="E637" s="3268" t="s">
        <v>2985</v>
      </c>
      <c r="F637" s="3268" t="s">
        <v>7022</v>
      </c>
      <c r="G637" s="3267"/>
      <c r="H637" s="3268" t="s">
        <v>3130</v>
      </c>
      <c r="I637" s="3268"/>
      <c r="J637" s="3267" t="s">
        <v>7473</v>
      </c>
      <c r="K637" s="3267" t="s">
        <v>7474</v>
      </c>
      <c r="L637" s="3267">
        <v>94.48</v>
      </c>
      <c r="M637" s="3267">
        <v>16</v>
      </c>
      <c r="N637" s="3267" t="s">
        <v>3122</v>
      </c>
      <c r="O637" s="3267"/>
      <c r="P637" s="3267" t="s">
        <v>2963</v>
      </c>
      <c r="Q637" s="3271">
        <v>600000</v>
      </c>
      <c r="R637" s="3267">
        <v>6351</v>
      </c>
      <c r="S637" s="3272">
        <v>60</v>
      </c>
      <c r="T637" s="3273">
        <v>600000</v>
      </c>
      <c r="U637" s="3267">
        <v>6351</v>
      </c>
      <c r="V637" s="3289">
        <v>0.2</v>
      </c>
      <c r="W637" s="3272">
        <v>48</v>
      </c>
      <c r="X637" s="3275">
        <v>480000</v>
      </c>
      <c r="Y637" s="3276">
        <v>2006</v>
      </c>
      <c r="Z637" s="3276">
        <v>7</v>
      </c>
      <c r="AA637" s="3276">
        <v>21</v>
      </c>
      <c r="AB637" s="3267">
        <v>1500</v>
      </c>
      <c r="AC637" s="3267" t="s">
        <v>2980</v>
      </c>
      <c r="AD637" s="3267"/>
      <c r="AE637" s="3279" t="s">
        <v>2991</v>
      </c>
      <c r="AF637" s="3268" t="s">
        <v>2966</v>
      </c>
      <c r="AG637" s="3279" t="s">
        <v>2967</v>
      </c>
      <c r="AH637" s="3267"/>
      <c r="AI637" s="3279" t="s">
        <v>2992</v>
      </c>
      <c r="AJ637" s="3284"/>
      <c r="AK637" s="3278">
        <v>7</v>
      </c>
      <c r="AL637" s="3276">
        <v>53</v>
      </c>
      <c r="AM637" s="3276"/>
      <c r="AN637" s="3279" t="s">
        <v>3114</v>
      </c>
      <c r="AO637" s="3267"/>
      <c r="AP637" s="3276" t="s">
        <v>2991</v>
      </c>
      <c r="AQ637" s="3267" t="s">
        <v>3228</v>
      </c>
      <c r="AR637" s="3267">
        <v>2006</v>
      </c>
      <c r="AS637" s="3267">
        <v>7</v>
      </c>
      <c r="AT637" s="3267">
        <v>21</v>
      </c>
      <c r="AU637" s="3276"/>
      <c r="AV637" s="3276"/>
      <c r="AW637" s="3276" t="s">
        <v>2997</v>
      </c>
      <c r="AX637" s="3276"/>
      <c r="AY637" s="3291"/>
      <c r="AZ637" s="3267" t="s">
        <v>7474</v>
      </c>
      <c r="BA637" s="3296"/>
      <c r="BB637" s="3297"/>
      <c r="BC637" s="3296"/>
      <c r="BD637" s="3298"/>
      <c r="BE637" s="3276"/>
      <c r="BF637" s="3281"/>
      <c r="BG637" s="3293">
        <v>38868</v>
      </c>
      <c r="BH637" s="3267"/>
      <c r="BI637" s="3314" t="s">
        <v>2991</v>
      </c>
      <c r="BJ637" s="3283">
        <v>38895</v>
      </c>
      <c r="BK637" s="3283"/>
      <c r="BL637" s="3267" t="s">
        <v>3249</v>
      </c>
      <c r="BM637" s="3276" t="s">
        <v>3345</v>
      </c>
      <c r="BN637" s="3276" t="s">
        <v>2999</v>
      </c>
      <c r="BO637" s="3276" t="s">
        <v>3146</v>
      </c>
      <c r="BP637" s="3276"/>
      <c r="BQ637" s="3276" t="e">
        <v>#DIV/0!</v>
      </c>
      <c r="BR637" s="3276" t="e">
        <v>#DIV/0!</v>
      </c>
      <c r="BS637" s="3285"/>
      <c r="BT637" s="3285"/>
      <c r="BU637" s="3285"/>
    </row>
    <row r="638" spans="1:109" hidden="1">
      <c r="A638" s="3267" t="s">
        <v>7475</v>
      </c>
      <c r="B638" s="3267" t="s">
        <v>7476</v>
      </c>
      <c r="C638" s="3269" t="s">
        <v>7477</v>
      </c>
      <c r="D638" s="3269" t="s">
        <v>7478</v>
      </c>
      <c r="E638" s="3268" t="s">
        <v>2985</v>
      </c>
      <c r="F638" s="3268" t="s">
        <v>5117</v>
      </c>
      <c r="G638" s="3267"/>
      <c r="H638" s="3268" t="s">
        <v>3244</v>
      </c>
      <c r="I638" s="3268"/>
      <c r="J638" s="3267">
        <v>1309</v>
      </c>
      <c r="K638" s="3267" t="s">
        <v>7479</v>
      </c>
      <c r="L638" s="3267">
        <v>42.64</v>
      </c>
      <c r="M638" s="3267">
        <v>13</v>
      </c>
      <c r="N638" s="3267" t="s">
        <v>3535</v>
      </c>
      <c r="O638" s="3267"/>
      <c r="P638" s="3267" t="s">
        <v>2963</v>
      </c>
      <c r="Q638" s="3271">
        <v>330000</v>
      </c>
      <c r="R638" s="3267">
        <v>7739</v>
      </c>
      <c r="S638" s="3272">
        <v>32.96</v>
      </c>
      <c r="T638" s="3273">
        <v>329600</v>
      </c>
      <c r="U638" s="3267">
        <v>7730</v>
      </c>
      <c r="V638" s="3289">
        <v>0.2</v>
      </c>
      <c r="W638" s="3272">
        <v>26.36</v>
      </c>
      <c r="X638" s="3275">
        <v>263600</v>
      </c>
      <c r="Y638" s="3276">
        <v>2006</v>
      </c>
      <c r="Z638" s="3276">
        <v>7</v>
      </c>
      <c r="AA638" s="3276">
        <v>10</v>
      </c>
      <c r="AB638" s="3267">
        <v>985</v>
      </c>
      <c r="AC638" s="3267" t="s">
        <v>2980</v>
      </c>
      <c r="AD638" s="3267"/>
      <c r="AE638" s="3279" t="s">
        <v>2991</v>
      </c>
      <c r="AF638" s="3268" t="s">
        <v>2966</v>
      </c>
      <c r="AG638" s="3279" t="s">
        <v>2967</v>
      </c>
      <c r="AH638" s="3267"/>
      <c r="AI638" s="3279" t="s">
        <v>2992</v>
      </c>
      <c r="AJ638" s="3284"/>
      <c r="AK638" s="3278">
        <v>7</v>
      </c>
      <c r="AL638" s="3276">
        <v>58</v>
      </c>
      <c r="AM638" s="3276"/>
      <c r="AN638" s="3279" t="s">
        <v>3140</v>
      </c>
      <c r="AO638" s="3267"/>
      <c r="AP638" s="3276" t="s">
        <v>2991</v>
      </c>
      <c r="AQ638" s="3267" t="s">
        <v>3228</v>
      </c>
      <c r="AR638" s="3276">
        <v>2006</v>
      </c>
      <c r="AS638" s="3276">
        <v>7</v>
      </c>
      <c r="AT638" s="3276">
        <v>10</v>
      </c>
      <c r="AU638" s="3276"/>
      <c r="AV638" s="3276"/>
      <c r="AW638" s="3276" t="s">
        <v>2997</v>
      </c>
      <c r="AX638" s="3276"/>
      <c r="AY638" s="3291"/>
      <c r="AZ638" s="3267" t="s">
        <v>7479</v>
      </c>
      <c r="BA638" s="3296"/>
      <c r="BB638" s="3297"/>
      <c r="BC638" s="3296"/>
      <c r="BD638" s="3298"/>
      <c r="BE638" s="3276"/>
      <c r="BF638" s="3281"/>
      <c r="BG638" s="3293">
        <v>38872</v>
      </c>
      <c r="BH638" s="3267"/>
      <c r="BI638" s="3314" t="s">
        <v>2991</v>
      </c>
      <c r="BJ638" s="3283">
        <v>38895</v>
      </c>
      <c r="BK638" s="3283"/>
      <c r="BL638" s="3267" t="s">
        <v>3249</v>
      </c>
      <c r="BM638" s="3276" t="s">
        <v>3345</v>
      </c>
      <c r="BN638" s="3276" t="s">
        <v>2999</v>
      </c>
      <c r="BO638" s="3276" t="s">
        <v>3146</v>
      </c>
      <c r="BP638" s="3276"/>
      <c r="BQ638" s="3276" t="e">
        <v>#DIV/0!</v>
      </c>
      <c r="BR638" s="3276" t="e">
        <v>#DIV/0!</v>
      </c>
      <c r="BS638" s="3285"/>
      <c r="BT638" s="3285"/>
      <c r="BU638" s="3285"/>
    </row>
    <row r="639" spans="1:109" hidden="1">
      <c r="A639" s="3267" t="s">
        <v>7480</v>
      </c>
      <c r="B639" s="3267" t="s">
        <v>7481</v>
      </c>
      <c r="C639" s="3269" t="s">
        <v>7482</v>
      </c>
      <c r="D639" s="3267">
        <v>13164279685</v>
      </c>
      <c r="E639" s="3267" t="s">
        <v>2985</v>
      </c>
      <c r="F639" s="3267" t="s">
        <v>7483</v>
      </c>
      <c r="G639" s="3267"/>
      <c r="H639" s="3267" t="s">
        <v>3167</v>
      </c>
      <c r="I639" s="3267" t="s">
        <v>4347</v>
      </c>
      <c r="J639" s="3267" t="s">
        <v>3151</v>
      </c>
      <c r="K639" s="3268" t="s">
        <v>7484</v>
      </c>
      <c r="L639" s="3267">
        <v>71.89</v>
      </c>
      <c r="M639" s="3267">
        <v>5</v>
      </c>
      <c r="N639" s="3267" t="s">
        <v>3098</v>
      </c>
      <c r="O639" s="3267"/>
      <c r="P639" s="3267" t="s">
        <v>2963</v>
      </c>
      <c r="Q639" s="3267">
        <v>540000</v>
      </c>
      <c r="R639" s="3267">
        <v>7511</v>
      </c>
      <c r="S639" s="3272">
        <v>47.91</v>
      </c>
      <c r="T639" s="3273">
        <v>479100</v>
      </c>
      <c r="U639" s="3267">
        <v>6665</v>
      </c>
      <c r="V639" s="3274">
        <v>0.2</v>
      </c>
      <c r="W639" s="3267">
        <v>38.32</v>
      </c>
      <c r="X639" s="3275">
        <v>383200</v>
      </c>
      <c r="Y639" s="3267">
        <v>2006</v>
      </c>
      <c r="Z639" s="3267">
        <v>7</v>
      </c>
      <c r="AA639" s="3276">
        <v>10</v>
      </c>
      <c r="AB639" s="3267">
        <v>1435</v>
      </c>
      <c r="AC639" s="3267" t="s">
        <v>2980</v>
      </c>
      <c r="AD639" s="3267"/>
      <c r="AE639" s="3276" t="s">
        <v>2991</v>
      </c>
      <c r="AF639" s="3267" t="s">
        <v>2966</v>
      </c>
      <c r="AG639" s="3267" t="s">
        <v>2967</v>
      </c>
      <c r="AH639" s="3267"/>
      <c r="AI639" s="3267" t="s">
        <v>2992</v>
      </c>
      <c r="AJ639" s="3284"/>
      <c r="AK639" s="3278" t="s">
        <v>2993</v>
      </c>
      <c r="AL639" s="3276">
        <v>45</v>
      </c>
      <c r="AM639" s="3267"/>
      <c r="AN639" s="3267" t="s">
        <v>3140</v>
      </c>
      <c r="AO639" s="3267"/>
      <c r="AP639" s="3267" t="s">
        <v>2991</v>
      </c>
      <c r="AQ639" s="3267" t="s">
        <v>3228</v>
      </c>
      <c r="AR639" s="3276">
        <v>2006</v>
      </c>
      <c r="AS639" s="3276">
        <v>7</v>
      </c>
      <c r="AT639" s="3276">
        <v>10</v>
      </c>
      <c r="AU639" s="3267"/>
      <c r="AV639" s="3267"/>
      <c r="AW639" s="3267" t="s">
        <v>2997</v>
      </c>
      <c r="AX639" s="3267"/>
      <c r="AY639" s="3269"/>
      <c r="AZ639" s="3267" t="s">
        <v>7484</v>
      </c>
      <c r="BA639" s="3267"/>
      <c r="BB639" s="3267"/>
      <c r="BC639" s="3267"/>
      <c r="BD639" s="3267"/>
      <c r="BE639" s="3267"/>
      <c r="BF639" s="3267"/>
      <c r="BG639" s="3307">
        <v>38895</v>
      </c>
      <c r="BH639" s="3267"/>
      <c r="BI639" s="3267" t="s">
        <v>2991</v>
      </c>
      <c r="BJ639" s="3283">
        <v>38896</v>
      </c>
      <c r="BK639" s="3283"/>
      <c r="BL639" s="3267" t="s">
        <v>2998</v>
      </c>
      <c r="BM639" s="3267" t="s">
        <v>2879</v>
      </c>
      <c r="BN639" s="3267" t="s">
        <v>2999</v>
      </c>
      <c r="BO639" s="3267" t="s">
        <v>3000</v>
      </c>
      <c r="BP639" s="3267"/>
      <c r="BQ639" s="3276" t="e">
        <v>#DIV/0!</v>
      </c>
      <c r="BR639" s="3276" t="e">
        <v>#DIV/0!</v>
      </c>
      <c r="BS639" s="3285"/>
      <c r="BT639" s="3285"/>
      <c r="BU639" s="3285"/>
      <c r="BV639" s="3370"/>
      <c r="BW639" s="3370"/>
      <c r="BX639" s="3370"/>
      <c r="BY639" s="3370"/>
      <c r="BZ639" s="3370"/>
      <c r="CA639" s="3370"/>
      <c r="CB639" s="3370"/>
      <c r="CC639" s="3370"/>
      <c r="CD639" s="3370"/>
      <c r="CE639" s="3370"/>
      <c r="CF639" s="3370"/>
      <c r="CG639" s="3370"/>
      <c r="CH639" s="3370"/>
      <c r="CI639" s="3370"/>
      <c r="CJ639" s="3370"/>
      <c r="CK639" s="3370"/>
      <c r="CL639" s="3370"/>
      <c r="CM639" s="3370"/>
      <c r="CN639" s="3370"/>
      <c r="CO639" s="3370"/>
      <c r="CP639" s="3370"/>
      <c r="CQ639" s="3370"/>
      <c r="CR639" s="3370"/>
      <c r="CS639" s="3370"/>
      <c r="CT639" s="3370"/>
      <c r="CU639" s="3370"/>
      <c r="CV639" s="3370"/>
      <c r="CW639" s="3370"/>
      <c r="CX639" s="3370"/>
      <c r="CY639" s="3370"/>
      <c r="CZ639" s="3370"/>
      <c r="DA639" s="3370"/>
      <c r="DB639" s="3370"/>
      <c r="DC639" s="3370"/>
      <c r="DD639" s="3370"/>
      <c r="DE639" s="3370"/>
    </row>
    <row r="640" spans="1:109" hidden="1">
      <c r="A640" s="3267" t="s">
        <v>7485</v>
      </c>
      <c r="B640" s="3267" t="s">
        <v>7486</v>
      </c>
      <c r="C640" s="3269" t="s">
        <v>7487</v>
      </c>
      <c r="D640" s="3269" t="s">
        <v>7488</v>
      </c>
      <c r="E640" s="3268" t="s">
        <v>2985</v>
      </c>
      <c r="F640" s="3268" t="s">
        <v>3733</v>
      </c>
      <c r="G640" s="3267"/>
      <c r="H640" s="3268" t="s">
        <v>3159</v>
      </c>
      <c r="I640" s="3268"/>
      <c r="J640" s="3267" t="s">
        <v>7489</v>
      </c>
      <c r="K640" s="3267"/>
      <c r="L640" s="3267">
        <v>74.28</v>
      </c>
      <c r="M640" s="3267">
        <v>5</v>
      </c>
      <c r="N640" s="3267" t="s">
        <v>3122</v>
      </c>
      <c r="O640" s="3267"/>
      <c r="P640" s="3267" t="s">
        <v>2963</v>
      </c>
      <c r="Q640" s="3271">
        <v>500000</v>
      </c>
      <c r="R640" s="3267">
        <v>6731</v>
      </c>
      <c r="S640" s="3272">
        <v>39.36</v>
      </c>
      <c r="T640" s="3273">
        <v>393600</v>
      </c>
      <c r="U640" s="3267">
        <v>5300</v>
      </c>
      <c r="V640" s="3289">
        <v>0.2</v>
      </c>
      <c r="W640" s="3272">
        <v>31.48</v>
      </c>
      <c r="X640" s="3275">
        <v>314800</v>
      </c>
      <c r="Y640" s="3276">
        <v>2006</v>
      </c>
      <c r="Z640" s="3276">
        <v>7</v>
      </c>
      <c r="AA640" s="3276">
        <v>4</v>
      </c>
      <c r="AB640" s="3267">
        <v>1180</v>
      </c>
      <c r="AC640" s="3267" t="s">
        <v>2980</v>
      </c>
      <c r="AD640" s="3267"/>
      <c r="AE640" s="3314" t="s">
        <v>3245</v>
      </c>
      <c r="AF640" s="3268" t="s">
        <v>2966</v>
      </c>
      <c r="AG640" s="3279" t="s">
        <v>2967</v>
      </c>
      <c r="AH640" s="3267"/>
      <c r="AI640" s="3279" t="s">
        <v>2992</v>
      </c>
      <c r="AJ640" s="3284"/>
      <c r="AK640" s="3278">
        <v>7</v>
      </c>
      <c r="AL640" s="3276">
        <v>37</v>
      </c>
      <c r="AM640" s="3276"/>
      <c r="AN640" s="3279" t="s">
        <v>3131</v>
      </c>
      <c r="AO640" s="3267" t="s">
        <v>2968</v>
      </c>
      <c r="AP640" s="3279" t="s">
        <v>4395</v>
      </c>
      <c r="AQ640" s="3267" t="s">
        <v>3228</v>
      </c>
      <c r="AR640" s="3276"/>
      <c r="AS640" s="3276"/>
      <c r="AT640" s="3276"/>
      <c r="AU640" s="3276"/>
      <c r="AV640" s="3276"/>
      <c r="AW640" s="3276" t="s">
        <v>2997</v>
      </c>
      <c r="AX640" s="3276"/>
      <c r="AY640" s="3291"/>
      <c r="AZ640" s="3267" t="s">
        <v>7490</v>
      </c>
      <c r="BA640" s="3296"/>
      <c r="BB640" s="3297"/>
      <c r="BC640" s="3296"/>
      <c r="BD640" s="3298"/>
      <c r="BE640" s="3276"/>
      <c r="BF640" s="3281"/>
      <c r="BG640" s="3293">
        <v>38895</v>
      </c>
      <c r="BH640" s="3267" t="s">
        <v>2998</v>
      </c>
      <c r="BI640" s="3267" t="s">
        <v>4395</v>
      </c>
      <c r="BJ640" s="3283">
        <v>38896</v>
      </c>
      <c r="BK640" s="3283"/>
      <c r="BL640" s="3267" t="s">
        <v>3249</v>
      </c>
      <c r="BM640" s="3276" t="s">
        <v>2879</v>
      </c>
      <c r="BN640" s="3276" t="s">
        <v>2999</v>
      </c>
      <c r="BO640" s="3276" t="s">
        <v>3146</v>
      </c>
      <c r="BP640" s="3276"/>
      <c r="BQ640" s="3276" t="e">
        <v>#DIV/0!</v>
      </c>
      <c r="BR640" s="3276" t="e">
        <v>#DIV/0!</v>
      </c>
      <c r="BS640" s="3285"/>
      <c r="BT640" s="3285"/>
      <c r="BU640" s="3285"/>
    </row>
    <row r="641" spans="1:109">
      <c r="A641" s="3267" t="s">
        <v>7491</v>
      </c>
      <c r="B641" s="3267" t="s">
        <v>7492</v>
      </c>
      <c r="C641" s="3269" t="s">
        <v>7493</v>
      </c>
      <c r="D641" s="3269" t="s">
        <v>7494</v>
      </c>
      <c r="E641" s="3267" t="s">
        <v>2985</v>
      </c>
      <c r="F641" s="3267" t="s">
        <v>5687</v>
      </c>
      <c r="G641" s="3267"/>
      <c r="H641" s="3267" t="s">
        <v>7495</v>
      </c>
      <c r="I641" s="3267" t="s">
        <v>3170</v>
      </c>
      <c r="J641" s="3269" t="s">
        <v>3163</v>
      </c>
      <c r="K641" s="3267" t="s">
        <v>7492</v>
      </c>
      <c r="L641" s="3286">
        <v>56.82</v>
      </c>
      <c r="M641" s="3269" t="s">
        <v>3282</v>
      </c>
      <c r="N641" s="3268" t="s">
        <v>3122</v>
      </c>
      <c r="O641" s="3267"/>
      <c r="P641" s="3267" t="s">
        <v>2963</v>
      </c>
      <c r="Q641" s="3287">
        <v>360000</v>
      </c>
      <c r="R641" s="3267">
        <v>6336</v>
      </c>
      <c r="S641" s="3272">
        <v>37.35</v>
      </c>
      <c r="T641" s="3273">
        <v>373500</v>
      </c>
      <c r="U641" s="3267">
        <v>6575</v>
      </c>
      <c r="V641" s="3289">
        <v>0.2</v>
      </c>
      <c r="W641" s="3272">
        <v>29.88</v>
      </c>
      <c r="X641" s="3275">
        <v>298800</v>
      </c>
      <c r="Y641" s="3276">
        <v>2006</v>
      </c>
      <c r="Z641" s="3276">
        <v>8</v>
      </c>
      <c r="AA641" s="3276">
        <v>18</v>
      </c>
      <c r="AB641" s="3267">
        <v>1120</v>
      </c>
      <c r="AC641" s="3267" t="s">
        <v>2980</v>
      </c>
      <c r="AD641" s="3267"/>
      <c r="AE641" s="3267" t="s">
        <v>3295</v>
      </c>
      <c r="AF641" s="3267" t="s">
        <v>2966</v>
      </c>
      <c r="AG641" s="3279" t="s">
        <v>2967</v>
      </c>
      <c r="AH641" s="3267"/>
      <c r="AI641" s="3267" t="s">
        <v>2992</v>
      </c>
      <c r="AJ641" s="3284"/>
      <c r="AK641" s="3316" t="s">
        <v>4256</v>
      </c>
      <c r="AL641" s="3276">
        <v>45</v>
      </c>
      <c r="AM641" s="3267" t="s">
        <v>7496</v>
      </c>
      <c r="AN641" s="3279" t="s">
        <v>3114</v>
      </c>
      <c r="AO641" s="3267"/>
      <c r="AP641" s="3267" t="s">
        <v>4395</v>
      </c>
      <c r="AQ641" s="3267" t="s">
        <v>3228</v>
      </c>
      <c r="AR641" s="3276"/>
      <c r="AS641" s="3276"/>
      <c r="AT641" s="3276"/>
      <c r="AU641" s="3276"/>
      <c r="AV641" s="3276"/>
      <c r="AW641" s="3267" t="s">
        <v>3171</v>
      </c>
      <c r="AX641" s="3276"/>
      <c r="AY641" s="3291"/>
      <c r="AZ641" s="3291" t="s">
        <v>7497</v>
      </c>
      <c r="BA641" s="3276"/>
      <c r="BB641" s="3291"/>
      <c r="BC641" s="3276"/>
      <c r="BD641" s="3292"/>
      <c r="BE641" s="3276">
        <v>64250652</v>
      </c>
      <c r="BF641" s="3281"/>
      <c r="BG641" s="3299">
        <v>38818</v>
      </c>
      <c r="BH641" s="3267" t="s">
        <v>2998</v>
      </c>
      <c r="BI641" s="3267" t="s">
        <v>4395</v>
      </c>
      <c r="BJ641" s="3283">
        <v>38896</v>
      </c>
      <c r="BK641" s="3283"/>
      <c r="BL641" s="3267" t="s">
        <v>3249</v>
      </c>
      <c r="BM641" s="3276" t="s">
        <v>5388</v>
      </c>
      <c r="BN641" s="3267" t="s">
        <v>3111</v>
      </c>
      <c r="BO641" s="3276" t="s">
        <v>3000</v>
      </c>
      <c r="BP641" s="3276"/>
      <c r="BQ641" s="3276" t="e">
        <v>#DIV/0!</v>
      </c>
      <c r="BR641" s="3276" t="e">
        <v>#DIV/0!</v>
      </c>
      <c r="BS641" s="3285"/>
      <c r="BT641" s="3285"/>
      <c r="BU641" s="3285"/>
    </row>
    <row r="642" spans="1:109" hidden="1">
      <c r="A642" s="3267" t="s">
        <v>7498</v>
      </c>
      <c r="B642" s="3267" t="s">
        <v>7499</v>
      </c>
      <c r="C642" s="3269" t="s">
        <v>7500</v>
      </c>
      <c r="D642" s="3269">
        <v>13311326319</v>
      </c>
      <c r="E642" s="3268" t="s">
        <v>2985</v>
      </c>
      <c r="F642" s="3268" t="s">
        <v>3719</v>
      </c>
      <c r="G642" s="3267"/>
      <c r="H642" s="3267" t="s">
        <v>7501</v>
      </c>
      <c r="I642" s="3268" t="s">
        <v>3191</v>
      </c>
      <c r="J642" s="3267" t="s">
        <v>3437</v>
      </c>
      <c r="K642" s="3267" t="s">
        <v>7502</v>
      </c>
      <c r="L642" s="3267">
        <v>90.5</v>
      </c>
      <c r="M642" s="3267">
        <v>4</v>
      </c>
      <c r="N642" s="3267" t="s">
        <v>3122</v>
      </c>
      <c r="O642" s="3267"/>
      <c r="P642" s="3267" t="s">
        <v>2963</v>
      </c>
      <c r="Q642" s="3271">
        <v>530000</v>
      </c>
      <c r="R642" s="3288">
        <v>5856</v>
      </c>
      <c r="S642" s="3272">
        <v>49.1</v>
      </c>
      <c r="T642" s="3273">
        <v>491000</v>
      </c>
      <c r="U642" s="3267">
        <v>5426</v>
      </c>
      <c r="V642" s="3289">
        <v>0.2</v>
      </c>
      <c r="W642" s="3272">
        <v>39.28</v>
      </c>
      <c r="X642" s="3273">
        <v>392800</v>
      </c>
      <c r="Y642" s="3267">
        <v>2006</v>
      </c>
      <c r="Z642" s="3276">
        <v>7</v>
      </c>
      <c r="AA642" s="3276">
        <v>5</v>
      </c>
      <c r="AB642" s="3267">
        <v>1470</v>
      </c>
      <c r="AC642" s="3267" t="s">
        <v>2980</v>
      </c>
      <c r="AD642" s="3267"/>
      <c r="AE642" s="3279" t="s">
        <v>3245</v>
      </c>
      <c r="AF642" s="3268" t="s">
        <v>2966</v>
      </c>
      <c r="AG642" s="3279" t="s">
        <v>2967</v>
      </c>
      <c r="AH642" s="3267"/>
      <c r="AI642" s="3279" t="s">
        <v>2992</v>
      </c>
      <c r="AJ642" s="3284"/>
      <c r="AK642" s="3278">
        <v>7</v>
      </c>
      <c r="AL642" s="3276">
        <v>44</v>
      </c>
      <c r="AM642" s="3276"/>
      <c r="AN642" s="3279" t="s">
        <v>3131</v>
      </c>
      <c r="AO642" s="3267"/>
      <c r="AP642" s="3279" t="s">
        <v>3305</v>
      </c>
      <c r="AQ642" s="3276" t="s">
        <v>3113</v>
      </c>
      <c r="AR642" s="3276"/>
      <c r="AS642" s="3276"/>
      <c r="AT642" s="3276"/>
      <c r="AU642" s="3276"/>
      <c r="AV642" s="3276"/>
      <c r="AW642" s="3276" t="s">
        <v>3119</v>
      </c>
      <c r="AX642" s="3276"/>
      <c r="AY642" s="3291"/>
      <c r="AZ642" s="3267" t="s">
        <v>7502</v>
      </c>
      <c r="BA642" s="3296"/>
      <c r="BB642" s="3297"/>
      <c r="BC642" s="3296"/>
      <c r="BD642" s="3298"/>
      <c r="BE642" s="3276"/>
      <c r="BF642" s="3281"/>
      <c r="BG642" s="3293">
        <v>38896</v>
      </c>
      <c r="BH642" s="3267" t="s">
        <v>2998</v>
      </c>
      <c r="BI642" s="3314" t="s">
        <v>3305</v>
      </c>
      <c r="BJ642" s="3283">
        <v>38896</v>
      </c>
      <c r="BK642" s="3283"/>
      <c r="BL642" s="3267" t="s">
        <v>3249</v>
      </c>
      <c r="BM642" s="3276" t="s">
        <v>2879</v>
      </c>
      <c r="BN642" s="3276" t="s">
        <v>3111</v>
      </c>
      <c r="BO642" s="3276" t="s">
        <v>3146</v>
      </c>
      <c r="BP642" s="3276"/>
      <c r="BQ642" s="3276" t="e">
        <v>#DIV/0!</v>
      </c>
      <c r="BR642" s="3276" t="e">
        <v>#DIV/0!</v>
      </c>
      <c r="BS642" s="3285"/>
      <c r="BT642" s="3285"/>
      <c r="BU642" s="3285"/>
    </row>
    <row r="643" spans="1:109" hidden="1">
      <c r="A643" s="3267" t="s">
        <v>7503</v>
      </c>
      <c r="B643" s="3267" t="s">
        <v>7504</v>
      </c>
      <c r="C643" s="3269" t="s">
        <v>7505</v>
      </c>
      <c r="D643" s="3269" t="s">
        <v>7506</v>
      </c>
      <c r="E643" s="3268" t="s">
        <v>2985</v>
      </c>
      <c r="F643" s="3268" t="s">
        <v>7507</v>
      </c>
      <c r="G643" s="3267"/>
      <c r="H643" s="3268" t="s">
        <v>7508</v>
      </c>
      <c r="I643" s="3268"/>
      <c r="J643" s="3267" t="s">
        <v>7509</v>
      </c>
      <c r="K643" s="3267" t="s">
        <v>7510</v>
      </c>
      <c r="L643" s="3267">
        <v>79.599999999999994</v>
      </c>
      <c r="M643" s="3267">
        <v>8</v>
      </c>
      <c r="N643" s="3267" t="s">
        <v>3122</v>
      </c>
      <c r="O643" s="3267"/>
      <c r="P643" s="3267" t="s">
        <v>2963</v>
      </c>
      <c r="Q643" s="3271">
        <v>558000</v>
      </c>
      <c r="R643" s="3267">
        <v>7010</v>
      </c>
      <c r="S643" s="3272">
        <v>45.53</v>
      </c>
      <c r="T643" s="3273">
        <v>455300</v>
      </c>
      <c r="U643" s="3267">
        <v>5720</v>
      </c>
      <c r="V643" s="3289">
        <v>0.2</v>
      </c>
      <c r="W643" s="3272">
        <v>36.42</v>
      </c>
      <c r="X643" s="3275">
        <v>364200</v>
      </c>
      <c r="Y643" s="3276">
        <v>2006</v>
      </c>
      <c r="Z643" s="3276">
        <v>7</v>
      </c>
      <c r="AA643" s="3276">
        <v>5</v>
      </c>
      <c r="AB643" s="3267">
        <v>1365</v>
      </c>
      <c r="AC643" s="3267" t="s">
        <v>2980</v>
      </c>
      <c r="AD643" s="3267"/>
      <c r="AE643" s="3279" t="s">
        <v>3245</v>
      </c>
      <c r="AF643" s="3268" t="s">
        <v>2966</v>
      </c>
      <c r="AG643" s="3279" t="s">
        <v>2967</v>
      </c>
      <c r="AH643" s="3267"/>
      <c r="AI643" s="3279" t="s">
        <v>2992</v>
      </c>
      <c r="AJ643" s="3284"/>
      <c r="AK643" s="3278">
        <v>7</v>
      </c>
      <c r="AL643" s="3276">
        <v>54</v>
      </c>
      <c r="AM643" s="3276"/>
      <c r="AN643" s="3279" t="s">
        <v>3131</v>
      </c>
      <c r="AO643" s="3267" t="s">
        <v>7511</v>
      </c>
      <c r="AP643" s="3279" t="s">
        <v>3305</v>
      </c>
      <c r="AQ643" s="3276" t="s">
        <v>3113</v>
      </c>
      <c r="AR643" s="3276"/>
      <c r="AS643" s="3276"/>
      <c r="AT643" s="3276"/>
      <c r="AU643" s="3276"/>
      <c r="AV643" s="3276"/>
      <c r="AW643" s="3276" t="s">
        <v>3119</v>
      </c>
      <c r="AX643" s="3276"/>
      <c r="AY643" s="3291"/>
      <c r="AZ643" s="3267" t="s">
        <v>7510</v>
      </c>
      <c r="BA643" s="3296"/>
      <c r="BB643" s="3297"/>
      <c r="BC643" s="3296"/>
      <c r="BD643" s="3298"/>
      <c r="BE643" s="3276"/>
      <c r="BF643" s="3281"/>
      <c r="BG643" s="3293">
        <v>38896</v>
      </c>
      <c r="BH643" s="3267" t="s">
        <v>2998</v>
      </c>
      <c r="BI643" s="3314" t="s">
        <v>3305</v>
      </c>
      <c r="BJ643" s="3283">
        <v>38896</v>
      </c>
      <c r="BK643" s="3283"/>
      <c r="BL643" s="3267" t="s">
        <v>3249</v>
      </c>
      <c r="BM643" s="3276" t="s">
        <v>2879</v>
      </c>
      <c r="BN643" s="3276" t="s">
        <v>2999</v>
      </c>
      <c r="BO643" s="3276" t="s">
        <v>3000</v>
      </c>
      <c r="BP643" s="3276"/>
      <c r="BQ643" s="3276" t="e">
        <v>#DIV/0!</v>
      </c>
      <c r="BR643" s="3276" t="e">
        <v>#DIV/0!</v>
      </c>
      <c r="BS643" s="3285"/>
      <c r="BT643" s="3285"/>
      <c r="BU643" s="3285"/>
    </row>
    <row r="644" spans="1:109" hidden="1">
      <c r="A644" s="3267" t="s">
        <v>7512</v>
      </c>
      <c r="B644" s="3267" t="s">
        <v>7513</v>
      </c>
      <c r="C644" s="3269" t="s">
        <v>7514</v>
      </c>
      <c r="D644" s="3269" t="s">
        <v>7515</v>
      </c>
      <c r="E644" s="3268" t="s">
        <v>2985</v>
      </c>
      <c r="F644" s="3268" t="s">
        <v>7516</v>
      </c>
      <c r="G644" s="3267"/>
      <c r="H644" s="3267" t="s">
        <v>3130</v>
      </c>
      <c r="I644" s="3268"/>
      <c r="J644" s="3267" t="s">
        <v>7517</v>
      </c>
      <c r="K644" s="3267" t="s">
        <v>7518</v>
      </c>
      <c r="L644" s="3267">
        <v>117.69</v>
      </c>
      <c r="M644" s="3267">
        <v>14</v>
      </c>
      <c r="N644" s="3267" t="s">
        <v>3303</v>
      </c>
      <c r="O644" s="3267">
        <v>93.17</v>
      </c>
      <c r="P644" s="3267" t="s">
        <v>2963</v>
      </c>
      <c r="Q644" s="3271">
        <v>423684</v>
      </c>
      <c r="R644" s="3267">
        <v>3600</v>
      </c>
      <c r="S644" s="3272">
        <v>42.36</v>
      </c>
      <c r="T644" s="3273">
        <v>423600</v>
      </c>
      <c r="U644" s="3267">
        <v>3600</v>
      </c>
      <c r="V644" s="3289">
        <v>0.3</v>
      </c>
      <c r="W644" s="3272">
        <v>29.65</v>
      </c>
      <c r="X644" s="3275">
        <v>296500</v>
      </c>
      <c r="Y644" s="3276">
        <v>2006</v>
      </c>
      <c r="Z644" s="3276">
        <v>7</v>
      </c>
      <c r="AA644" s="3276">
        <v>7</v>
      </c>
      <c r="AB644" s="3267">
        <v>1270</v>
      </c>
      <c r="AC644" s="3267" t="s">
        <v>7519</v>
      </c>
      <c r="AD644" s="3366"/>
      <c r="AE644" s="3279" t="s">
        <v>2991</v>
      </c>
      <c r="AF644" s="3268"/>
      <c r="AG644" s="3279" t="s">
        <v>5571</v>
      </c>
      <c r="AH644" s="3267" t="s">
        <v>2968</v>
      </c>
      <c r="AI644" s="3279" t="s">
        <v>2992</v>
      </c>
      <c r="AJ644" s="3284"/>
      <c r="AK644" s="3278">
        <v>7</v>
      </c>
      <c r="AL644" s="3276">
        <v>55</v>
      </c>
      <c r="AM644" s="3267"/>
      <c r="AN644" s="3279" t="s">
        <v>3131</v>
      </c>
      <c r="AO644" s="3267" t="s">
        <v>2968</v>
      </c>
      <c r="AP644" s="3279" t="s">
        <v>2991</v>
      </c>
      <c r="AQ644" s="3276" t="s">
        <v>2996</v>
      </c>
      <c r="AR644" s="3276"/>
      <c r="AS644" s="3276"/>
      <c r="AT644" s="3276"/>
      <c r="AU644" s="3276"/>
      <c r="AV644" s="3276" t="s">
        <v>2968</v>
      </c>
      <c r="AW644" s="3276" t="s">
        <v>2997</v>
      </c>
      <c r="AX644" s="3276"/>
      <c r="AY644" s="3291"/>
      <c r="AZ644" s="3267"/>
      <c r="BA644" s="3296"/>
      <c r="BB644" s="3297"/>
      <c r="BC644" s="3296"/>
      <c r="BD644" s="3298"/>
      <c r="BE644" s="3276"/>
      <c r="BF644" s="3281" t="s">
        <v>2968</v>
      </c>
      <c r="BG644" s="3293">
        <v>38863</v>
      </c>
      <c r="BH644" s="3267"/>
      <c r="BI644" s="3314" t="s">
        <v>2991</v>
      </c>
      <c r="BJ644" s="3283">
        <v>38896</v>
      </c>
      <c r="BK644" s="3283"/>
      <c r="BL644" s="3267" t="s">
        <v>3249</v>
      </c>
      <c r="BM644" s="3267" t="s">
        <v>2879</v>
      </c>
      <c r="BN644" s="3276" t="s">
        <v>2999</v>
      </c>
      <c r="BO644" s="3276" t="s">
        <v>3146</v>
      </c>
      <c r="BP644" s="3276"/>
      <c r="BQ644" s="3276">
        <v>4547</v>
      </c>
      <c r="BR644" s="3276">
        <v>4547</v>
      </c>
      <c r="BS644" s="3285"/>
      <c r="BT644" s="3285"/>
      <c r="BU644" s="3285"/>
    </row>
    <row r="645" spans="1:109" hidden="1">
      <c r="A645" s="3267" t="s">
        <v>7520</v>
      </c>
      <c r="B645" s="3267" t="s">
        <v>7521</v>
      </c>
      <c r="C645" s="3269" t="s">
        <v>7522</v>
      </c>
      <c r="D645" s="3269">
        <v>13261295580</v>
      </c>
      <c r="E645" s="3268" t="s">
        <v>2985</v>
      </c>
      <c r="F645" s="3268" t="s">
        <v>4761</v>
      </c>
      <c r="G645" s="3267"/>
      <c r="H645" s="3267" t="s">
        <v>3127</v>
      </c>
      <c r="I645" s="3268"/>
      <c r="J645" s="3267" t="s">
        <v>7523</v>
      </c>
      <c r="K645" s="3267" t="s">
        <v>7521</v>
      </c>
      <c r="L645" s="3267">
        <v>90.14</v>
      </c>
      <c r="M645" s="3267">
        <v>24</v>
      </c>
      <c r="N645" s="3267" t="s">
        <v>2989</v>
      </c>
      <c r="O645" s="3267">
        <v>71.569999999999993</v>
      </c>
      <c r="P645" s="3267" t="s">
        <v>2963</v>
      </c>
      <c r="Q645" s="3271">
        <v>530000</v>
      </c>
      <c r="R645" s="3288">
        <v>5880</v>
      </c>
      <c r="S645" s="3272">
        <v>47.69</v>
      </c>
      <c r="T645" s="3273">
        <v>476900</v>
      </c>
      <c r="U645" s="3267">
        <v>5291</v>
      </c>
      <c r="V645" s="3289">
        <v>0.2</v>
      </c>
      <c r="W645" s="3272">
        <v>38.15</v>
      </c>
      <c r="X645" s="3273">
        <v>381500</v>
      </c>
      <c r="Y645" s="3267">
        <v>2006</v>
      </c>
      <c r="Z645" s="3276">
        <v>8</v>
      </c>
      <c r="AA645" s="3276">
        <v>7</v>
      </c>
      <c r="AB645" s="3267">
        <v>1430</v>
      </c>
      <c r="AC645" s="3267" t="s">
        <v>2980</v>
      </c>
      <c r="AD645" s="3267"/>
      <c r="AE645" s="3279" t="s">
        <v>3344</v>
      </c>
      <c r="AF645" s="3268" t="s">
        <v>2966</v>
      </c>
      <c r="AG645" s="3279" t="s">
        <v>2967</v>
      </c>
      <c r="AH645" s="3267" t="s">
        <v>7524</v>
      </c>
      <c r="AI645" s="3279" t="s">
        <v>2992</v>
      </c>
      <c r="AJ645" s="3284"/>
      <c r="AK645" s="3278">
        <v>8</v>
      </c>
      <c r="AL645" s="3276">
        <v>55</v>
      </c>
      <c r="AM645" s="3267" t="s">
        <v>7525</v>
      </c>
      <c r="AN645" s="3279" t="s">
        <v>3140</v>
      </c>
      <c r="AO645" s="3267"/>
      <c r="AP645" s="3279" t="s">
        <v>3305</v>
      </c>
      <c r="AQ645" s="3267" t="s">
        <v>3228</v>
      </c>
      <c r="AR645" s="3276"/>
      <c r="AS645" s="3276"/>
      <c r="AT645" s="3276"/>
      <c r="AU645" s="3276"/>
      <c r="AV645" s="3276"/>
      <c r="AW645" s="3276" t="s">
        <v>3112</v>
      </c>
      <c r="AX645" s="3276"/>
      <c r="AY645" s="3291"/>
      <c r="AZ645" s="3267" t="s">
        <v>7526</v>
      </c>
      <c r="BA645" s="3296"/>
      <c r="BB645" s="3297"/>
      <c r="BC645" s="3296"/>
      <c r="BD645" s="3298"/>
      <c r="BE645" s="3276">
        <v>13901208193</v>
      </c>
      <c r="BF645" s="3281"/>
      <c r="BG645" s="3293">
        <v>38895</v>
      </c>
      <c r="BH645" s="3267" t="s">
        <v>2998</v>
      </c>
      <c r="BI645" s="3314" t="s">
        <v>3305</v>
      </c>
      <c r="BJ645" s="3283">
        <v>38896</v>
      </c>
      <c r="BK645" s="3283" t="s">
        <v>2968</v>
      </c>
      <c r="BL645" s="3267" t="s">
        <v>3249</v>
      </c>
      <c r="BM645" s="3276" t="s">
        <v>2879</v>
      </c>
      <c r="BN645" s="3276" t="s">
        <v>2999</v>
      </c>
      <c r="BO645" s="3276" t="s">
        <v>3146</v>
      </c>
      <c r="BP645" s="3276"/>
      <c r="BQ645" s="3276">
        <v>6663</v>
      </c>
      <c r="BR645" s="3276">
        <v>7405</v>
      </c>
      <c r="BS645" s="3285"/>
      <c r="BT645" s="3285"/>
      <c r="BU645" s="3285"/>
    </row>
    <row r="646" spans="1:109" hidden="1">
      <c r="A646" s="3267" t="s">
        <v>7527</v>
      </c>
      <c r="B646" s="3267" t="s">
        <v>7528</v>
      </c>
      <c r="C646" s="3269" t="s">
        <v>7529</v>
      </c>
      <c r="D646" s="3267">
        <v>67036716</v>
      </c>
      <c r="E646" s="3267" t="s">
        <v>2985</v>
      </c>
      <c r="F646" s="3267" t="s">
        <v>4252</v>
      </c>
      <c r="G646" s="3267"/>
      <c r="H646" s="3267" t="s">
        <v>3127</v>
      </c>
      <c r="I646" s="3267"/>
      <c r="J646" s="3267" t="s">
        <v>7530</v>
      </c>
      <c r="K646" s="3268" t="s">
        <v>7531</v>
      </c>
      <c r="L646" s="3267">
        <v>130.93</v>
      </c>
      <c r="M646" s="3267">
        <v>4</v>
      </c>
      <c r="N646" s="3267" t="s">
        <v>3116</v>
      </c>
      <c r="O646" s="3267"/>
      <c r="P646" s="3267" t="s">
        <v>2963</v>
      </c>
      <c r="Q646" s="3267">
        <v>840000</v>
      </c>
      <c r="R646" s="3267">
        <v>6416</v>
      </c>
      <c r="S646" s="3272">
        <v>88.1</v>
      </c>
      <c r="T646" s="3273">
        <v>881000</v>
      </c>
      <c r="U646" s="3267">
        <v>6729</v>
      </c>
      <c r="V646" s="3274">
        <v>0.3</v>
      </c>
      <c r="W646" s="3267">
        <v>61.67</v>
      </c>
      <c r="X646" s="3275">
        <v>616700</v>
      </c>
      <c r="Y646" s="3267">
        <v>2006</v>
      </c>
      <c r="Z646" s="3267">
        <v>7</v>
      </c>
      <c r="AA646" s="3276">
        <v>10</v>
      </c>
      <c r="AB646" s="3267">
        <v>1500</v>
      </c>
      <c r="AC646" s="3267" t="s">
        <v>2980</v>
      </c>
      <c r="AD646" s="3267"/>
      <c r="AE646" s="3276" t="s">
        <v>2991</v>
      </c>
      <c r="AF646" s="3267" t="s">
        <v>2966</v>
      </c>
      <c r="AG646" s="3267" t="s">
        <v>2967</v>
      </c>
      <c r="AH646" s="3267"/>
      <c r="AI646" s="3267" t="s">
        <v>2992</v>
      </c>
      <c r="AJ646" s="3284"/>
      <c r="AK646" s="3278" t="s">
        <v>2993</v>
      </c>
      <c r="AL646" s="3276">
        <v>49</v>
      </c>
      <c r="AM646" s="3267"/>
      <c r="AN646" s="3267" t="s">
        <v>3140</v>
      </c>
      <c r="AO646" s="3267"/>
      <c r="AP646" s="3267" t="s">
        <v>2991</v>
      </c>
      <c r="AQ646" s="3267" t="s">
        <v>3228</v>
      </c>
      <c r="AR646" s="3276">
        <v>2006</v>
      </c>
      <c r="AS646" s="3276">
        <v>7</v>
      </c>
      <c r="AT646" s="3276">
        <v>10</v>
      </c>
      <c r="AU646" s="3267"/>
      <c r="AV646" s="3267"/>
      <c r="AW646" s="3267" t="s">
        <v>2997</v>
      </c>
      <c r="AX646" s="3267"/>
      <c r="AY646" s="3269"/>
      <c r="AZ646" s="3267"/>
      <c r="BA646" s="3267"/>
      <c r="BB646" s="3267"/>
      <c r="BC646" s="3267"/>
      <c r="BD646" s="3267"/>
      <c r="BE646" s="3267"/>
      <c r="BF646" s="3267"/>
      <c r="BG646" s="3307">
        <v>38896</v>
      </c>
      <c r="BH646" s="3267"/>
      <c r="BI646" s="3267" t="s">
        <v>2991</v>
      </c>
      <c r="BJ646" s="3283">
        <v>38896</v>
      </c>
      <c r="BK646" s="3283"/>
      <c r="BL646" s="3267" t="s">
        <v>2998</v>
      </c>
      <c r="BM646" s="3267" t="s">
        <v>2879</v>
      </c>
      <c r="BN646" s="3267" t="s">
        <v>2999</v>
      </c>
      <c r="BO646" s="3267" t="s">
        <v>3000</v>
      </c>
      <c r="BP646" s="3267"/>
      <c r="BQ646" s="3276" t="e">
        <v>#DIV/0!</v>
      </c>
      <c r="BR646" s="3276" t="e">
        <v>#DIV/0!</v>
      </c>
      <c r="BS646" s="3285"/>
      <c r="BT646" s="3285"/>
      <c r="BU646" s="3285"/>
      <c r="BV646" s="3370"/>
      <c r="BW646" s="3370"/>
      <c r="BX646" s="3370"/>
      <c r="BY646" s="3370"/>
      <c r="BZ646" s="3370"/>
      <c r="CA646" s="3370"/>
      <c r="CB646" s="3370"/>
      <c r="CC646" s="3370"/>
      <c r="CD646" s="3370"/>
      <c r="CE646" s="3370"/>
      <c r="CF646" s="3370"/>
      <c r="CG646" s="3370"/>
      <c r="CH646" s="3370"/>
      <c r="CI646" s="3370"/>
      <c r="CJ646" s="3370"/>
      <c r="CK646" s="3370"/>
      <c r="CL646" s="3370"/>
      <c r="CM646" s="3370"/>
      <c r="CN646" s="3370"/>
      <c r="CO646" s="3370"/>
      <c r="CP646" s="3370"/>
      <c r="CQ646" s="3370"/>
      <c r="CR646" s="3370"/>
      <c r="CS646" s="3370"/>
      <c r="CT646" s="3370"/>
      <c r="CU646" s="3370"/>
      <c r="CV646" s="3370"/>
      <c r="CW646" s="3370"/>
      <c r="CX646" s="3370"/>
      <c r="CY646" s="3370"/>
      <c r="CZ646" s="3370"/>
      <c r="DA646" s="3370"/>
      <c r="DB646" s="3370"/>
      <c r="DC646" s="3370"/>
      <c r="DD646" s="3370"/>
      <c r="DE646" s="3370"/>
    </row>
    <row r="647" spans="1:109" hidden="1">
      <c r="A647" s="3267" t="s">
        <v>7532</v>
      </c>
      <c r="B647" s="3267" t="s">
        <v>7533</v>
      </c>
      <c r="C647" s="3269" t="s">
        <v>7534</v>
      </c>
      <c r="D647" s="3269" t="s">
        <v>7535</v>
      </c>
      <c r="E647" s="3268" t="s">
        <v>2985</v>
      </c>
      <c r="F647" s="3268" t="s">
        <v>6540</v>
      </c>
      <c r="G647" s="3267"/>
      <c r="H647" s="3267" t="s">
        <v>7536</v>
      </c>
      <c r="I647" s="3268" t="s">
        <v>3586</v>
      </c>
      <c r="J647" s="3267" t="s">
        <v>3126</v>
      </c>
      <c r="K647" s="3267" t="s">
        <v>7537</v>
      </c>
      <c r="L647" s="3267">
        <v>78.459999999999994</v>
      </c>
      <c r="M647" s="3267">
        <v>6</v>
      </c>
      <c r="N647" s="3267" t="s">
        <v>3125</v>
      </c>
      <c r="O647" s="3267"/>
      <c r="P647" s="3267" t="s">
        <v>2963</v>
      </c>
      <c r="Q647" s="3271">
        <v>314000</v>
      </c>
      <c r="R647" s="3267">
        <v>4002</v>
      </c>
      <c r="S647" s="3272">
        <v>34.71</v>
      </c>
      <c r="T647" s="3273">
        <v>347100</v>
      </c>
      <c r="U647" s="3267">
        <v>4424</v>
      </c>
      <c r="V647" s="3289">
        <v>0.2</v>
      </c>
      <c r="W647" s="3272">
        <v>27.76</v>
      </c>
      <c r="X647" s="3275">
        <v>277600</v>
      </c>
      <c r="Y647" s="3276">
        <v>2006</v>
      </c>
      <c r="Z647" s="3276">
        <v>7</v>
      </c>
      <c r="AA647" s="3276">
        <v>17</v>
      </c>
      <c r="AB647" s="3267">
        <v>1040</v>
      </c>
      <c r="AC647" s="3267" t="s">
        <v>2980</v>
      </c>
      <c r="AD647" s="3267"/>
      <c r="AE647" s="3279" t="s">
        <v>2991</v>
      </c>
      <c r="AF647" s="3268"/>
      <c r="AG647" s="3279" t="s">
        <v>2967</v>
      </c>
      <c r="AH647" s="3267" t="s">
        <v>2968</v>
      </c>
      <c r="AI647" s="3279" t="s">
        <v>2992</v>
      </c>
      <c r="AJ647" s="3284"/>
      <c r="AK647" s="3278">
        <v>7</v>
      </c>
      <c r="AL647" s="3276">
        <v>44</v>
      </c>
      <c r="AM647" s="3267"/>
      <c r="AN647" s="3279" t="s">
        <v>3114</v>
      </c>
      <c r="AO647" s="3267"/>
      <c r="AP647" s="3279" t="s">
        <v>2991</v>
      </c>
      <c r="AQ647" s="3267" t="s">
        <v>3228</v>
      </c>
      <c r="AR647" s="3276">
        <v>2006</v>
      </c>
      <c r="AS647" s="3276">
        <v>7</v>
      </c>
      <c r="AT647" s="3276">
        <v>17</v>
      </c>
      <c r="AU647" s="3276"/>
      <c r="AV647" s="3276" t="s">
        <v>2968</v>
      </c>
      <c r="AW647" s="3276" t="s">
        <v>2997</v>
      </c>
      <c r="AX647" s="3276"/>
      <c r="AY647" s="3291"/>
      <c r="AZ647" s="3267"/>
      <c r="BA647" s="3296"/>
      <c r="BB647" s="3297"/>
      <c r="BC647" s="3296"/>
      <c r="BD647" s="3298"/>
      <c r="BE647" s="3276"/>
      <c r="BF647" s="3281" t="s">
        <v>2968</v>
      </c>
      <c r="BG647" s="3293">
        <v>38896</v>
      </c>
      <c r="BH647" s="3267"/>
      <c r="BI647" s="3314" t="s">
        <v>2991</v>
      </c>
      <c r="BJ647" s="3283">
        <v>38896</v>
      </c>
      <c r="BK647" s="3283"/>
      <c r="BL647" s="3267" t="s">
        <v>3249</v>
      </c>
      <c r="BM647" s="3276" t="s">
        <v>3128</v>
      </c>
      <c r="BN647" s="3276" t="s">
        <v>2999</v>
      </c>
      <c r="BO647" s="3276" t="s">
        <v>3146</v>
      </c>
      <c r="BP647" s="3276"/>
      <c r="BQ647" s="3276" t="e">
        <v>#DIV/0!</v>
      </c>
      <c r="BR647" s="3276" t="e">
        <v>#DIV/0!</v>
      </c>
      <c r="BS647" s="3285"/>
      <c r="BT647" s="3285"/>
      <c r="BU647" s="3285"/>
    </row>
    <row r="648" spans="1:109" hidden="1">
      <c r="A648" s="3268" t="s">
        <v>7538</v>
      </c>
      <c r="B648" s="3267" t="s">
        <v>7539</v>
      </c>
      <c r="C648" s="3269" t="s">
        <v>7540</v>
      </c>
      <c r="D648" s="3269" t="s">
        <v>7541</v>
      </c>
      <c r="E648" s="3267" t="s">
        <v>2985</v>
      </c>
      <c r="F648" s="3268" t="s">
        <v>7542</v>
      </c>
      <c r="G648" s="3267"/>
      <c r="H648" s="3267" t="s">
        <v>7543</v>
      </c>
      <c r="I648" s="3267" t="s">
        <v>7544</v>
      </c>
      <c r="J648" s="3269" t="s">
        <v>3173</v>
      </c>
      <c r="K648" s="3267" t="s">
        <v>7545</v>
      </c>
      <c r="L648" s="3267">
        <v>131.09</v>
      </c>
      <c r="M648" s="3267">
        <v>2</v>
      </c>
      <c r="N648" s="3267" t="s">
        <v>3129</v>
      </c>
      <c r="O648" s="3267"/>
      <c r="P648" s="3267" t="s">
        <v>2963</v>
      </c>
      <c r="Q648" s="3271">
        <v>500000</v>
      </c>
      <c r="R648" s="3267">
        <v>3814</v>
      </c>
      <c r="S648" s="3272">
        <v>51.02</v>
      </c>
      <c r="T648" s="3273">
        <v>510200.00000000006</v>
      </c>
      <c r="U648" s="3267">
        <v>3892</v>
      </c>
      <c r="V648" s="3289">
        <v>0.3</v>
      </c>
      <c r="W648" s="3272">
        <v>35.71</v>
      </c>
      <c r="X648" s="3275">
        <v>357100</v>
      </c>
      <c r="Y648" s="3267">
        <v>2006</v>
      </c>
      <c r="Z648" s="3276">
        <v>7</v>
      </c>
      <c r="AA648" s="3276">
        <v>3</v>
      </c>
      <c r="AB648" s="3267">
        <v>1500</v>
      </c>
      <c r="AC648" s="3267" t="s">
        <v>2980</v>
      </c>
      <c r="AD648" s="3267"/>
      <c r="AE648" s="3267" t="s">
        <v>3487</v>
      </c>
      <c r="AF648" s="3267" t="s">
        <v>2966</v>
      </c>
      <c r="AG648" s="3267" t="s">
        <v>2967</v>
      </c>
      <c r="AH648" s="3267" t="s">
        <v>2968</v>
      </c>
      <c r="AI648" s="3267" t="s">
        <v>3295</v>
      </c>
      <c r="AJ648" s="3284"/>
      <c r="AK648" s="3278">
        <v>7</v>
      </c>
      <c r="AL648" s="3276">
        <v>47</v>
      </c>
      <c r="AM648" s="3267" t="s">
        <v>7546</v>
      </c>
      <c r="AN648" s="3279" t="s">
        <v>3114</v>
      </c>
      <c r="AO648" s="3276" t="s">
        <v>2968</v>
      </c>
      <c r="AP648" s="3276" t="s">
        <v>3487</v>
      </c>
      <c r="AQ648" s="3276" t="s">
        <v>3113</v>
      </c>
      <c r="AR648" s="3276"/>
      <c r="AS648" s="3276"/>
      <c r="AT648" s="3276"/>
      <c r="AU648" s="3276"/>
      <c r="AV648" s="3276" t="s">
        <v>2968</v>
      </c>
      <c r="AW648" s="3276" t="s">
        <v>3171</v>
      </c>
      <c r="AX648" s="3276"/>
      <c r="AY648" s="3291"/>
      <c r="AZ648" s="3267"/>
      <c r="BA648" s="3276"/>
      <c r="BB648" s="3291"/>
      <c r="BC648" s="3276"/>
      <c r="BD648" s="3292"/>
      <c r="BE648" s="3276"/>
      <c r="BF648" s="3281"/>
      <c r="BG648" s="3290">
        <v>38862</v>
      </c>
      <c r="BH648" s="3276"/>
      <c r="BI648" s="3267" t="s">
        <v>3487</v>
      </c>
      <c r="BJ648" s="3290">
        <v>38897</v>
      </c>
      <c r="BK648" s="3283"/>
      <c r="BL648" s="3267" t="s">
        <v>2998</v>
      </c>
      <c r="BM648" s="3276"/>
      <c r="BN648" s="3276"/>
      <c r="BO648" s="3276"/>
      <c r="BP648" s="3276"/>
      <c r="BQ648" s="3276" t="e">
        <v>#DIV/0!</v>
      </c>
      <c r="BR648" s="3276" t="e">
        <v>#DIV/0!</v>
      </c>
      <c r="BS648" s="3285"/>
      <c r="BT648" s="3285"/>
      <c r="BU648" s="3285"/>
    </row>
    <row r="649" spans="1:109" hidden="1">
      <c r="A649" s="3267" t="s">
        <v>7547</v>
      </c>
      <c r="B649" s="3267" t="s">
        <v>7548</v>
      </c>
      <c r="C649" s="3269" t="s">
        <v>7549</v>
      </c>
      <c r="D649" s="3267">
        <v>13901128203</v>
      </c>
      <c r="E649" s="3267" t="s">
        <v>2985</v>
      </c>
      <c r="F649" s="3267" t="s">
        <v>4412</v>
      </c>
      <c r="G649" s="3267"/>
      <c r="H649" s="3267" t="s">
        <v>6596</v>
      </c>
      <c r="I649" s="3267" t="s">
        <v>3642</v>
      </c>
      <c r="J649" s="3267" t="s">
        <v>4805</v>
      </c>
      <c r="K649" s="3267" t="s">
        <v>7548</v>
      </c>
      <c r="L649" s="3267">
        <v>75.36</v>
      </c>
      <c r="M649" s="3267">
        <v>12</v>
      </c>
      <c r="N649" s="3267" t="s">
        <v>3122</v>
      </c>
      <c r="O649" s="3267">
        <v>55.59</v>
      </c>
      <c r="P649" s="3267" t="s">
        <v>2963</v>
      </c>
      <c r="Q649" s="3267">
        <v>490000</v>
      </c>
      <c r="R649" s="3267">
        <v>6502</v>
      </c>
      <c r="S649" s="3272">
        <v>47.95</v>
      </c>
      <c r="T649" s="3273">
        <v>479500</v>
      </c>
      <c r="U649" s="3267">
        <v>6364</v>
      </c>
      <c r="V649" s="3274">
        <v>0.2</v>
      </c>
      <c r="W649" s="3272">
        <v>38.36</v>
      </c>
      <c r="X649" s="3275">
        <v>383600</v>
      </c>
      <c r="Y649" s="3267">
        <v>2006</v>
      </c>
      <c r="Z649" s="3267">
        <v>8</v>
      </c>
      <c r="AA649" s="3276">
        <v>1</v>
      </c>
      <c r="AB649" s="3267">
        <v>1435</v>
      </c>
      <c r="AC649" s="3267" t="s">
        <v>2980</v>
      </c>
      <c r="AD649" s="3267"/>
      <c r="AE649" s="3276" t="s">
        <v>3304</v>
      </c>
      <c r="AF649" s="3267" t="s">
        <v>2966</v>
      </c>
      <c r="AG649" s="3267" t="s">
        <v>2967</v>
      </c>
      <c r="AH649" s="3267"/>
      <c r="AI649" s="3267" t="s">
        <v>2992</v>
      </c>
      <c r="AJ649" s="3284"/>
      <c r="AK649" s="3267" t="s">
        <v>4256</v>
      </c>
      <c r="AL649" s="3276">
        <v>56</v>
      </c>
      <c r="AM649" s="3267" t="s">
        <v>7550</v>
      </c>
      <c r="AN649" s="3267" t="s">
        <v>3131</v>
      </c>
      <c r="AO649" s="3267" t="s">
        <v>2968</v>
      </c>
      <c r="AP649" s="3267" t="s">
        <v>3342</v>
      </c>
      <c r="AQ649" s="3267" t="s">
        <v>3228</v>
      </c>
      <c r="AR649" s="3267"/>
      <c r="AS649" s="3267"/>
      <c r="AT649" s="3267"/>
      <c r="AU649" s="3267"/>
      <c r="AV649" s="3267"/>
      <c r="AW649" s="3267" t="s">
        <v>2997</v>
      </c>
      <c r="AX649" s="3267"/>
      <c r="AY649" s="3269"/>
      <c r="AZ649" s="3268" t="s">
        <v>7551</v>
      </c>
      <c r="BA649" s="3267"/>
      <c r="BB649" s="3267"/>
      <c r="BC649" s="3267"/>
      <c r="BD649" s="3267"/>
      <c r="BE649" s="3267"/>
      <c r="BF649" s="3267"/>
      <c r="BG649" s="3307">
        <v>38896</v>
      </c>
      <c r="BH649" s="3267"/>
      <c r="BI649" s="3267" t="s">
        <v>3342</v>
      </c>
      <c r="BJ649" s="3299">
        <v>38897</v>
      </c>
      <c r="BK649" s="3283"/>
      <c r="BL649" s="3267" t="s">
        <v>2998</v>
      </c>
      <c r="BM649" s="3267" t="s">
        <v>2879</v>
      </c>
      <c r="BN649" s="3267" t="s">
        <v>2999</v>
      </c>
      <c r="BO649" s="3267" t="s">
        <v>3146</v>
      </c>
      <c r="BP649" s="3267"/>
      <c r="BQ649" s="3276"/>
      <c r="BR649" s="3276"/>
      <c r="BS649" s="3285"/>
      <c r="BT649" s="3285"/>
      <c r="BU649" s="3285"/>
    </row>
    <row r="650" spans="1:109">
      <c r="A650" s="3267" t="s">
        <v>7552</v>
      </c>
      <c r="B650" s="3267" t="s">
        <v>7553</v>
      </c>
      <c r="C650" s="3269" t="s">
        <v>7554</v>
      </c>
      <c r="D650" s="3269" t="s">
        <v>7555</v>
      </c>
      <c r="E650" s="3268" t="s">
        <v>2985</v>
      </c>
      <c r="F650" s="3268" t="s">
        <v>7556</v>
      </c>
      <c r="G650" s="3267"/>
      <c r="H650" s="3267" t="s">
        <v>5272</v>
      </c>
      <c r="I650" s="3268"/>
      <c r="J650" s="3267" t="s">
        <v>7557</v>
      </c>
      <c r="K650" s="3267" t="s">
        <v>7558</v>
      </c>
      <c r="L650" s="3267">
        <v>219.08</v>
      </c>
      <c r="M650" s="3267" t="s">
        <v>7559</v>
      </c>
      <c r="N650" s="3267" t="s">
        <v>7560</v>
      </c>
      <c r="O650" s="3267">
        <v>200.83</v>
      </c>
      <c r="P650" s="3267" t="s">
        <v>3495</v>
      </c>
      <c r="Q650" s="3271">
        <v>1100000</v>
      </c>
      <c r="R650" s="3267">
        <v>5021</v>
      </c>
      <c r="S650" s="3272">
        <v>119.17</v>
      </c>
      <c r="T650" s="3273">
        <v>1191700</v>
      </c>
      <c r="U650" s="3267">
        <v>5440</v>
      </c>
      <c r="V650" s="3289">
        <v>0.3</v>
      </c>
      <c r="W650" s="3272">
        <v>83.41</v>
      </c>
      <c r="X650" s="3275">
        <v>834100</v>
      </c>
      <c r="Y650" s="3276">
        <v>2006</v>
      </c>
      <c r="Z650" s="3276">
        <v>7</v>
      </c>
      <c r="AA650" s="3276">
        <v>7</v>
      </c>
      <c r="AB650" s="3267">
        <v>1500</v>
      </c>
      <c r="AC650" s="3267" t="s">
        <v>2980</v>
      </c>
      <c r="AD650" s="3267"/>
      <c r="AE650" s="3279" t="s">
        <v>2991</v>
      </c>
      <c r="AF650" s="3268"/>
      <c r="AG650" s="3279" t="s">
        <v>2967</v>
      </c>
      <c r="AH650" s="3267" t="s">
        <v>2968</v>
      </c>
      <c r="AI650" s="3279" t="s">
        <v>2992</v>
      </c>
      <c r="AJ650" s="3284"/>
      <c r="AK650" s="3278">
        <v>7</v>
      </c>
      <c r="AL650" s="3276">
        <v>57</v>
      </c>
      <c r="AM650" s="3267"/>
      <c r="AN650" s="3279" t="s">
        <v>3131</v>
      </c>
      <c r="AO650" s="3267" t="s">
        <v>2968</v>
      </c>
      <c r="AP650" s="3279" t="s">
        <v>2991</v>
      </c>
      <c r="AQ650" s="3267" t="s">
        <v>3228</v>
      </c>
      <c r="AR650" s="3276">
        <v>2006</v>
      </c>
      <c r="AS650" s="3276">
        <v>7</v>
      </c>
      <c r="AT650" s="3276">
        <v>7</v>
      </c>
      <c r="AU650" s="3276"/>
      <c r="AV650" s="3276" t="s">
        <v>2968</v>
      </c>
      <c r="AW650" s="3276" t="s">
        <v>2997</v>
      </c>
      <c r="AX650" s="3276"/>
      <c r="AY650" s="3291"/>
      <c r="AZ650" s="3267" t="s">
        <v>7558</v>
      </c>
      <c r="BA650" s="3296"/>
      <c r="BB650" s="3297"/>
      <c r="BC650" s="3296"/>
      <c r="BD650" s="3298"/>
      <c r="BE650" s="3276"/>
      <c r="BF650" s="3281" t="s">
        <v>2968</v>
      </c>
      <c r="BG650" s="3293">
        <v>38894</v>
      </c>
      <c r="BH650" s="3267"/>
      <c r="BI650" s="3314" t="s">
        <v>2991</v>
      </c>
      <c r="BJ650" s="3283">
        <v>38897</v>
      </c>
      <c r="BK650" s="3283"/>
      <c r="BL650" s="3267" t="s">
        <v>3249</v>
      </c>
      <c r="BM650" s="3276"/>
      <c r="BN650" s="3276" t="s">
        <v>2999</v>
      </c>
      <c r="BO650" s="3276" t="s">
        <v>3146</v>
      </c>
      <c r="BP650" s="3276"/>
      <c r="BQ650" s="3276">
        <v>5934</v>
      </c>
      <c r="BR650" s="3276">
        <v>5477</v>
      </c>
      <c r="BS650" s="3285"/>
      <c r="BT650" s="3285"/>
      <c r="BU650" s="3285"/>
    </row>
    <row r="651" spans="1:109">
      <c r="A651" s="3267" t="s">
        <v>7561</v>
      </c>
      <c r="B651" s="3267" t="s">
        <v>7562</v>
      </c>
      <c r="C651" s="3269" t="s">
        <v>7563</v>
      </c>
      <c r="D651" s="3269" t="s">
        <v>7564</v>
      </c>
      <c r="E651" s="3268" t="s">
        <v>2985</v>
      </c>
      <c r="F651" s="3268" t="s">
        <v>7565</v>
      </c>
      <c r="G651" s="3267"/>
      <c r="H651" s="3267" t="s">
        <v>3183</v>
      </c>
      <c r="I651" s="3268" t="s">
        <v>3586</v>
      </c>
      <c r="J651" s="3267" t="s">
        <v>3173</v>
      </c>
      <c r="K651" s="3267" t="s">
        <v>7566</v>
      </c>
      <c r="L651" s="3267">
        <v>49.98</v>
      </c>
      <c r="M651" s="3267">
        <v>2</v>
      </c>
      <c r="N651" s="3267" t="s">
        <v>3152</v>
      </c>
      <c r="O651" s="3267"/>
      <c r="P651" s="3267" t="s">
        <v>2963</v>
      </c>
      <c r="Q651" s="3271">
        <v>355000</v>
      </c>
      <c r="R651" s="3267">
        <v>7103</v>
      </c>
      <c r="S651" s="3272">
        <v>31.85</v>
      </c>
      <c r="T651" s="3273">
        <v>318500</v>
      </c>
      <c r="U651" s="3267">
        <v>6373</v>
      </c>
      <c r="V651" s="3289">
        <v>0.2</v>
      </c>
      <c r="W651" s="3272">
        <v>25.48</v>
      </c>
      <c r="X651" s="3275">
        <v>254800</v>
      </c>
      <c r="Y651" s="3276">
        <v>2006</v>
      </c>
      <c r="Z651" s="3276">
        <v>7</v>
      </c>
      <c r="AA651" s="3276">
        <v>19</v>
      </c>
      <c r="AB651" s="3267">
        <v>955</v>
      </c>
      <c r="AC651" s="3267" t="s">
        <v>2980</v>
      </c>
      <c r="AD651" s="3267"/>
      <c r="AE651" s="3279" t="s">
        <v>2991</v>
      </c>
      <c r="AF651" s="3268"/>
      <c r="AG651" s="3279" t="s">
        <v>2967</v>
      </c>
      <c r="AH651" s="3267" t="s">
        <v>2968</v>
      </c>
      <c r="AI651" s="3279" t="s">
        <v>2992</v>
      </c>
      <c r="AJ651" s="3284"/>
      <c r="AK651" s="3278">
        <v>7</v>
      </c>
      <c r="AL651" s="3276">
        <v>32</v>
      </c>
      <c r="AM651" s="3267"/>
      <c r="AN651" s="3279" t="s">
        <v>3114</v>
      </c>
      <c r="AO651" s="3267" t="s">
        <v>2968</v>
      </c>
      <c r="AP651" s="3279" t="s">
        <v>2991</v>
      </c>
      <c r="AQ651" s="3267" t="s">
        <v>3228</v>
      </c>
      <c r="AR651" s="3276">
        <v>2006</v>
      </c>
      <c r="AS651" s="3276">
        <v>7</v>
      </c>
      <c r="AT651" s="3276">
        <v>19</v>
      </c>
      <c r="AU651" s="3276"/>
      <c r="AV651" s="3276" t="s">
        <v>2968</v>
      </c>
      <c r="AW651" s="3276" t="s">
        <v>2997</v>
      </c>
      <c r="AX651" s="3276"/>
      <c r="AY651" s="3291"/>
      <c r="AZ651" s="3267" t="s">
        <v>7566</v>
      </c>
      <c r="BA651" s="3296"/>
      <c r="BB651" s="3297"/>
      <c r="BC651" s="3296"/>
      <c r="BD651" s="3298"/>
      <c r="BE651" s="3276"/>
      <c r="BF651" s="3281" t="s">
        <v>2968</v>
      </c>
      <c r="BG651" s="3293">
        <v>38852</v>
      </c>
      <c r="BH651" s="3267"/>
      <c r="BI651" s="3314" t="s">
        <v>2991</v>
      </c>
      <c r="BJ651" s="3283">
        <v>38897</v>
      </c>
      <c r="BK651" s="3283"/>
      <c r="BL651" s="3267" t="s">
        <v>3249</v>
      </c>
      <c r="BM651" s="3267" t="s">
        <v>2879</v>
      </c>
      <c r="BN651" s="3276" t="s">
        <v>2999</v>
      </c>
      <c r="BO651" s="3276" t="s">
        <v>3146</v>
      </c>
      <c r="BP651" s="3276"/>
      <c r="BQ651" s="3276" t="e">
        <v>#DIV/0!</v>
      </c>
      <c r="BR651" s="3276" t="e">
        <v>#DIV/0!</v>
      </c>
      <c r="BS651" s="3285"/>
      <c r="BT651" s="3285"/>
      <c r="BU651" s="3285"/>
    </row>
    <row r="652" spans="1:109" hidden="1">
      <c r="A652" s="3267" t="s">
        <v>7567</v>
      </c>
      <c r="B652" s="3267" t="s">
        <v>7568</v>
      </c>
      <c r="C652" s="3269" t="s">
        <v>7569</v>
      </c>
      <c r="D652" s="3269" t="s">
        <v>7570</v>
      </c>
      <c r="E652" s="3268" t="s">
        <v>2985</v>
      </c>
      <c r="F652" s="3268" t="s">
        <v>7571</v>
      </c>
      <c r="G652" s="3267"/>
      <c r="H652" s="3267" t="s">
        <v>3118</v>
      </c>
      <c r="I652" s="3268" t="s">
        <v>3586</v>
      </c>
      <c r="J652" s="3267" t="s">
        <v>7572</v>
      </c>
      <c r="K652" s="3267" t="s">
        <v>7573</v>
      </c>
      <c r="L652" s="3267">
        <v>34.39</v>
      </c>
      <c r="M652" s="3267">
        <v>1</v>
      </c>
      <c r="N652" s="3267" t="s">
        <v>3535</v>
      </c>
      <c r="O652" s="3267"/>
      <c r="P652" s="3267" t="s">
        <v>2963</v>
      </c>
      <c r="Q652" s="3271">
        <v>335000</v>
      </c>
      <c r="R652" s="3267">
        <v>9741</v>
      </c>
      <c r="S652" s="3272">
        <v>25.01</v>
      </c>
      <c r="T652" s="3273">
        <v>250100</v>
      </c>
      <c r="U652" s="3267">
        <v>7274</v>
      </c>
      <c r="V652" s="3289">
        <v>0.2</v>
      </c>
      <c r="W652" s="3272">
        <v>20</v>
      </c>
      <c r="X652" s="3275">
        <v>200000</v>
      </c>
      <c r="Y652" s="3276">
        <v>2006</v>
      </c>
      <c r="Z652" s="3276">
        <v>7</v>
      </c>
      <c r="AA652" s="3276">
        <v>10</v>
      </c>
      <c r="AB652" s="3267">
        <v>750</v>
      </c>
      <c r="AC652" s="3267" t="s">
        <v>2980</v>
      </c>
      <c r="AD652" s="3267"/>
      <c r="AE652" s="3279" t="s">
        <v>2991</v>
      </c>
      <c r="AF652" s="3268"/>
      <c r="AG652" s="3279" t="s">
        <v>2967</v>
      </c>
      <c r="AH652" s="3267" t="s">
        <v>2968</v>
      </c>
      <c r="AI652" s="3279" t="s">
        <v>2992</v>
      </c>
      <c r="AJ652" s="3284"/>
      <c r="AK652" s="3278">
        <v>7</v>
      </c>
      <c r="AL652" s="3276">
        <v>23</v>
      </c>
      <c r="AM652" s="3267"/>
      <c r="AN652" s="3279" t="s">
        <v>3140</v>
      </c>
      <c r="AO652" s="3267"/>
      <c r="AP652" s="3279" t="s">
        <v>2991</v>
      </c>
      <c r="AQ652" s="3267" t="s">
        <v>3228</v>
      </c>
      <c r="AR652" s="3276">
        <v>2006</v>
      </c>
      <c r="AS652" s="3276">
        <v>7</v>
      </c>
      <c r="AT652" s="3276">
        <v>10</v>
      </c>
      <c r="AU652" s="3276"/>
      <c r="AV652" s="3276" t="s">
        <v>2968</v>
      </c>
      <c r="AW652" s="3276" t="s">
        <v>2997</v>
      </c>
      <c r="AX652" s="3276"/>
      <c r="AY652" s="3291"/>
      <c r="AZ652" s="3267" t="s">
        <v>7573</v>
      </c>
      <c r="BA652" s="3296"/>
      <c r="BB652" s="3297"/>
      <c r="BC652" s="3296"/>
      <c r="BD652" s="3298"/>
      <c r="BE652" s="3276"/>
      <c r="BF652" s="3281" t="s">
        <v>2968</v>
      </c>
      <c r="BG652" s="3293">
        <v>38897</v>
      </c>
      <c r="BH652" s="3267"/>
      <c r="BI652" s="3314" t="s">
        <v>2991</v>
      </c>
      <c r="BJ652" s="3283">
        <v>38897</v>
      </c>
      <c r="BK652" s="3283"/>
      <c r="BL652" s="3267" t="s">
        <v>3249</v>
      </c>
      <c r="BM652" s="3276"/>
      <c r="BN652" s="3276" t="s">
        <v>2999</v>
      </c>
      <c r="BO652" s="3276" t="s">
        <v>3146</v>
      </c>
      <c r="BP652" s="3276"/>
      <c r="BQ652" s="3276" t="e">
        <v>#DIV/0!</v>
      </c>
      <c r="BR652" s="3276" t="e">
        <v>#DIV/0!</v>
      </c>
      <c r="BS652" s="3285"/>
      <c r="BT652" s="3285"/>
      <c r="BU652" s="3285"/>
    </row>
    <row r="653" spans="1:109" hidden="1">
      <c r="A653" s="3267" t="s">
        <v>7574</v>
      </c>
      <c r="B653" s="3267" t="s">
        <v>7575</v>
      </c>
      <c r="C653" s="3269" t="s">
        <v>7576</v>
      </c>
      <c r="D653" s="3269" t="s">
        <v>7577</v>
      </c>
      <c r="E653" s="3268" t="s">
        <v>2985</v>
      </c>
      <c r="F653" s="3268" t="s">
        <v>7578</v>
      </c>
      <c r="G653" s="3267"/>
      <c r="H653" s="3268" t="s">
        <v>3150</v>
      </c>
      <c r="I653" s="3268"/>
      <c r="J653" s="3267" t="s">
        <v>7579</v>
      </c>
      <c r="K653" s="3267" t="s">
        <v>7580</v>
      </c>
      <c r="L653" s="3267">
        <v>64.14</v>
      </c>
      <c r="M653" s="3267">
        <v>10</v>
      </c>
      <c r="N653" s="3267" t="s">
        <v>3122</v>
      </c>
      <c r="O653" s="3267"/>
      <c r="P653" s="3267" t="s">
        <v>2963</v>
      </c>
      <c r="Q653" s="3271">
        <v>555000</v>
      </c>
      <c r="R653" s="3267">
        <v>8653</v>
      </c>
      <c r="S653" s="3272">
        <v>42.37</v>
      </c>
      <c r="T653" s="3273">
        <v>423700</v>
      </c>
      <c r="U653" s="3267">
        <v>6607</v>
      </c>
      <c r="V653" s="3289">
        <v>0.2</v>
      </c>
      <c r="W653" s="3272">
        <v>33.89</v>
      </c>
      <c r="X653" s="3275">
        <v>338900</v>
      </c>
      <c r="Y653" s="3276">
        <v>2006</v>
      </c>
      <c r="Z653" s="3276">
        <v>7</v>
      </c>
      <c r="AA653" s="3276">
        <v>18</v>
      </c>
      <c r="AB653" s="3267">
        <v>1270</v>
      </c>
      <c r="AC653" s="3267" t="s">
        <v>2980</v>
      </c>
      <c r="AD653" s="3280"/>
      <c r="AE653" s="3279" t="s">
        <v>3295</v>
      </c>
      <c r="AF653" s="3268" t="s">
        <v>2966</v>
      </c>
      <c r="AG653" s="3279" t="s">
        <v>2967</v>
      </c>
      <c r="AH653" s="3268"/>
      <c r="AI653" s="3279" t="s">
        <v>2992</v>
      </c>
      <c r="AJ653" s="3284"/>
      <c r="AK653" s="3278">
        <v>7</v>
      </c>
      <c r="AL653" s="3276">
        <v>42</v>
      </c>
      <c r="AM653" s="3276"/>
      <c r="AN653" s="3279" t="s">
        <v>3114</v>
      </c>
      <c r="AO653" s="3267" t="s">
        <v>7581</v>
      </c>
      <c r="AP653" s="3279" t="s">
        <v>3305</v>
      </c>
      <c r="AQ653" s="3267" t="s">
        <v>3228</v>
      </c>
      <c r="AR653" s="3276"/>
      <c r="AS653" s="3276"/>
      <c r="AT653" s="3276"/>
      <c r="AU653" s="3276"/>
      <c r="AV653" s="3276"/>
      <c r="AW653" s="3276" t="s">
        <v>2997</v>
      </c>
      <c r="AX653" s="3276"/>
      <c r="AY653" s="3291"/>
      <c r="AZ653" s="3267" t="s">
        <v>7580</v>
      </c>
      <c r="BA653" s="3296"/>
      <c r="BB653" s="3297"/>
      <c r="BC653" s="3296"/>
      <c r="BD653" s="3298"/>
      <c r="BE653" s="3276"/>
      <c r="BF653" s="3281"/>
      <c r="BG653" s="3293">
        <v>38898</v>
      </c>
      <c r="BH653" s="3267" t="s">
        <v>2998</v>
      </c>
      <c r="BI653" s="3314" t="s">
        <v>3305</v>
      </c>
      <c r="BJ653" s="3283">
        <v>38898</v>
      </c>
      <c r="BK653" s="3283"/>
      <c r="BL653" s="3267" t="s">
        <v>3249</v>
      </c>
      <c r="BM653" s="3276" t="s">
        <v>2879</v>
      </c>
      <c r="BN653" s="3276" t="s">
        <v>2999</v>
      </c>
      <c r="BO653" s="3276" t="s">
        <v>3146</v>
      </c>
      <c r="BP653" s="3276"/>
      <c r="BQ653" s="3276" t="e">
        <v>#DIV/0!</v>
      </c>
      <c r="BR653" s="3276" t="e">
        <v>#DIV/0!</v>
      </c>
      <c r="BS653" s="3285"/>
      <c r="BT653" s="3285"/>
      <c r="BU653" s="3285"/>
    </row>
    <row r="654" spans="1:109" hidden="1">
      <c r="A654" s="3267" t="s">
        <v>7582</v>
      </c>
      <c r="B654" s="3267" t="s">
        <v>7583</v>
      </c>
      <c r="C654" s="3269" t="s">
        <v>7584</v>
      </c>
      <c r="D654" s="3269" t="s">
        <v>7585</v>
      </c>
      <c r="E654" s="3268" t="s">
        <v>2985</v>
      </c>
      <c r="F654" s="3268" t="s">
        <v>4367</v>
      </c>
      <c r="G654" s="3267"/>
      <c r="H654" s="3267" t="s">
        <v>3169</v>
      </c>
      <c r="I654" s="3268" t="s">
        <v>3188</v>
      </c>
      <c r="J654" s="3267" t="s">
        <v>7586</v>
      </c>
      <c r="K654" s="3267" t="s">
        <v>7587</v>
      </c>
      <c r="L654" s="3267">
        <v>61.19</v>
      </c>
      <c r="M654" s="3267">
        <v>13</v>
      </c>
      <c r="N654" s="3267" t="s">
        <v>3122</v>
      </c>
      <c r="O654" s="3267">
        <v>61.19</v>
      </c>
      <c r="P654" s="3267" t="s">
        <v>2963</v>
      </c>
      <c r="Q654" s="3271">
        <v>525000</v>
      </c>
      <c r="R654" s="3267">
        <v>8580</v>
      </c>
      <c r="S654" s="3272">
        <v>46.39</v>
      </c>
      <c r="T654" s="3273">
        <v>463900</v>
      </c>
      <c r="U654" s="3267">
        <v>7582</v>
      </c>
      <c r="V654" s="3289">
        <v>0.2</v>
      </c>
      <c r="W654" s="3272">
        <v>37.11</v>
      </c>
      <c r="X654" s="3275">
        <v>371100</v>
      </c>
      <c r="Y654" s="3276">
        <v>2006</v>
      </c>
      <c r="Z654" s="3276">
        <v>7</v>
      </c>
      <c r="AA654" s="3276">
        <v>11</v>
      </c>
      <c r="AB654" s="3267">
        <v>1390</v>
      </c>
      <c r="AC654" s="3267" t="s">
        <v>2980</v>
      </c>
      <c r="AD654" s="3267"/>
      <c r="AE654" s="3279" t="s">
        <v>2991</v>
      </c>
      <c r="AF654" s="3268"/>
      <c r="AG654" s="3279" t="s">
        <v>2967</v>
      </c>
      <c r="AH654" s="3267" t="s">
        <v>2968</v>
      </c>
      <c r="AI654" s="3279" t="s">
        <v>2992</v>
      </c>
      <c r="AJ654" s="3284"/>
      <c r="AK654" s="3278">
        <v>7</v>
      </c>
      <c r="AL654" s="3276">
        <v>40</v>
      </c>
      <c r="AM654" s="3267"/>
      <c r="AN654" s="3279" t="s">
        <v>3131</v>
      </c>
      <c r="AO654" s="3267" t="s">
        <v>2968</v>
      </c>
      <c r="AP654" s="3279" t="s">
        <v>2991</v>
      </c>
      <c r="AQ654" s="3267" t="s">
        <v>3228</v>
      </c>
      <c r="AR654" s="3276">
        <v>2006</v>
      </c>
      <c r="AS654" s="3276">
        <v>7</v>
      </c>
      <c r="AT654" s="3276">
        <v>11</v>
      </c>
      <c r="AU654" s="3276"/>
      <c r="AV654" s="3276" t="s">
        <v>2968</v>
      </c>
      <c r="AW654" s="3276" t="s">
        <v>2997</v>
      </c>
      <c r="AX654" s="3276"/>
      <c r="AY654" s="3291"/>
      <c r="AZ654" s="3267" t="s">
        <v>7587</v>
      </c>
      <c r="BA654" s="3296"/>
      <c r="BB654" s="3297"/>
      <c r="BC654" s="3296"/>
      <c r="BD654" s="3298"/>
      <c r="BE654" s="3276"/>
      <c r="BF654" s="3281" t="s">
        <v>2968</v>
      </c>
      <c r="BG654" s="3293">
        <v>38898</v>
      </c>
      <c r="BH654" s="3267"/>
      <c r="BI654" s="3314" t="s">
        <v>2991</v>
      </c>
      <c r="BJ654" s="3283">
        <v>38898</v>
      </c>
      <c r="BK654" s="3283"/>
      <c r="BL654" s="3267" t="s">
        <v>3249</v>
      </c>
      <c r="BM654" s="3276"/>
      <c r="BN654" s="3276" t="s">
        <v>2999</v>
      </c>
      <c r="BO654" s="3276" t="s">
        <v>3146</v>
      </c>
      <c r="BP654" s="3276"/>
      <c r="BQ654" s="3276">
        <v>7581</v>
      </c>
      <c r="BR654" s="3276">
        <v>8580</v>
      </c>
      <c r="BS654" s="3285"/>
      <c r="BT654" s="3285"/>
      <c r="BU654" s="3285"/>
    </row>
    <row r="655" spans="1:109" hidden="1">
      <c r="A655" s="3267" t="s">
        <v>7588</v>
      </c>
      <c r="B655" s="3267" t="s">
        <v>7589</v>
      </c>
      <c r="C655" s="3269" t="s">
        <v>7590</v>
      </c>
      <c r="D655" s="3269">
        <v>13651257586</v>
      </c>
      <c r="E655" s="3268" t="s">
        <v>2985</v>
      </c>
      <c r="F655" s="3268" t="s">
        <v>3719</v>
      </c>
      <c r="G655" s="3267"/>
      <c r="H655" s="3267" t="s">
        <v>5843</v>
      </c>
      <c r="I655" s="3268" t="s">
        <v>3188</v>
      </c>
      <c r="J655" s="3267" t="s">
        <v>3512</v>
      </c>
      <c r="K655" s="3267" t="s">
        <v>7589</v>
      </c>
      <c r="L655" s="3267">
        <v>91.07</v>
      </c>
      <c r="M655" s="3267">
        <v>5</v>
      </c>
      <c r="N655" s="3267" t="s">
        <v>3122</v>
      </c>
      <c r="O655" s="3267"/>
      <c r="P655" s="3267" t="s">
        <v>2963</v>
      </c>
      <c r="Q655" s="3271">
        <v>655000</v>
      </c>
      <c r="R655" s="3288">
        <v>7192</v>
      </c>
      <c r="S655" s="3272">
        <v>49.72</v>
      </c>
      <c r="T655" s="3273">
        <v>497200</v>
      </c>
      <c r="U655" s="3267">
        <v>5460</v>
      </c>
      <c r="V655" s="3289">
        <v>0.3</v>
      </c>
      <c r="W655" s="3272">
        <v>34.799999999999997</v>
      </c>
      <c r="X655" s="3273">
        <v>348000</v>
      </c>
      <c r="Y655" s="3267">
        <v>2006</v>
      </c>
      <c r="Z655" s="3276">
        <v>8</v>
      </c>
      <c r="AA655" s="3276">
        <v>3</v>
      </c>
      <c r="AB655" s="3267">
        <v>1490</v>
      </c>
      <c r="AC655" s="3267" t="s">
        <v>7591</v>
      </c>
      <c r="AD655" s="3267" t="s">
        <v>7592</v>
      </c>
      <c r="AE655" s="3279" t="s">
        <v>3245</v>
      </c>
      <c r="AF655" s="3268" t="s">
        <v>2966</v>
      </c>
      <c r="AG655" s="3279" t="s">
        <v>2967</v>
      </c>
      <c r="AH655" s="3267"/>
      <c r="AI655" s="3279" t="s">
        <v>2992</v>
      </c>
      <c r="AJ655" s="3284"/>
      <c r="AK655" s="3278">
        <v>8</v>
      </c>
      <c r="AL655" s="3276">
        <v>42</v>
      </c>
      <c r="AM655" s="3267" t="s">
        <v>7593</v>
      </c>
      <c r="AN655" s="3279" t="s">
        <v>3131</v>
      </c>
      <c r="AO655" s="3267"/>
      <c r="AP655" s="3279" t="s">
        <v>3305</v>
      </c>
      <c r="AQ655" s="3267" t="s">
        <v>3228</v>
      </c>
      <c r="AR655" s="3276"/>
      <c r="AS655" s="3276"/>
      <c r="AT655" s="3276"/>
      <c r="AU655" s="3276"/>
      <c r="AV655" s="3276"/>
      <c r="AW655" s="3276" t="s">
        <v>3119</v>
      </c>
      <c r="AX655" s="3276"/>
      <c r="AY655" s="3291"/>
      <c r="AZ655" s="3267" t="s">
        <v>7594</v>
      </c>
      <c r="BA655" s="3296"/>
      <c r="BB655" s="3297"/>
      <c r="BC655" s="3296"/>
      <c r="BD655" s="3298"/>
      <c r="BE655" s="3276"/>
      <c r="BF655" s="3281"/>
      <c r="BG655" s="3293">
        <v>38896</v>
      </c>
      <c r="BH655" s="3267" t="s">
        <v>2998</v>
      </c>
      <c r="BI655" s="3314" t="s">
        <v>3305</v>
      </c>
      <c r="BJ655" s="3283">
        <v>38901</v>
      </c>
      <c r="BK655" s="3283"/>
      <c r="BL655" s="3267" t="s">
        <v>3249</v>
      </c>
      <c r="BM655" s="3276" t="s">
        <v>2879</v>
      </c>
      <c r="BN655" s="3276" t="s">
        <v>2999</v>
      </c>
      <c r="BO655" s="3276" t="s">
        <v>3000</v>
      </c>
      <c r="BP655" s="3276"/>
      <c r="BQ655" s="3276" t="e">
        <v>#DIV/0!</v>
      </c>
      <c r="BR655" s="3276" t="e">
        <v>#DIV/0!</v>
      </c>
      <c r="BS655" s="3285"/>
      <c r="BT655" s="3285"/>
      <c r="BU655" s="3285"/>
    </row>
    <row r="656" spans="1:109" hidden="1">
      <c r="A656" s="3267" t="s">
        <v>7595</v>
      </c>
      <c r="B656" s="3267" t="s">
        <v>7596</v>
      </c>
      <c r="C656" s="3269" t="s">
        <v>7597</v>
      </c>
      <c r="D656" s="3269" t="s">
        <v>7598</v>
      </c>
      <c r="E656" s="3268" t="s">
        <v>2985</v>
      </c>
      <c r="F656" s="3268" t="s">
        <v>4589</v>
      </c>
      <c r="G656" s="3267"/>
      <c r="H656" s="3267" t="s">
        <v>7599</v>
      </c>
      <c r="I656" s="3268"/>
      <c r="J656" s="3267" t="s">
        <v>7600</v>
      </c>
      <c r="K656" s="3267" t="s">
        <v>7601</v>
      </c>
      <c r="L656" s="3267">
        <v>62.56</v>
      </c>
      <c r="M656" s="3267">
        <v>7</v>
      </c>
      <c r="N656" s="3267" t="s">
        <v>3152</v>
      </c>
      <c r="O656" s="3267">
        <v>52.09</v>
      </c>
      <c r="P656" s="3267" t="s">
        <v>2963</v>
      </c>
      <c r="Q656" s="3271">
        <v>460000</v>
      </c>
      <c r="R656" s="3267">
        <v>7353</v>
      </c>
      <c r="S656" s="3272">
        <v>35.25</v>
      </c>
      <c r="T656" s="3273">
        <v>352500</v>
      </c>
      <c r="U656" s="3267">
        <v>5636</v>
      </c>
      <c r="V656" s="3289">
        <v>0.2</v>
      </c>
      <c r="W656" s="3272">
        <v>28.2</v>
      </c>
      <c r="X656" s="3275">
        <v>282000</v>
      </c>
      <c r="Y656" s="3276">
        <v>2006</v>
      </c>
      <c r="Z656" s="3276">
        <v>7</v>
      </c>
      <c r="AA656" s="3276">
        <v>7</v>
      </c>
      <c r="AB656" s="3267">
        <v>1055</v>
      </c>
      <c r="AC656" s="3267" t="s">
        <v>2980</v>
      </c>
      <c r="AD656" s="3280" t="s">
        <v>7602</v>
      </c>
      <c r="AE656" s="3279" t="s">
        <v>3304</v>
      </c>
      <c r="AF656" s="3268" t="s">
        <v>2966</v>
      </c>
      <c r="AG656" s="3279" t="s">
        <v>2967</v>
      </c>
      <c r="AH656" s="3267"/>
      <c r="AI656" s="3279" t="s">
        <v>2992</v>
      </c>
      <c r="AJ656" s="3284"/>
      <c r="AK656" s="3278">
        <v>7</v>
      </c>
      <c r="AL656" s="3276">
        <v>55</v>
      </c>
      <c r="AM656" s="3276"/>
      <c r="AN656" s="3279" t="s">
        <v>3131</v>
      </c>
      <c r="AO656" s="3267"/>
      <c r="AP656" s="3279" t="s">
        <v>3305</v>
      </c>
      <c r="AQ656" s="3267" t="s">
        <v>3228</v>
      </c>
      <c r="AR656" s="3276"/>
      <c r="AS656" s="3276"/>
      <c r="AT656" s="3276"/>
      <c r="AU656" s="3276"/>
      <c r="AV656" s="3276"/>
      <c r="AW656" s="3276" t="s">
        <v>3119</v>
      </c>
      <c r="AX656" s="3276"/>
      <c r="AY656" s="3291"/>
      <c r="AZ656" s="3267" t="s">
        <v>7601</v>
      </c>
      <c r="BA656" s="3296"/>
      <c r="BB656" s="3297"/>
      <c r="BC656" s="3296"/>
      <c r="BD656" s="3298"/>
      <c r="BE656" s="3276"/>
      <c r="BF656" s="3281"/>
      <c r="BG656" s="3293">
        <v>38898</v>
      </c>
      <c r="BH656" s="3267"/>
      <c r="BI656" s="3314" t="s">
        <v>3305</v>
      </c>
      <c r="BJ656" s="3283">
        <v>38901</v>
      </c>
      <c r="BK656" s="3283"/>
      <c r="BL656" s="3267" t="s">
        <v>3249</v>
      </c>
      <c r="BM656" s="3276" t="s">
        <v>2879</v>
      </c>
      <c r="BN656" s="3276" t="s">
        <v>2999</v>
      </c>
      <c r="BO656" s="3276" t="s">
        <v>3000</v>
      </c>
      <c r="BP656" s="3276"/>
      <c r="BQ656" s="3276">
        <v>6769</v>
      </c>
      <c r="BR656" s="3276">
        <v>8831</v>
      </c>
      <c r="BS656" s="3285"/>
      <c r="BT656" s="3285"/>
      <c r="BU656" s="3285"/>
    </row>
    <row r="657" spans="1:73" hidden="1">
      <c r="A657" s="3267" t="s">
        <v>7603</v>
      </c>
      <c r="B657" s="3267" t="s">
        <v>7604</v>
      </c>
      <c r="C657" s="3269" t="s">
        <v>7605</v>
      </c>
      <c r="D657" s="3269" t="s">
        <v>7606</v>
      </c>
      <c r="E657" s="3268" t="s">
        <v>2985</v>
      </c>
      <c r="F657" s="3268" t="s">
        <v>3309</v>
      </c>
      <c r="G657" s="3267"/>
      <c r="H657" s="3267" t="s">
        <v>5615</v>
      </c>
      <c r="I657" s="3268"/>
      <c r="J657" s="3267" t="s">
        <v>7607</v>
      </c>
      <c r="K657" s="3267" t="s">
        <v>7604</v>
      </c>
      <c r="L657" s="3267">
        <v>85.84</v>
      </c>
      <c r="M657" s="3267">
        <v>19</v>
      </c>
      <c r="N657" s="3267" t="s">
        <v>3122</v>
      </c>
      <c r="O657" s="3267"/>
      <c r="P657" s="3267" t="s">
        <v>2963</v>
      </c>
      <c r="Q657" s="3271">
        <v>500000</v>
      </c>
      <c r="R657" s="3288">
        <v>5825</v>
      </c>
      <c r="S657" s="3272">
        <v>51.49</v>
      </c>
      <c r="T657" s="3273">
        <v>514900</v>
      </c>
      <c r="U657" s="3267">
        <v>5999</v>
      </c>
      <c r="V657" s="3289">
        <v>0.2</v>
      </c>
      <c r="W657" s="3272">
        <v>41.19</v>
      </c>
      <c r="X657" s="3273">
        <v>411900</v>
      </c>
      <c r="Y657" s="3267">
        <v>2006</v>
      </c>
      <c r="Z657" s="3276">
        <v>8</v>
      </c>
      <c r="AA657" s="3276">
        <v>1</v>
      </c>
      <c r="AB657" s="3267">
        <v>1500</v>
      </c>
      <c r="AC657" s="3267" t="s">
        <v>2980</v>
      </c>
      <c r="AD657" s="3267" t="s">
        <v>7608</v>
      </c>
      <c r="AE657" s="3279" t="s">
        <v>3344</v>
      </c>
      <c r="AF657" s="3268" t="s">
        <v>2966</v>
      </c>
      <c r="AG657" s="3279" t="s">
        <v>2967</v>
      </c>
      <c r="AH657" s="3267" t="s">
        <v>7609</v>
      </c>
      <c r="AI657" s="3279" t="s">
        <v>2992</v>
      </c>
      <c r="AJ657" s="3284"/>
      <c r="AK657" s="3278">
        <v>8</v>
      </c>
      <c r="AL657" s="3276">
        <v>50</v>
      </c>
      <c r="AM657" s="3267" t="s">
        <v>7610</v>
      </c>
      <c r="AN657" s="3279" t="s">
        <v>3131</v>
      </c>
      <c r="AO657" s="3267"/>
      <c r="AP657" s="3279" t="s">
        <v>3305</v>
      </c>
      <c r="AQ657" s="3267" t="s">
        <v>3228</v>
      </c>
      <c r="AR657" s="3276"/>
      <c r="AS657" s="3276"/>
      <c r="AT657" s="3276"/>
      <c r="AU657" s="3276"/>
      <c r="AV657" s="3276"/>
      <c r="AW657" s="3276" t="s">
        <v>3171</v>
      </c>
      <c r="AX657" s="3276"/>
      <c r="AY657" s="3291"/>
      <c r="AZ657" s="3267" t="s">
        <v>7611</v>
      </c>
      <c r="BA657" s="3296"/>
      <c r="BB657" s="3297"/>
      <c r="BC657" s="3296"/>
      <c r="BD657" s="3298"/>
      <c r="BE657" s="3276">
        <v>13910154603</v>
      </c>
      <c r="BF657" s="3281"/>
      <c r="BG657" s="3293">
        <v>38888</v>
      </c>
      <c r="BH657" s="3267" t="s">
        <v>2998</v>
      </c>
      <c r="BI657" s="3314" t="s">
        <v>3305</v>
      </c>
      <c r="BJ657" s="3283">
        <v>38902</v>
      </c>
      <c r="BK657" s="3283"/>
      <c r="BL657" s="3267" t="s">
        <v>3249</v>
      </c>
      <c r="BM657" s="3276" t="s">
        <v>2879</v>
      </c>
      <c r="BN657" s="3276" t="s">
        <v>2999</v>
      </c>
      <c r="BO657" s="3276" t="s">
        <v>3000</v>
      </c>
      <c r="BP657" s="3276"/>
      <c r="BQ657" s="3276" t="e">
        <v>#DIV/0!</v>
      </c>
      <c r="BR657" s="3276" t="e">
        <v>#DIV/0!</v>
      </c>
      <c r="BS657" s="3285"/>
      <c r="BT657" s="3285"/>
      <c r="BU657" s="3285"/>
    </row>
    <row r="658" spans="1:73" hidden="1">
      <c r="A658" s="3267" t="s">
        <v>7612</v>
      </c>
      <c r="B658" s="3267" t="s">
        <v>7613</v>
      </c>
      <c r="C658" s="3269" t="s">
        <v>7614</v>
      </c>
      <c r="D658" s="3269" t="s">
        <v>7615</v>
      </c>
      <c r="E658" s="3268" t="s">
        <v>2985</v>
      </c>
      <c r="F658" s="3268" t="s">
        <v>3813</v>
      </c>
      <c r="G658" s="3267" t="s">
        <v>3262</v>
      </c>
      <c r="H658" s="3267" t="s">
        <v>5314</v>
      </c>
      <c r="I658" s="3268" t="s">
        <v>3190</v>
      </c>
      <c r="J658" s="3267" t="s">
        <v>3151</v>
      </c>
      <c r="K658" s="3267" t="s">
        <v>7616</v>
      </c>
      <c r="L658" s="3267">
        <v>71.94</v>
      </c>
      <c r="M658" s="3267">
        <v>5</v>
      </c>
      <c r="N658" s="3267" t="s">
        <v>3122</v>
      </c>
      <c r="O658" s="3267">
        <v>63.39</v>
      </c>
      <c r="P658" s="3267" t="s">
        <v>2963</v>
      </c>
      <c r="Q658" s="3271">
        <v>480000</v>
      </c>
      <c r="R658" s="3288">
        <v>6672</v>
      </c>
      <c r="S658" s="3272">
        <v>39.270000000000003</v>
      </c>
      <c r="T658" s="3273">
        <v>392700</v>
      </c>
      <c r="U658" s="3267">
        <v>5460</v>
      </c>
      <c r="V658" s="3289">
        <v>0.2</v>
      </c>
      <c r="W658" s="3272">
        <v>31.41</v>
      </c>
      <c r="X658" s="3273">
        <v>314100</v>
      </c>
      <c r="Y658" s="3267">
        <v>2006</v>
      </c>
      <c r="Z658" s="3276">
        <v>9</v>
      </c>
      <c r="AA658" s="3276">
        <v>18</v>
      </c>
      <c r="AB658" s="3267">
        <v>1175</v>
      </c>
      <c r="AC658" s="3267" t="s">
        <v>2980</v>
      </c>
      <c r="AD658" s="3267" t="s">
        <v>7617</v>
      </c>
      <c r="AE658" s="3279" t="s">
        <v>3245</v>
      </c>
      <c r="AF658" s="3268" t="s">
        <v>2966</v>
      </c>
      <c r="AG658" s="3279" t="s">
        <v>2967</v>
      </c>
      <c r="AH658" s="3267" t="s">
        <v>3262</v>
      </c>
      <c r="AI658" s="3279" t="s">
        <v>2992</v>
      </c>
      <c r="AJ658" s="3284" t="s">
        <v>3262</v>
      </c>
      <c r="AK658" s="3278">
        <v>9</v>
      </c>
      <c r="AL658" s="3276">
        <v>42</v>
      </c>
      <c r="AM658" s="3276"/>
      <c r="AN658" s="3279" t="s">
        <v>2994</v>
      </c>
      <c r="AO658" s="3267"/>
      <c r="AP658" s="3279" t="s">
        <v>3305</v>
      </c>
      <c r="AQ658" s="3267" t="s">
        <v>3228</v>
      </c>
      <c r="AR658" s="3276"/>
      <c r="AS658" s="3276"/>
      <c r="AT658" s="3276"/>
      <c r="AU658" s="3276" t="s">
        <v>3262</v>
      </c>
      <c r="AV658" s="3276" t="s">
        <v>3262</v>
      </c>
      <c r="AW658" s="3276" t="s">
        <v>3119</v>
      </c>
      <c r="AX658" s="3276" t="s">
        <v>3262</v>
      </c>
      <c r="AY658" s="3291" t="s">
        <v>3262</v>
      </c>
      <c r="AZ658" s="3267" t="s">
        <v>7616</v>
      </c>
      <c r="BA658" s="3296" t="s">
        <v>3262</v>
      </c>
      <c r="BB658" s="3297" t="s">
        <v>3262</v>
      </c>
      <c r="BC658" s="3296" t="s">
        <v>3262</v>
      </c>
      <c r="BD658" s="3298" t="s">
        <v>3262</v>
      </c>
      <c r="BE658" s="3276">
        <v>13001186998</v>
      </c>
      <c r="BF658" s="3281" t="s">
        <v>3262</v>
      </c>
      <c r="BG658" s="3293">
        <v>38879</v>
      </c>
      <c r="BH658" s="3267" t="s">
        <v>2998</v>
      </c>
      <c r="BI658" s="3314" t="s">
        <v>3305</v>
      </c>
      <c r="BJ658" s="3283">
        <v>38903</v>
      </c>
      <c r="BK658" s="3283" t="s">
        <v>3262</v>
      </c>
      <c r="BL658" s="3267" t="s">
        <v>3249</v>
      </c>
      <c r="BM658" s="3276" t="s">
        <v>2879</v>
      </c>
      <c r="BN658" s="3276" t="s">
        <v>3111</v>
      </c>
      <c r="BO658" s="3276" t="s">
        <v>3146</v>
      </c>
      <c r="BP658" s="3276"/>
      <c r="BQ658" s="3276">
        <v>6195</v>
      </c>
      <c r="BR658" s="3276">
        <v>7572</v>
      </c>
      <c r="BS658" s="3285"/>
      <c r="BT658" s="3285"/>
      <c r="BU658" s="3285"/>
    </row>
    <row r="659" spans="1:73" hidden="1">
      <c r="A659" s="3267" t="s">
        <v>7618</v>
      </c>
      <c r="B659" s="3267" t="s">
        <v>7619</v>
      </c>
      <c r="C659" s="3269" t="s">
        <v>7620</v>
      </c>
      <c r="D659" s="3269" t="s">
        <v>7621</v>
      </c>
      <c r="E659" s="3268" t="s">
        <v>2985</v>
      </c>
      <c r="F659" s="3268" t="s">
        <v>7622</v>
      </c>
      <c r="G659" s="3267"/>
      <c r="H659" s="3267" t="s">
        <v>3150</v>
      </c>
      <c r="I659" s="3268"/>
      <c r="J659" s="3267" t="s">
        <v>5264</v>
      </c>
      <c r="K659" s="3267" t="s">
        <v>7623</v>
      </c>
      <c r="L659" s="3267">
        <v>43.16</v>
      </c>
      <c r="M659" s="3267">
        <v>11</v>
      </c>
      <c r="N659" s="3267" t="s">
        <v>3535</v>
      </c>
      <c r="O659" s="3267">
        <v>32.909999999999997</v>
      </c>
      <c r="P659" s="3267" t="s">
        <v>2963</v>
      </c>
      <c r="Q659" s="3271">
        <v>360000</v>
      </c>
      <c r="R659" s="3267">
        <v>8341</v>
      </c>
      <c r="S659" s="3272">
        <v>26.75</v>
      </c>
      <c r="T659" s="3273">
        <v>267500</v>
      </c>
      <c r="U659" s="3267">
        <v>6200</v>
      </c>
      <c r="V659" s="3289">
        <v>0.2</v>
      </c>
      <c r="W659" s="3272">
        <v>21.4</v>
      </c>
      <c r="X659" s="3275">
        <v>214000</v>
      </c>
      <c r="Y659" s="3276">
        <v>2006</v>
      </c>
      <c r="Z659" s="3276">
        <v>7</v>
      </c>
      <c r="AA659" s="3276">
        <v>27</v>
      </c>
      <c r="AB659" s="3267">
        <v>800</v>
      </c>
      <c r="AC659" s="3267" t="s">
        <v>2980</v>
      </c>
      <c r="AD659" s="3280" t="s">
        <v>7624</v>
      </c>
      <c r="AE659" s="3279" t="s">
        <v>3245</v>
      </c>
      <c r="AF659" s="3268" t="s">
        <v>2966</v>
      </c>
      <c r="AG659" s="3279" t="s">
        <v>2967</v>
      </c>
      <c r="AH659" s="3267" t="s">
        <v>2968</v>
      </c>
      <c r="AI659" s="3279" t="s">
        <v>2992</v>
      </c>
      <c r="AJ659" s="3284"/>
      <c r="AK659" s="3278">
        <v>7</v>
      </c>
      <c r="AL659" s="3276">
        <v>58</v>
      </c>
      <c r="AM659" s="3276"/>
      <c r="AN659" s="3279" t="s">
        <v>2994</v>
      </c>
      <c r="AO659" s="3267"/>
      <c r="AP659" s="3279" t="s">
        <v>3305</v>
      </c>
      <c r="AQ659" s="3267" t="s">
        <v>3228</v>
      </c>
      <c r="AR659" s="3276"/>
      <c r="AS659" s="3276"/>
      <c r="AT659" s="3276"/>
      <c r="AU659" s="3276"/>
      <c r="AV659" s="3276"/>
      <c r="AW659" s="3276" t="s">
        <v>3119</v>
      </c>
      <c r="AX659" s="3276"/>
      <c r="AY659" s="3291"/>
      <c r="AZ659" s="3267" t="s">
        <v>7623</v>
      </c>
      <c r="BA659" s="3296"/>
      <c r="BB659" s="3297"/>
      <c r="BC659" s="3296"/>
      <c r="BD659" s="3298"/>
      <c r="BE659" s="3276">
        <v>13801131898</v>
      </c>
      <c r="BF659" s="3281"/>
      <c r="BG659" s="3293">
        <v>38891</v>
      </c>
      <c r="BH659" s="3267" t="s">
        <v>2998</v>
      </c>
      <c r="BI659" s="3314" t="s">
        <v>3305</v>
      </c>
      <c r="BJ659" s="3283">
        <v>38903</v>
      </c>
      <c r="BK659" s="3283"/>
      <c r="BL659" s="3267" t="s">
        <v>3249</v>
      </c>
      <c r="BM659" s="3276" t="s">
        <v>2879</v>
      </c>
      <c r="BN659" s="3276" t="s">
        <v>3111</v>
      </c>
      <c r="BO659" s="3276" t="s">
        <v>3146</v>
      </c>
      <c r="BP659" s="3276"/>
      <c r="BQ659" s="3276">
        <v>8128</v>
      </c>
      <c r="BR659" s="3276">
        <v>10939</v>
      </c>
      <c r="BS659" s="3285"/>
      <c r="BT659" s="3285"/>
      <c r="BU659" s="3285"/>
    </row>
    <row r="660" spans="1:73" hidden="1">
      <c r="A660" s="3267" t="s">
        <v>7625</v>
      </c>
      <c r="B660" s="3267" t="s">
        <v>7626</v>
      </c>
      <c r="C660" s="3269" t="s">
        <v>7627</v>
      </c>
      <c r="D660" s="3269" t="s">
        <v>7628</v>
      </c>
      <c r="E660" s="3268" t="s">
        <v>2985</v>
      </c>
      <c r="F660" s="3268" t="s">
        <v>4786</v>
      </c>
      <c r="G660" s="3267"/>
      <c r="H660" s="3267" t="s">
        <v>3964</v>
      </c>
      <c r="I660" s="3268" t="s">
        <v>3281</v>
      </c>
      <c r="J660" s="3267" t="s">
        <v>3173</v>
      </c>
      <c r="K660" s="3267" t="s">
        <v>7629</v>
      </c>
      <c r="L660" s="3267">
        <v>86.75</v>
      </c>
      <c r="M660" s="3267">
        <v>2</v>
      </c>
      <c r="N660" s="3267" t="s">
        <v>7630</v>
      </c>
      <c r="O660" s="3267">
        <v>77.8</v>
      </c>
      <c r="P660" s="3267" t="s">
        <v>2963</v>
      </c>
      <c r="Q660" s="3271">
        <v>475000</v>
      </c>
      <c r="R660" s="3267">
        <v>5476</v>
      </c>
      <c r="S660" s="3272">
        <v>48.75</v>
      </c>
      <c r="T660" s="3273">
        <v>487500</v>
      </c>
      <c r="U660" s="3267">
        <v>5620</v>
      </c>
      <c r="V660" s="3289">
        <v>0.2</v>
      </c>
      <c r="W660" s="3272">
        <v>39</v>
      </c>
      <c r="X660" s="3275">
        <v>390000</v>
      </c>
      <c r="Y660" s="3276">
        <v>2006</v>
      </c>
      <c r="Z660" s="3276">
        <v>7</v>
      </c>
      <c r="AA660" s="3276">
        <v>26</v>
      </c>
      <c r="AB660" s="3267">
        <v>1460</v>
      </c>
      <c r="AC660" s="3267" t="s">
        <v>2980</v>
      </c>
      <c r="AD660" s="3269" t="s">
        <v>7631</v>
      </c>
      <c r="AE660" s="3279" t="s">
        <v>3245</v>
      </c>
      <c r="AF660" s="3267" t="s">
        <v>2966</v>
      </c>
      <c r="AG660" s="3279" t="s">
        <v>2967</v>
      </c>
      <c r="AH660" s="3267"/>
      <c r="AI660" s="3279" t="s">
        <v>2992</v>
      </c>
      <c r="AJ660" s="3284"/>
      <c r="AK660" s="3278">
        <v>7</v>
      </c>
      <c r="AL660" s="3276">
        <v>42</v>
      </c>
      <c r="AM660" s="3276" t="s">
        <v>7632</v>
      </c>
      <c r="AN660" s="3279" t="s">
        <v>2994</v>
      </c>
      <c r="AO660" s="3267"/>
      <c r="AP660" s="3279" t="s">
        <v>3305</v>
      </c>
      <c r="AQ660" s="3267" t="s">
        <v>3228</v>
      </c>
      <c r="AR660" s="3276">
        <v>2006</v>
      </c>
      <c r="AS660" s="3276">
        <v>7</v>
      </c>
      <c r="AT660" s="3276">
        <v>26</v>
      </c>
      <c r="AU660" s="3276"/>
      <c r="AV660" s="3276"/>
      <c r="AW660" s="3276" t="s">
        <v>3119</v>
      </c>
      <c r="AX660" s="3276"/>
      <c r="AY660" s="3291"/>
      <c r="AZ660" s="3267" t="s">
        <v>7629</v>
      </c>
      <c r="BA660" s="3296"/>
      <c r="BB660" s="3297"/>
      <c r="BC660" s="3296"/>
      <c r="BD660" s="3298"/>
      <c r="BE660" s="3276">
        <v>13501103914</v>
      </c>
      <c r="BF660" s="3281"/>
      <c r="BG660" s="3293">
        <v>38903</v>
      </c>
      <c r="BH660" s="3267" t="s">
        <v>2998</v>
      </c>
      <c r="BI660" s="3314" t="s">
        <v>3069</v>
      </c>
      <c r="BJ660" s="3283">
        <v>38904</v>
      </c>
      <c r="BK660" s="3283"/>
      <c r="BL660" s="3267" t="s">
        <v>3249</v>
      </c>
      <c r="BM660" s="3276" t="s">
        <v>2879</v>
      </c>
      <c r="BN660" s="3276" t="s">
        <v>3111</v>
      </c>
      <c r="BO660" s="3276" t="s">
        <v>3146</v>
      </c>
      <c r="BP660" s="3276"/>
      <c r="BQ660" s="3276">
        <v>6266</v>
      </c>
      <c r="BR660" s="3276">
        <v>6105</v>
      </c>
      <c r="BS660" s="3285"/>
      <c r="BT660" s="3285"/>
      <c r="BU660" s="3285"/>
    </row>
    <row r="661" spans="1:73" hidden="1">
      <c r="A661" s="3267" t="s">
        <v>7633</v>
      </c>
      <c r="B661" s="3267" t="s">
        <v>7634</v>
      </c>
      <c r="C661" s="3269" t="s">
        <v>7635</v>
      </c>
      <c r="D661" s="3269" t="s">
        <v>7636</v>
      </c>
      <c r="E661" s="3268" t="s">
        <v>2985</v>
      </c>
      <c r="F661" s="3268" t="s">
        <v>3576</v>
      </c>
      <c r="G661" s="3267"/>
      <c r="H661" s="3267" t="s">
        <v>7637</v>
      </c>
      <c r="I661" s="3268"/>
      <c r="J661" s="3267" t="s">
        <v>7638</v>
      </c>
      <c r="K661" s="3267" t="s">
        <v>7639</v>
      </c>
      <c r="L661" s="3267">
        <v>116.53</v>
      </c>
      <c r="M661" s="3267">
        <v>26</v>
      </c>
      <c r="N661" s="3267" t="s">
        <v>7640</v>
      </c>
      <c r="O661" s="3267">
        <v>92.88</v>
      </c>
      <c r="P661" s="3267" t="s">
        <v>2963</v>
      </c>
      <c r="Q661" s="3271">
        <v>840000</v>
      </c>
      <c r="R661" s="3267">
        <v>7208</v>
      </c>
      <c r="S661" s="3272">
        <v>73.709999999999994</v>
      </c>
      <c r="T661" s="3273">
        <v>737100</v>
      </c>
      <c r="U661" s="3267">
        <v>6326</v>
      </c>
      <c r="V661" s="3289">
        <v>0.3</v>
      </c>
      <c r="W661" s="3272">
        <v>51.59</v>
      </c>
      <c r="X661" s="3275">
        <v>515900</v>
      </c>
      <c r="Y661" s="3276">
        <v>2006</v>
      </c>
      <c r="Z661" s="3276">
        <v>7</v>
      </c>
      <c r="AA661" s="3276">
        <v>11</v>
      </c>
      <c r="AB661" s="3267">
        <v>1500</v>
      </c>
      <c r="AC661" s="3267" t="s">
        <v>2980</v>
      </c>
      <c r="AD661" s="3269" t="s">
        <v>7641</v>
      </c>
      <c r="AE661" s="3279" t="s">
        <v>3245</v>
      </c>
      <c r="AF661" s="3268" t="s">
        <v>2966</v>
      </c>
      <c r="AG661" s="3279" t="s">
        <v>2967</v>
      </c>
      <c r="AH661" s="3267"/>
      <c r="AI661" s="3279" t="s">
        <v>2992</v>
      </c>
      <c r="AJ661" s="3284"/>
      <c r="AK661" s="3278">
        <v>7</v>
      </c>
      <c r="AL661" s="3276">
        <v>55</v>
      </c>
      <c r="AM661" s="3276"/>
      <c r="AN661" s="3279" t="s">
        <v>3140</v>
      </c>
      <c r="AO661" s="3267"/>
      <c r="AP661" s="3279" t="s">
        <v>3305</v>
      </c>
      <c r="AQ661" s="3267" t="s">
        <v>3228</v>
      </c>
      <c r="AR661" s="3276"/>
      <c r="AS661" s="3276"/>
      <c r="AT661" s="3276"/>
      <c r="AU661" s="3276"/>
      <c r="AV661" s="3276"/>
      <c r="AW661" s="3276" t="s">
        <v>3112</v>
      </c>
      <c r="AX661" s="3276"/>
      <c r="AY661" s="3291"/>
      <c r="AZ661" s="3267" t="s">
        <v>7639</v>
      </c>
      <c r="BA661" s="3296"/>
      <c r="BB661" s="3297"/>
      <c r="BC661" s="3296"/>
      <c r="BD661" s="3298"/>
      <c r="BE661" s="3276">
        <v>13601226219</v>
      </c>
      <c r="BF661" s="3281"/>
      <c r="BG661" s="3293">
        <v>38869</v>
      </c>
      <c r="BH661" s="3267" t="s">
        <v>2998</v>
      </c>
      <c r="BI661" s="3314" t="s">
        <v>3305</v>
      </c>
      <c r="BJ661" s="3283">
        <v>38904</v>
      </c>
      <c r="BK661" s="3283"/>
      <c r="BL661" s="3267" t="s">
        <v>3249</v>
      </c>
      <c r="BM661" s="3276" t="s">
        <v>2879</v>
      </c>
      <c r="BN661" s="3276" t="s">
        <v>2999</v>
      </c>
      <c r="BO661" s="3276" t="s">
        <v>3000</v>
      </c>
      <c r="BP661" s="3276"/>
      <c r="BQ661" s="3276">
        <v>7936</v>
      </c>
      <c r="BR661" s="3276">
        <v>9044</v>
      </c>
      <c r="BS661" s="3285"/>
      <c r="BT661" s="3285"/>
      <c r="BU661" s="3285"/>
    </row>
    <row r="662" spans="1:73" hidden="1">
      <c r="A662" s="3267" t="s">
        <v>7642</v>
      </c>
      <c r="B662" s="3268" t="s">
        <v>7643</v>
      </c>
      <c r="C662" s="3269" t="s">
        <v>7644</v>
      </c>
      <c r="D662" s="3267">
        <v>13693501607</v>
      </c>
      <c r="E662" s="3267" t="s">
        <v>2985</v>
      </c>
      <c r="F662" s="3267" t="s">
        <v>7645</v>
      </c>
      <c r="G662" s="3267"/>
      <c r="H662" s="3267"/>
      <c r="I662" s="3267"/>
      <c r="J662" s="3267" t="s">
        <v>7646</v>
      </c>
      <c r="K662" s="3268" t="s">
        <v>7647</v>
      </c>
      <c r="L662" s="3267">
        <v>87.29</v>
      </c>
      <c r="M662" s="3267">
        <v>5</v>
      </c>
      <c r="N662" s="3267" t="s">
        <v>3098</v>
      </c>
      <c r="O662" s="3267"/>
      <c r="P662" s="3267" t="s">
        <v>2963</v>
      </c>
      <c r="Q662" s="3267">
        <v>760000</v>
      </c>
      <c r="R662" s="3267">
        <v>8707</v>
      </c>
      <c r="S662" s="3272">
        <v>58.85</v>
      </c>
      <c r="T662" s="3273">
        <v>588500</v>
      </c>
      <c r="U662" s="3267">
        <v>6743</v>
      </c>
      <c r="V662" s="3274">
        <v>0.2</v>
      </c>
      <c r="W662" s="3272">
        <v>47.08</v>
      </c>
      <c r="X662" s="3275">
        <v>470800</v>
      </c>
      <c r="Y662" s="3267">
        <v>2006</v>
      </c>
      <c r="Z662" s="3267">
        <v>8</v>
      </c>
      <c r="AA662" s="3276">
        <v>11</v>
      </c>
      <c r="AB662" s="3276">
        <v>1500</v>
      </c>
      <c r="AC662" s="3267" t="s">
        <v>2980</v>
      </c>
      <c r="AD662" s="3269" t="s">
        <v>7648</v>
      </c>
      <c r="AE662" s="3267" t="s">
        <v>3069</v>
      </c>
      <c r="AF662" s="3267" t="s">
        <v>2966</v>
      </c>
      <c r="AG662" s="3267" t="s">
        <v>2967</v>
      </c>
      <c r="AH662" s="3267" t="s">
        <v>2968</v>
      </c>
      <c r="AI662" s="3267" t="s">
        <v>3115</v>
      </c>
      <c r="AJ662" s="3284"/>
      <c r="AK662" s="3278">
        <v>8</v>
      </c>
      <c r="AL662" s="3267" t="s">
        <v>5890</v>
      </c>
      <c r="AM662" s="3267" t="s">
        <v>7649</v>
      </c>
      <c r="AN662" s="3276" t="s">
        <v>3131</v>
      </c>
      <c r="AO662" s="3267" t="s">
        <v>2968</v>
      </c>
      <c r="AP662" s="3267" t="s">
        <v>3180</v>
      </c>
      <c r="AQ662" s="3267" t="s">
        <v>3228</v>
      </c>
      <c r="AR662" s="3267">
        <v>2006</v>
      </c>
      <c r="AS662" s="3267">
        <v>8</v>
      </c>
      <c r="AT662" s="3267">
        <v>11</v>
      </c>
      <c r="AU662" s="3267"/>
      <c r="AV662" s="3267" t="s">
        <v>2968</v>
      </c>
      <c r="AW662" s="3267" t="s">
        <v>3171</v>
      </c>
      <c r="AX662" s="3267"/>
      <c r="AY662" s="3269"/>
      <c r="AZ662" s="3268" t="s">
        <v>7647</v>
      </c>
      <c r="BA662" s="3267"/>
      <c r="BB662" s="3267"/>
      <c r="BC662" s="3267"/>
      <c r="BD662" s="3267"/>
      <c r="BE662" s="3267"/>
      <c r="BF662" s="3267"/>
      <c r="BG662" s="3307">
        <v>38902</v>
      </c>
      <c r="BH662" s="3267"/>
      <c r="BI662" s="3267" t="s">
        <v>3069</v>
      </c>
      <c r="BJ662" s="3283">
        <v>38905</v>
      </c>
      <c r="BK662" s="3283"/>
      <c r="BL662" s="3267" t="s">
        <v>2998</v>
      </c>
      <c r="BM662" s="3267"/>
      <c r="BN662" s="3267"/>
      <c r="BO662" s="3267"/>
      <c r="BP662" s="3267"/>
      <c r="BQ662" s="3276" t="e">
        <v>#DIV/0!</v>
      </c>
      <c r="BR662" s="3276" t="e">
        <v>#DIV/0!</v>
      </c>
      <c r="BS662" s="3285"/>
      <c r="BT662" s="3285"/>
      <c r="BU662" s="3285"/>
    </row>
    <row r="663" spans="1:73" hidden="1">
      <c r="A663" s="3268" t="s">
        <v>7650</v>
      </c>
      <c r="B663" s="3267" t="s">
        <v>7651</v>
      </c>
      <c r="C663" s="3269" t="s">
        <v>7652</v>
      </c>
      <c r="D663" s="3269" t="s">
        <v>7653</v>
      </c>
      <c r="E663" s="3267" t="s">
        <v>2985</v>
      </c>
      <c r="F663" s="3268" t="s">
        <v>3261</v>
      </c>
      <c r="G663" s="3267"/>
      <c r="H663" s="3267" t="s">
        <v>6341</v>
      </c>
      <c r="I663" s="3267"/>
      <c r="J663" s="3269" t="s">
        <v>7654</v>
      </c>
      <c r="K663" s="3267" t="s">
        <v>7651</v>
      </c>
      <c r="L663" s="3267">
        <v>61.63</v>
      </c>
      <c r="M663" s="3267">
        <v>3</v>
      </c>
      <c r="N663" s="3267" t="s">
        <v>3122</v>
      </c>
      <c r="O663" s="3267"/>
      <c r="P663" s="3267" t="s">
        <v>2963</v>
      </c>
      <c r="Q663" s="3271">
        <v>500000</v>
      </c>
      <c r="R663" s="3267">
        <v>8113</v>
      </c>
      <c r="S663" s="3272">
        <v>46.45</v>
      </c>
      <c r="T663" s="3273">
        <v>464500</v>
      </c>
      <c r="U663" s="3267">
        <v>7537</v>
      </c>
      <c r="V663" s="3289">
        <v>0.2</v>
      </c>
      <c r="W663" s="3272">
        <v>37.159999999999997</v>
      </c>
      <c r="X663" s="3275">
        <v>371600</v>
      </c>
      <c r="Y663" s="3267">
        <v>2006</v>
      </c>
      <c r="Z663" s="3276">
        <v>8</v>
      </c>
      <c r="AA663" s="3276">
        <v>1</v>
      </c>
      <c r="AB663" s="3267">
        <v>1390</v>
      </c>
      <c r="AC663" s="3267" t="s">
        <v>2980</v>
      </c>
      <c r="AD663" s="3269" t="s">
        <v>7655</v>
      </c>
      <c r="AE663" s="3267" t="s">
        <v>3238</v>
      </c>
      <c r="AF663" s="3267" t="s">
        <v>2966</v>
      </c>
      <c r="AG663" s="3267" t="s">
        <v>2967</v>
      </c>
      <c r="AH663" s="3267" t="s">
        <v>2968</v>
      </c>
      <c r="AI663" s="3270" t="s">
        <v>2992</v>
      </c>
      <c r="AJ663" s="3284"/>
      <c r="AK663" s="3278">
        <v>8</v>
      </c>
      <c r="AL663" s="3276">
        <v>33</v>
      </c>
      <c r="AM663" s="3267" t="s">
        <v>7656</v>
      </c>
      <c r="AN663" s="3279" t="s">
        <v>3131</v>
      </c>
      <c r="AO663" s="3276" t="s">
        <v>2968</v>
      </c>
      <c r="AP663" s="3276" t="s">
        <v>3238</v>
      </c>
      <c r="AQ663" s="3267" t="s">
        <v>3228</v>
      </c>
      <c r="AR663" s="3276"/>
      <c r="AS663" s="3276"/>
      <c r="AT663" s="3276"/>
      <c r="AU663" s="3276"/>
      <c r="AV663" s="3276" t="s">
        <v>2968</v>
      </c>
      <c r="AW663" s="3276" t="s">
        <v>3171</v>
      </c>
      <c r="AX663" s="3276"/>
      <c r="AY663" s="3291"/>
      <c r="AZ663" s="3267" t="s">
        <v>7657</v>
      </c>
      <c r="BA663" s="3276"/>
      <c r="BB663" s="3291"/>
      <c r="BC663" s="3276"/>
      <c r="BD663" s="3292"/>
      <c r="BE663" s="3276">
        <v>64635185</v>
      </c>
      <c r="BF663" s="3281"/>
      <c r="BG663" s="3290">
        <v>38905</v>
      </c>
      <c r="BH663" s="3276"/>
      <c r="BI663" s="3267" t="s">
        <v>3238</v>
      </c>
      <c r="BJ663" s="3283">
        <v>38905</v>
      </c>
      <c r="BK663" s="3283"/>
      <c r="BL663" s="3267" t="s">
        <v>2998</v>
      </c>
      <c r="BM663" s="3276" t="s">
        <v>2879</v>
      </c>
      <c r="BN663" s="3276" t="s">
        <v>3111</v>
      </c>
      <c r="BO663" s="3276" t="s">
        <v>3146</v>
      </c>
      <c r="BP663" s="3276"/>
      <c r="BQ663" s="3276" t="e">
        <v>#DIV/0!</v>
      </c>
      <c r="BR663" s="3276" t="e">
        <v>#DIV/0!</v>
      </c>
      <c r="BS663" s="3285"/>
      <c r="BT663" s="3285"/>
      <c r="BU663" s="3285"/>
    </row>
    <row r="664" spans="1:73" hidden="1">
      <c r="A664" s="3267" t="s">
        <v>7658</v>
      </c>
      <c r="B664" s="3268" t="s">
        <v>7659</v>
      </c>
      <c r="C664" s="3269" t="s">
        <v>7660</v>
      </c>
      <c r="D664" s="3268">
        <v>13651330422</v>
      </c>
      <c r="E664" s="3268" t="s">
        <v>2985</v>
      </c>
      <c r="F664" s="3268" t="s">
        <v>3224</v>
      </c>
      <c r="G664" s="3268"/>
      <c r="H664" s="3268" t="s">
        <v>3712</v>
      </c>
      <c r="I664" s="3268"/>
      <c r="J664" s="3268" t="s">
        <v>3123</v>
      </c>
      <c r="K664" s="3268" t="s">
        <v>7661</v>
      </c>
      <c r="L664" s="3270">
        <v>90.56</v>
      </c>
      <c r="M664" s="3270">
        <v>4</v>
      </c>
      <c r="N664" s="3267" t="s">
        <v>3122</v>
      </c>
      <c r="O664" s="3270"/>
      <c r="P664" s="3268" t="s">
        <v>2963</v>
      </c>
      <c r="Q664" s="3271">
        <v>450000</v>
      </c>
      <c r="R664" s="3267">
        <v>4969</v>
      </c>
      <c r="S664" s="3272">
        <v>38.57</v>
      </c>
      <c r="T664" s="3273">
        <v>385700</v>
      </c>
      <c r="U664" s="3267">
        <v>4260</v>
      </c>
      <c r="V664" s="3274">
        <v>0.2</v>
      </c>
      <c r="W664" s="3272">
        <v>30.85</v>
      </c>
      <c r="X664" s="3275">
        <v>308500</v>
      </c>
      <c r="Y664" s="3276">
        <v>2006</v>
      </c>
      <c r="Z664" s="3267">
        <v>8</v>
      </c>
      <c r="AA664" s="3276">
        <v>7</v>
      </c>
      <c r="AB664" s="3267">
        <v>1155</v>
      </c>
      <c r="AC664" s="3267" t="s">
        <v>2980</v>
      </c>
      <c r="AD664" s="3280" t="s">
        <v>7662</v>
      </c>
      <c r="AE664" s="3268" t="s">
        <v>3069</v>
      </c>
      <c r="AF664" s="3268" t="s">
        <v>2966</v>
      </c>
      <c r="AG664" s="3268" t="s">
        <v>2967</v>
      </c>
      <c r="AH664" s="3268"/>
      <c r="AI664" s="3268" t="s">
        <v>3115</v>
      </c>
      <c r="AJ664" s="3290"/>
      <c r="AK664" s="3278" t="s">
        <v>4256</v>
      </c>
      <c r="AL664" s="3276" t="s">
        <v>5508</v>
      </c>
      <c r="AM664" s="3276" t="s">
        <v>7663</v>
      </c>
      <c r="AN664" s="3279" t="s">
        <v>3140</v>
      </c>
      <c r="AO664" s="3276"/>
      <c r="AP664" s="3276" t="s">
        <v>3069</v>
      </c>
      <c r="AQ664" s="3267" t="s">
        <v>3228</v>
      </c>
      <c r="AR664" s="3267">
        <v>2006</v>
      </c>
      <c r="AS664" s="3267">
        <v>8</v>
      </c>
      <c r="AT664" s="3267">
        <v>7</v>
      </c>
      <c r="AU664" s="3267"/>
      <c r="AV664" s="3277"/>
      <c r="AW664" s="3268" t="s">
        <v>3171</v>
      </c>
      <c r="AX664" s="3268"/>
      <c r="AY664" s="3268"/>
      <c r="AZ664" s="3268" t="s">
        <v>7661</v>
      </c>
      <c r="BA664" s="3268"/>
      <c r="BB664" s="3280"/>
      <c r="BC664" s="3268"/>
      <c r="BD664" s="3268"/>
      <c r="BE664" s="3268"/>
      <c r="BF664" s="3281"/>
      <c r="BG664" s="3290">
        <v>38903</v>
      </c>
      <c r="BH664" s="3268"/>
      <c r="BI664" s="3279" t="s">
        <v>3069</v>
      </c>
      <c r="BJ664" s="3283">
        <v>38905</v>
      </c>
      <c r="BK664" s="3284"/>
      <c r="BL664" s="3267" t="s">
        <v>2998</v>
      </c>
      <c r="BM664" s="3267"/>
      <c r="BN664" s="3267"/>
      <c r="BO664" s="3267"/>
      <c r="BP664" s="3276"/>
      <c r="BQ664" s="3276" t="e">
        <v>#DIV/0!</v>
      </c>
      <c r="BR664" s="3276" t="e">
        <v>#DIV/0!</v>
      </c>
      <c r="BS664" s="3285"/>
      <c r="BT664" s="3285"/>
      <c r="BU664" s="3285"/>
    </row>
    <row r="665" spans="1:73" hidden="1">
      <c r="A665" s="3267" t="s">
        <v>7664</v>
      </c>
      <c r="B665" s="3267" t="s">
        <v>7665</v>
      </c>
      <c r="C665" s="3269" t="s">
        <v>7666</v>
      </c>
      <c r="D665" s="3269" t="s">
        <v>7667</v>
      </c>
      <c r="E665" s="3268" t="s">
        <v>2985</v>
      </c>
      <c r="F665" s="3268" t="s">
        <v>3557</v>
      </c>
      <c r="G665" s="3267"/>
      <c r="H665" s="3267" t="s">
        <v>3182</v>
      </c>
      <c r="I665" s="3268"/>
      <c r="J665" s="3267" t="s">
        <v>7668</v>
      </c>
      <c r="K665" s="3267" t="s">
        <v>7669</v>
      </c>
      <c r="L665" s="3267">
        <v>86.31</v>
      </c>
      <c r="M665" s="3267">
        <v>20</v>
      </c>
      <c r="N665" s="3267" t="s">
        <v>3152</v>
      </c>
      <c r="O665" s="3267"/>
      <c r="P665" s="3267" t="s">
        <v>2963</v>
      </c>
      <c r="Q665" s="3271">
        <v>590000</v>
      </c>
      <c r="R665" s="3267">
        <v>6836</v>
      </c>
      <c r="S665" s="3272">
        <v>49.32</v>
      </c>
      <c r="T665" s="3273">
        <v>493200</v>
      </c>
      <c r="U665" s="3267">
        <v>5715</v>
      </c>
      <c r="V665" s="3289">
        <v>0.2</v>
      </c>
      <c r="W665" s="3272">
        <v>39.450000000000003</v>
      </c>
      <c r="X665" s="3275">
        <v>394500</v>
      </c>
      <c r="Y665" s="3276">
        <v>2006</v>
      </c>
      <c r="Z665" s="3276">
        <v>7</v>
      </c>
      <c r="AA665" s="3276">
        <v>26</v>
      </c>
      <c r="AB665" s="3267">
        <v>1475</v>
      </c>
      <c r="AC665" s="3267" t="s">
        <v>2980</v>
      </c>
      <c r="AD665" s="3269" t="s">
        <v>7670</v>
      </c>
      <c r="AE665" s="3279" t="s">
        <v>3245</v>
      </c>
      <c r="AF665" s="3267" t="s">
        <v>2966</v>
      </c>
      <c r="AG665" s="3279" t="s">
        <v>2967</v>
      </c>
      <c r="AH665" s="3267"/>
      <c r="AI665" s="3279" t="s">
        <v>2992</v>
      </c>
      <c r="AJ665" s="3284"/>
      <c r="AK665" s="3278">
        <v>7</v>
      </c>
      <c r="AL665" s="3276">
        <v>54</v>
      </c>
      <c r="AM665" s="3276" t="s">
        <v>7671</v>
      </c>
      <c r="AN665" s="3279" t="s">
        <v>2994</v>
      </c>
      <c r="AO665" s="3267"/>
      <c r="AP665" s="3279" t="s">
        <v>3305</v>
      </c>
      <c r="AQ665" s="3267" t="s">
        <v>3228</v>
      </c>
      <c r="AR665" s="3276">
        <v>2006</v>
      </c>
      <c r="AS665" s="3276">
        <v>7</v>
      </c>
      <c r="AT665" s="3276">
        <v>26</v>
      </c>
      <c r="AU665" s="3276"/>
      <c r="AV665" s="3276"/>
      <c r="AW665" s="3276" t="s">
        <v>3119</v>
      </c>
      <c r="AX665" s="3276"/>
      <c r="AY665" s="3291"/>
      <c r="AZ665" s="3267" t="s">
        <v>7669</v>
      </c>
      <c r="BA665" s="3296"/>
      <c r="BB665" s="3297"/>
      <c r="BC665" s="3296"/>
      <c r="BD665" s="3298"/>
      <c r="BE665" s="3276">
        <v>13901178941</v>
      </c>
      <c r="BF665" s="3281"/>
      <c r="BG665" s="3293">
        <v>38901</v>
      </c>
      <c r="BH665" s="3267" t="s">
        <v>2998</v>
      </c>
      <c r="BI665" s="3314" t="s">
        <v>3069</v>
      </c>
      <c r="BJ665" s="3283">
        <v>38905</v>
      </c>
      <c r="BK665" s="3283"/>
      <c r="BL665" s="3267" t="s">
        <v>3249</v>
      </c>
      <c r="BM665" s="3276" t="s">
        <v>2879</v>
      </c>
      <c r="BN665" s="3276" t="s">
        <v>2999</v>
      </c>
      <c r="BO665" s="3276" t="s">
        <v>3146</v>
      </c>
      <c r="BP665" s="3276"/>
      <c r="BQ665" s="3276" t="e">
        <v>#DIV/0!</v>
      </c>
      <c r="BR665" s="3276" t="e">
        <v>#DIV/0!</v>
      </c>
      <c r="BS665" s="3285"/>
      <c r="BT665" s="3285"/>
      <c r="BU665" s="3285"/>
    </row>
    <row r="666" spans="1:73" hidden="1">
      <c r="A666" s="3267" t="s">
        <v>7672</v>
      </c>
      <c r="B666" s="3267" t="s">
        <v>7673</v>
      </c>
      <c r="C666" s="3269" t="s">
        <v>7674</v>
      </c>
      <c r="D666" s="3267">
        <v>13501131730</v>
      </c>
      <c r="E666" s="3267" t="s">
        <v>2985</v>
      </c>
      <c r="F666" s="3267" t="s">
        <v>7675</v>
      </c>
      <c r="G666" s="3267"/>
      <c r="H666" s="3267" t="s">
        <v>3814</v>
      </c>
      <c r="I666" s="3267" t="s">
        <v>3608</v>
      </c>
      <c r="J666" s="3267" t="s">
        <v>3858</v>
      </c>
      <c r="K666" s="3268" t="s">
        <v>7676</v>
      </c>
      <c r="L666" s="3267">
        <v>50.58</v>
      </c>
      <c r="M666" s="3267">
        <v>4</v>
      </c>
      <c r="N666" s="3267" t="s">
        <v>3152</v>
      </c>
      <c r="O666" s="3267"/>
      <c r="P666" s="3267" t="s">
        <v>2963</v>
      </c>
      <c r="Q666" s="3267">
        <v>260000</v>
      </c>
      <c r="R666" s="3267">
        <v>5140</v>
      </c>
      <c r="S666" s="3272">
        <v>27.8</v>
      </c>
      <c r="T666" s="3273">
        <v>278000</v>
      </c>
      <c r="U666" s="3267">
        <v>5498</v>
      </c>
      <c r="V666" s="3274">
        <v>0.2</v>
      </c>
      <c r="W666" s="3272">
        <v>22.24</v>
      </c>
      <c r="X666" s="3275">
        <v>222400</v>
      </c>
      <c r="Y666" s="3267">
        <v>2006</v>
      </c>
      <c r="Z666" s="3267">
        <v>7</v>
      </c>
      <c r="AA666" s="3276">
        <v>14</v>
      </c>
      <c r="AB666" s="3267">
        <v>830</v>
      </c>
      <c r="AC666" s="3267" t="s">
        <v>2980</v>
      </c>
      <c r="AD666" s="3269" t="s">
        <v>7677</v>
      </c>
      <c r="AE666" s="3276" t="s">
        <v>3069</v>
      </c>
      <c r="AF666" s="3267" t="s">
        <v>2966</v>
      </c>
      <c r="AG666" s="3267" t="s">
        <v>2967</v>
      </c>
      <c r="AH666" s="3267"/>
      <c r="AI666" s="3267" t="s">
        <v>3115</v>
      </c>
      <c r="AJ666" s="3284"/>
      <c r="AK666" s="3267" t="s">
        <v>2993</v>
      </c>
      <c r="AL666" s="3267" t="s">
        <v>7678</v>
      </c>
      <c r="AM666" s="3267"/>
      <c r="AN666" s="3267" t="s">
        <v>3140</v>
      </c>
      <c r="AO666" s="3267" t="s">
        <v>2968</v>
      </c>
      <c r="AP666" s="3267" t="s">
        <v>3180</v>
      </c>
      <c r="AQ666" s="3267" t="s">
        <v>3228</v>
      </c>
      <c r="AR666" s="3267">
        <v>2006</v>
      </c>
      <c r="AS666" s="3267">
        <v>7</v>
      </c>
      <c r="AT666" s="3267">
        <v>14</v>
      </c>
      <c r="AU666" s="3267"/>
      <c r="AV666" s="3267"/>
      <c r="AW666" s="3267" t="s">
        <v>2997</v>
      </c>
      <c r="AX666" s="3267"/>
      <c r="AY666" s="3269"/>
      <c r="AZ666" s="3267" t="s">
        <v>7676</v>
      </c>
      <c r="BA666" s="3267"/>
      <c r="BB666" s="3267"/>
      <c r="BC666" s="3267"/>
      <c r="BD666" s="3267"/>
      <c r="BE666" s="3267"/>
      <c r="BF666" s="3267"/>
      <c r="BG666" s="3307">
        <v>38902</v>
      </c>
      <c r="BH666" s="3267"/>
      <c r="BI666" s="3267" t="s">
        <v>3069</v>
      </c>
      <c r="BJ666" s="3299">
        <v>38908</v>
      </c>
      <c r="BK666" s="3283"/>
      <c r="BL666" s="3267" t="s">
        <v>2998</v>
      </c>
      <c r="BM666" s="3267" t="s">
        <v>2879</v>
      </c>
      <c r="BN666" s="3267"/>
      <c r="BO666" s="3267" t="s">
        <v>3000</v>
      </c>
      <c r="BP666" s="3267"/>
      <c r="BQ666" s="3276" t="e">
        <v>#DIV/0!</v>
      </c>
      <c r="BR666" s="3276" t="e">
        <v>#DIV/0!</v>
      </c>
      <c r="BS666" s="3285"/>
      <c r="BT666" s="3285"/>
      <c r="BU666" s="3285"/>
    </row>
    <row r="667" spans="1:73" hidden="1">
      <c r="A667" s="3268" t="s">
        <v>7679</v>
      </c>
      <c r="B667" s="3267" t="s">
        <v>7680</v>
      </c>
      <c r="C667" s="3269" t="s">
        <v>7681</v>
      </c>
      <c r="D667" s="3269" t="s">
        <v>7682</v>
      </c>
      <c r="E667" s="3267" t="s">
        <v>2985</v>
      </c>
      <c r="F667" s="3268" t="s">
        <v>7683</v>
      </c>
      <c r="G667" s="3267"/>
      <c r="H667" s="3267" t="s">
        <v>3379</v>
      </c>
      <c r="I667" s="3267" t="s">
        <v>3642</v>
      </c>
      <c r="J667" s="3269" t="s">
        <v>3528</v>
      </c>
      <c r="K667" s="3267" t="s">
        <v>7680</v>
      </c>
      <c r="L667" s="3267">
        <v>48.97</v>
      </c>
      <c r="M667" s="3267">
        <v>6</v>
      </c>
      <c r="N667" s="3267" t="s">
        <v>3122</v>
      </c>
      <c r="O667" s="3267"/>
      <c r="P667" s="3267" t="s">
        <v>2963</v>
      </c>
      <c r="Q667" s="3271">
        <v>430000</v>
      </c>
      <c r="R667" s="3267">
        <v>8781</v>
      </c>
      <c r="S667" s="3272">
        <v>36.82</v>
      </c>
      <c r="T667" s="3273">
        <v>368200</v>
      </c>
      <c r="U667" s="3267">
        <v>7519</v>
      </c>
      <c r="V667" s="3289">
        <v>0.2</v>
      </c>
      <c r="W667" s="3272">
        <v>29.45</v>
      </c>
      <c r="X667" s="3275">
        <v>294500</v>
      </c>
      <c r="Y667" s="3267">
        <v>2006</v>
      </c>
      <c r="Z667" s="3276">
        <v>8</v>
      </c>
      <c r="AA667" s="3276">
        <v>2</v>
      </c>
      <c r="AB667" s="3267">
        <v>1100</v>
      </c>
      <c r="AC667" s="3267" t="s">
        <v>2980</v>
      </c>
      <c r="AD667" s="3269" t="s">
        <v>7684</v>
      </c>
      <c r="AE667" s="3267" t="s">
        <v>3238</v>
      </c>
      <c r="AF667" s="3267" t="s">
        <v>2966</v>
      </c>
      <c r="AG667" s="3267" t="s">
        <v>2967</v>
      </c>
      <c r="AH667" s="3267" t="s">
        <v>2968</v>
      </c>
      <c r="AI667" s="3270" t="s">
        <v>2992</v>
      </c>
      <c r="AJ667" s="3284"/>
      <c r="AK667" s="3278">
        <v>8</v>
      </c>
      <c r="AL667" s="3276">
        <v>35</v>
      </c>
      <c r="AM667" s="3267" t="s">
        <v>7685</v>
      </c>
      <c r="AN667" s="3279" t="s">
        <v>3131</v>
      </c>
      <c r="AO667" s="3276" t="s">
        <v>2968</v>
      </c>
      <c r="AP667" s="3276" t="s">
        <v>3238</v>
      </c>
      <c r="AQ667" s="3267" t="s">
        <v>3228</v>
      </c>
      <c r="AR667" s="3276"/>
      <c r="AS667" s="3276"/>
      <c r="AT667" s="3276"/>
      <c r="AU667" s="3276"/>
      <c r="AV667" s="3276" t="s">
        <v>2968</v>
      </c>
      <c r="AW667" s="3276" t="s">
        <v>3171</v>
      </c>
      <c r="AX667" s="3276"/>
      <c r="AY667" s="3291"/>
      <c r="AZ667" s="3267" t="s">
        <v>7686</v>
      </c>
      <c r="BA667" s="3276"/>
      <c r="BB667" s="3291"/>
      <c r="BC667" s="3276"/>
      <c r="BD667" s="3292"/>
      <c r="BE667" s="3276">
        <v>13366100715</v>
      </c>
      <c r="BF667" s="3281"/>
      <c r="BG667" s="3290">
        <v>38896</v>
      </c>
      <c r="BH667" s="3276"/>
      <c r="BI667" s="3267" t="s">
        <v>3238</v>
      </c>
      <c r="BJ667" s="3283">
        <v>38908</v>
      </c>
      <c r="BK667" s="3283"/>
      <c r="BL667" s="3267" t="s">
        <v>2998</v>
      </c>
      <c r="BM667" s="3276" t="s">
        <v>2879</v>
      </c>
      <c r="BN667" s="3276" t="s">
        <v>2999</v>
      </c>
      <c r="BO667" s="3276" t="s">
        <v>3146</v>
      </c>
      <c r="BP667" s="3276"/>
      <c r="BQ667" s="3276" t="e">
        <v>#DIV/0!</v>
      </c>
      <c r="BR667" s="3276" t="e">
        <v>#DIV/0!</v>
      </c>
      <c r="BS667" s="3285"/>
      <c r="BT667" s="3285"/>
      <c r="BU667" s="3285"/>
    </row>
    <row r="668" spans="1:73">
      <c r="A668" s="3267" t="s">
        <v>7687</v>
      </c>
      <c r="B668" s="3267" t="s">
        <v>6751</v>
      </c>
      <c r="C668" s="3269" t="s">
        <v>7688</v>
      </c>
      <c r="D668" s="3269" t="s">
        <v>7689</v>
      </c>
      <c r="E668" s="3268" t="s">
        <v>2985</v>
      </c>
      <c r="F668" s="3268" t="s">
        <v>5306</v>
      </c>
      <c r="G668" s="3267"/>
      <c r="H668" s="3267" t="s">
        <v>3124</v>
      </c>
      <c r="I668" s="3268" t="s">
        <v>3642</v>
      </c>
      <c r="J668" s="3267" t="s">
        <v>3380</v>
      </c>
      <c r="K668" s="3267" t="s">
        <v>7690</v>
      </c>
      <c r="L668" s="3267">
        <v>45.71</v>
      </c>
      <c r="M668" s="3267">
        <v>3</v>
      </c>
      <c r="N668" s="3267" t="s">
        <v>3152</v>
      </c>
      <c r="O668" s="3267"/>
      <c r="P668" s="3267" t="s">
        <v>2963</v>
      </c>
      <c r="Q668" s="3271">
        <v>380000</v>
      </c>
      <c r="R668" s="3267">
        <v>8313</v>
      </c>
      <c r="S668" s="3272">
        <v>30.1</v>
      </c>
      <c r="T668" s="3273">
        <v>301000</v>
      </c>
      <c r="U668" s="3267">
        <v>6585</v>
      </c>
      <c r="V668" s="3289">
        <v>0.2</v>
      </c>
      <c r="W668" s="3272">
        <v>24.08</v>
      </c>
      <c r="X668" s="3275">
        <v>240800</v>
      </c>
      <c r="Y668" s="3276">
        <v>2006</v>
      </c>
      <c r="Z668" s="3276">
        <v>10</v>
      </c>
      <c r="AA668" s="3276">
        <v>27</v>
      </c>
      <c r="AB668" s="3267">
        <v>900</v>
      </c>
      <c r="AC668" s="3267" t="s">
        <v>2980</v>
      </c>
      <c r="AD668" s="3280" t="s">
        <v>7691</v>
      </c>
      <c r="AE668" s="3279" t="s">
        <v>3344</v>
      </c>
      <c r="AF668" s="3268" t="s">
        <v>2966</v>
      </c>
      <c r="AG668" s="3279" t="s">
        <v>2967</v>
      </c>
      <c r="AH668" s="3267" t="s">
        <v>2968</v>
      </c>
      <c r="AI668" s="3279" t="s">
        <v>2992</v>
      </c>
      <c r="AJ668" s="3284"/>
      <c r="AK668" s="3278" t="s">
        <v>3148</v>
      </c>
      <c r="AL668" s="3276">
        <v>43</v>
      </c>
      <c r="AM668" s="3276"/>
      <c r="AN668" s="3279" t="s">
        <v>3114</v>
      </c>
      <c r="AO668" s="3267"/>
      <c r="AP668" s="3279" t="s">
        <v>3305</v>
      </c>
      <c r="AQ668" s="3267" t="s">
        <v>3228</v>
      </c>
      <c r="AR668" s="3276"/>
      <c r="AS668" s="3276"/>
      <c r="AT668" s="3276"/>
      <c r="AU668" s="3276"/>
      <c r="AV668" s="3276"/>
      <c r="AW668" s="3276" t="s">
        <v>3171</v>
      </c>
      <c r="AX668" s="3276"/>
      <c r="AY668" s="3291"/>
      <c r="AZ668" s="3267" t="s">
        <v>7690</v>
      </c>
      <c r="BA668" s="3296"/>
      <c r="BB668" s="3297"/>
      <c r="BC668" s="3296"/>
      <c r="BD668" s="3298"/>
      <c r="BE668" s="3276">
        <v>13671017222</v>
      </c>
      <c r="BF668" s="3281"/>
      <c r="BG668" s="3293">
        <v>38884</v>
      </c>
      <c r="BH668" s="3267" t="s">
        <v>2998</v>
      </c>
      <c r="BI668" s="3314" t="s">
        <v>3305</v>
      </c>
      <c r="BJ668" s="3283">
        <v>38908</v>
      </c>
      <c r="BK668" s="3283"/>
      <c r="BL668" s="3267" t="s">
        <v>3249</v>
      </c>
      <c r="BM668" s="3276" t="s">
        <v>2879</v>
      </c>
      <c r="BN668" s="3276" t="s">
        <v>2999</v>
      </c>
      <c r="BO668" s="3276" t="s">
        <v>3000</v>
      </c>
      <c r="BP668" s="3276"/>
      <c r="BQ668" s="3276" t="e">
        <v>#DIV/0!</v>
      </c>
      <c r="BR668" s="3276" t="e">
        <v>#DIV/0!</v>
      </c>
      <c r="BS668" s="3285"/>
      <c r="BT668" s="3285"/>
      <c r="BU668" s="3285"/>
    </row>
    <row r="669" spans="1:73" hidden="1">
      <c r="A669" s="3267" t="s">
        <v>7692</v>
      </c>
      <c r="B669" s="3267" t="s">
        <v>7693</v>
      </c>
      <c r="C669" s="3269" t="s">
        <v>7694</v>
      </c>
      <c r="D669" s="3269" t="s">
        <v>7695</v>
      </c>
      <c r="E669" s="3267" t="s">
        <v>2985</v>
      </c>
      <c r="F669" s="3267" t="s">
        <v>3702</v>
      </c>
      <c r="G669" s="3267"/>
      <c r="H669" s="3267" t="s">
        <v>3703</v>
      </c>
      <c r="I669" s="3267"/>
      <c r="J669" s="3269" t="s">
        <v>7696</v>
      </c>
      <c r="K669" s="3267" t="s">
        <v>7693</v>
      </c>
      <c r="L669" s="3267">
        <v>88.68</v>
      </c>
      <c r="M669" s="3267">
        <v>2</v>
      </c>
      <c r="N669" s="3267" t="s">
        <v>3122</v>
      </c>
      <c r="O669" s="3267"/>
      <c r="P669" s="3267" t="s">
        <v>2963</v>
      </c>
      <c r="Q669" s="3271">
        <v>450000</v>
      </c>
      <c r="R669" s="3267">
        <v>5074</v>
      </c>
      <c r="S669" s="3272">
        <v>44.06</v>
      </c>
      <c r="T669" s="3273">
        <v>440600</v>
      </c>
      <c r="U669" s="3267">
        <v>4969</v>
      </c>
      <c r="V669" s="3289">
        <v>0.2</v>
      </c>
      <c r="W669" s="3272">
        <v>35.24</v>
      </c>
      <c r="X669" s="3275">
        <v>352400</v>
      </c>
      <c r="Y669" s="3276">
        <v>2006</v>
      </c>
      <c r="Z669" s="3276">
        <v>7</v>
      </c>
      <c r="AA669" s="3276">
        <v>17</v>
      </c>
      <c r="AB669" s="3267">
        <v>1320</v>
      </c>
      <c r="AC669" s="3267" t="s">
        <v>2980</v>
      </c>
      <c r="AD669" s="3304">
        <v>91302006070419</v>
      </c>
      <c r="AE669" s="3267" t="s">
        <v>2991</v>
      </c>
      <c r="AF669" s="3267" t="s">
        <v>2966</v>
      </c>
      <c r="AG669" s="3267" t="s">
        <v>2967</v>
      </c>
      <c r="AH669" s="3267"/>
      <c r="AI669" s="3267" t="s">
        <v>2992</v>
      </c>
      <c r="AJ669" s="3284"/>
      <c r="AK669" s="3316" t="s">
        <v>2993</v>
      </c>
      <c r="AL669" s="3267">
        <v>55</v>
      </c>
      <c r="AM669" s="3267" t="s">
        <v>7697</v>
      </c>
      <c r="AN669" s="3276" t="s">
        <v>3114</v>
      </c>
      <c r="AO669" s="3276"/>
      <c r="AP669" s="3276" t="s">
        <v>2991</v>
      </c>
      <c r="AQ669" s="3267" t="s">
        <v>3113</v>
      </c>
      <c r="AR669" s="3276"/>
      <c r="AS669" s="3276"/>
      <c r="AT669" s="3276"/>
      <c r="AU669" s="3276"/>
      <c r="AV669" s="3276"/>
      <c r="AW669" s="3276" t="s">
        <v>2997</v>
      </c>
      <c r="AX669" s="3276"/>
      <c r="AY669" s="3291"/>
      <c r="AZ669" s="3276"/>
      <c r="BA669" s="3276"/>
      <c r="BB669" s="3291"/>
      <c r="BC669" s="3276"/>
      <c r="BD669" s="3292"/>
      <c r="BE669" s="3276"/>
      <c r="BF669" s="3281"/>
      <c r="BG669" s="3299">
        <v>38895</v>
      </c>
      <c r="BH669" s="3276"/>
      <c r="BI669" s="3267" t="s">
        <v>2991</v>
      </c>
      <c r="BJ669" s="3299">
        <v>38908</v>
      </c>
      <c r="BK669" s="3283"/>
      <c r="BL669" s="3267" t="s">
        <v>2998</v>
      </c>
      <c r="BM669" s="3276" t="s">
        <v>2879</v>
      </c>
      <c r="BN669" s="3267" t="s">
        <v>3111</v>
      </c>
      <c r="BO669" s="3267" t="s">
        <v>3000</v>
      </c>
      <c r="BP669" s="3276"/>
      <c r="BQ669" s="3276" t="e">
        <v>#DIV/0!</v>
      </c>
      <c r="BR669" s="3276" t="e">
        <v>#DIV/0!</v>
      </c>
      <c r="BS669" s="3285"/>
      <c r="BT669" s="3285"/>
      <c r="BU669" s="3285"/>
    </row>
    <row r="670" spans="1:73" hidden="1">
      <c r="A670" s="3267" t="s">
        <v>7698</v>
      </c>
      <c r="B670" s="3267" t="s">
        <v>4900</v>
      </c>
      <c r="C670" s="3269" t="s">
        <v>7699</v>
      </c>
      <c r="D670" s="3268">
        <v>13671012298</v>
      </c>
      <c r="E670" s="3267" t="s">
        <v>2985</v>
      </c>
      <c r="F670" s="3267" t="s">
        <v>3533</v>
      </c>
      <c r="G670" s="3267"/>
      <c r="H670" s="3270" t="s">
        <v>3263</v>
      </c>
      <c r="I670" s="3268" t="s">
        <v>6375</v>
      </c>
      <c r="J670" s="3270" t="s">
        <v>7700</v>
      </c>
      <c r="K670" s="3267" t="s">
        <v>4900</v>
      </c>
      <c r="L670" s="3286">
        <v>46.39</v>
      </c>
      <c r="M670" s="3270">
        <v>14</v>
      </c>
      <c r="N670" s="3267" t="s">
        <v>3535</v>
      </c>
      <c r="O670" s="3267"/>
      <c r="P670" s="3267" t="s">
        <v>2963</v>
      </c>
      <c r="Q670" s="3287">
        <v>420000</v>
      </c>
      <c r="R670" s="3267">
        <v>9054</v>
      </c>
      <c r="S670" s="3272">
        <v>33.049999999999997</v>
      </c>
      <c r="T670" s="3273">
        <v>330500</v>
      </c>
      <c r="U670" s="3287">
        <v>7125</v>
      </c>
      <c r="V670" s="3274">
        <v>0.2</v>
      </c>
      <c r="W670" s="3272">
        <v>26.44</v>
      </c>
      <c r="X670" s="3275">
        <v>264400</v>
      </c>
      <c r="Y670" s="3267">
        <v>2006</v>
      </c>
      <c r="Z670" s="3267">
        <v>8</v>
      </c>
      <c r="AA670" s="3267">
        <v>24</v>
      </c>
      <c r="AB670" s="3267">
        <v>990</v>
      </c>
      <c r="AC670" s="3267" t="s">
        <v>2980</v>
      </c>
      <c r="AD670" s="3269" t="s">
        <v>7701</v>
      </c>
      <c r="AE670" s="3267" t="s">
        <v>2991</v>
      </c>
      <c r="AF670" s="3267" t="s">
        <v>2966</v>
      </c>
      <c r="AG670" s="3267" t="s">
        <v>2967</v>
      </c>
      <c r="AH670" s="3267"/>
      <c r="AI670" s="3267" t="s">
        <v>2992</v>
      </c>
      <c r="AJ670" s="3290"/>
      <c r="AK670" s="3267" t="s">
        <v>4256</v>
      </c>
      <c r="AL670" s="3267">
        <v>48</v>
      </c>
      <c r="AM670" s="3267" t="s">
        <v>7702</v>
      </c>
      <c r="AN670" s="3267" t="s">
        <v>2994</v>
      </c>
      <c r="AO670" s="3267" t="s">
        <v>2968</v>
      </c>
      <c r="AP670" s="3267" t="s">
        <v>2991</v>
      </c>
      <c r="AQ670" s="3267" t="s">
        <v>3228</v>
      </c>
      <c r="AR670" s="3276">
        <v>2006</v>
      </c>
      <c r="AS670" s="3276">
        <v>8</v>
      </c>
      <c r="AT670" s="3276">
        <v>24</v>
      </c>
      <c r="AU670" s="3267"/>
      <c r="AV670" s="3267"/>
      <c r="AW670" s="3267" t="s">
        <v>3119</v>
      </c>
      <c r="AX670" s="3267" t="s">
        <v>2968</v>
      </c>
      <c r="AY670" s="3279"/>
      <c r="AZ670" s="3267" t="s">
        <v>7703</v>
      </c>
      <c r="BA670" s="3267"/>
      <c r="BB670" s="3267"/>
      <c r="BC670" s="3267"/>
      <c r="BD670" s="3267"/>
      <c r="BE670" s="3267"/>
      <c r="BF670" s="3267"/>
      <c r="BG670" s="3290">
        <v>38908</v>
      </c>
      <c r="BH670" s="3267"/>
      <c r="BI670" s="3267" t="s">
        <v>2991</v>
      </c>
      <c r="BJ670" s="3284">
        <v>38908</v>
      </c>
      <c r="BK670" s="3284"/>
      <c r="BL670" s="3276" t="s">
        <v>2998</v>
      </c>
      <c r="BM670" s="3267" t="s">
        <v>2879</v>
      </c>
      <c r="BN670" s="3267" t="s">
        <v>2999</v>
      </c>
      <c r="BO670" s="3267" t="s">
        <v>3000</v>
      </c>
      <c r="BP670" s="3267"/>
      <c r="BQ670" s="3276" t="e">
        <v>#DIV/0!</v>
      </c>
      <c r="BR670" s="3276" t="e">
        <v>#DIV/0!</v>
      </c>
      <c r="BS670" s="3285"/>
      <c r="BT670" s="3285"/>
      <c r="BU670" s="3285"/>
    </row>
    <row r="671" spans="1:73" hidden="1">
      <c r="A671" s="3267" t="s">
        <v>7704</v>
      </c>
      <c r="B671" s="3267" t="s">
        <v>7705</v>
      </c>
      <c r="C671" s="3269" t="s">
        <v>7706</v>
      </c>
      <c r="D671" s="3269" t="s">
        <v>7707</v>
      </c>
      <c r="E671" s="3268" t="s">
        <v>2985</v>
      </c>
      <c r="F671" s="3268" t="s">
        <v>7708</v>
      </c>
      <c r="G671" s="3267"/>
      <c r="H671" s="3267" t="s">
        <v>3402</v>
      </c>
      <c r="I671" s="3268" t="s">
        <v>2968</v>
      </c>
      <c r="J671" s="3267" t="s">
        <v>5160</v>
      </c>
      <c r="K671" s="3267" t="s">
        <v>7709</v>
      </c>
      <c r="L671" s="3267">
        <v>83.98</v>
      </c>
      <c r="M671" s="3267">
        <v>7</v>
      </c>
      <c r="N671" s="3267" t="s">
        <v>3125</v>
      </c>
      <c r="O671" s="3267"/>
      <c r="P671" s="3267" t="s">
        <v>2963</v>
      </c>
      <c r="Q671" s="3271">
        <v>620000</v>
      </c>
      <c r="R671" s="3267">
        <v>7383</v>
      </c>
      <c r="S671" s="3272">
        <v>58.04</v>
      </c>
      <c r="T671" s="3273">
        <v>580400</v>
      </c>
      <c r="U671" s="3267">
        <v>6912</v>
      </c>
      <c r="V671" s="3274">
        <v>0.2</v>
      </c>
      <c r="W671" s="3272">
        <v>46.43</v>
      </c>
      <c r="X671" s="3275">
        <v>464300</v>
      </c>
      <c r="Y671" s="3276">
        <v>2006</v>
      </c>
      <c r="Z671" s="3276">
        <v>7</v>
      </c>
      <c r="AA671" s="3276">
        <v>13</v>
      </c>
      <c r="AB671" s="3267">
        <v>1500</v>
      </c>
      <c r="AC671" s="3267" t="s">
        <v>2980</v>
      </c>
      <c r="AD671" s="3280" t="s">
        <v>7710</v>
      </c>
      <c r="AE671" s="3279" t="s">
        <v>3295</v>
      </c>
      <c r="AF671" s="3268" t="s">
        <v>2966</v>
      </c>
      <c r="AG671" s="3279" t="s">
        <v>2967</v>
      </c>
      <c r="AH671" s="3267"/>
      <c r="AI671" s="3279" t="s">
        <v>2992</v>
      </c>
      <c r="AJ671" s="3284"/>
      <c r="AK671" s="3278">
        <v>7</v>
      </c>
      <c r="AL671" s="3276">
        <v>50</v>
      </c>
      <c r="AM671" s="3276"/>
      <c r="AN671" s="3279" t="s">
        <v>3140</v>
      </c>
      <c r="AO671" s="3267"/>
      <c r="AP671" s="3279" t="s">
        <v>3305</v>
      </c>
      <c r="AQ671" s="3276" t="s">
        <v>3113</v>
      </c>
      <c r="AR671" s="3276"/>
      <c r="AS671" s="3276"/>
      <c r="AT671" s="3276"/>
      <c r="AU671" s="3276"/>
      <c r="AV671" s="3276"/>
      <c r="AW671" s="3276" t="s">
        <v>3171</v>
      </c>
      <c r="AX671" s="3276"/>
      <c r="AY671" s="3291"/>
      <c r="AZ671" s="3267" t="s">
        <v>7709</v>
      </c>
      <c r="BA671" s="3296"/>
      <c r="BB671" s="3297"/>
      <c r="BC671" s="3296"/>
      <c r="BD671" s="3298"/>
      <c r="BE671" s="3276"/>
      <c r="BF671" s="3281"/>
      <c r="BG671" s="3293">
        <v>38905</v>
      </c>
      <c r="BH671" s="3267" t="s">
        <v>2998</v>
      </c>
      <c r="BI671" s="3314" t="s">
        <v>3305</v>
      </c>
      <c r="BJ671" s="3283">
        <v>38909</v>
      </c>
      <c r="BK671" s="3283"/>
      <c r="BL671" s="3267" t="s">
        <v>3249</v>
      </c>
      <c r="BM671" s="3276" t="s">
        <v>2879</v>
      </c>
      <c r="BN671" s="3276" t="s">
        <v>2999</v>
      </c>
      <c r="BO671" s="3276" t="s">
        <v>3000</v>
      </c>
      <c r="BP671" s="3276"/>
      <c r="BQ671" s="3276" t="e">
        <v>#DIV/0!</v>
      </c>
      <c r="BR671" s="3276" t="e">
        <v>#DIV/0!</v>
      </c>
      <c r="BS671" s="3285"/>
      <c r="BT671" s="3285"/>
      <c r="BU671" s="3285"/>
    </row>
    <row r="672" spans="1:73" hidden="1">
      <c r="A672" s="3267" t="s">
        <v>7711</v>
      </c>
      <c r="B672" s="3267" t="s">
        <v>7712</v>
      </c>
      <c r="C672" s="3269" t="s">
        <v>7713</v>
      </c>
      <c r="D672" s="3269" t="s">
        <v>7714</v>
      </c>
      <c r="E672" s="3268" t="s">
        <v>2985</v>
      </c>
      <c r="F672" s="3268" t="s">
        <v>7708</v>
      </c>
      <c r="G672" s="3267"/>
      <c r="H672" s="3267" t="s">
        <v>3402</v>
      </c>
      <c r="I672" s="3268" t="s">
        <v>2968</v>
      </c>
      <c r="J672" s="3267" t="s">
        <v>5475</v>
      </c>
      <c r="K672" s="3267" t="s">
        <v>7709</v>
      </c>
      <c r="L672" s="3267">
        <v>88.42</v>
      </c>
      <c r="M672" s="3267">
        <v>7</v>
      </c>
      <c r="N672" s="3267" t="s">
        <v>3122</v>
      </c>
      <c r="O672" s="3267"/>
      <c r="P672" s="3267" t="s">
        <v>2963</v>
      </c>
      <c r="Q672" s="3271">
        <v>700000</v>
      </c>
      <c r="R672" s="3267">
        <v>7917</v>
      </c>
      <c r="S672" s="3272">
        <v>63.52</v>
      </c>
      <c r="T672" s="3273">
        <v>635200</v>
      </c>
      <c r="U672" s="3267">
        <v>7184</v>
      </c>
      <c r="V672" s="3274">
        <v>0.2</v>
      </c>
      <c r="W672" s="3272">
        <v>50.81</v>
      </c>
      <c r="X672" s="3275">
        <v>508100</v>
      </c>
      <c r="Y672" s="3276">
        <v>2006</v>
      </c>
      <c r="Z672" s="3276">
        <v>7</v>
      </c>
      <c r="AA672" s="3276">
        <v>13</v>
      </c>
      <c r="AB672" s="3267">
        <v>1500</v>
      </c>
      <c r="AC672" s="3267" t="s">
        <v>2980</v>
      </c>
      <c r="AD672" s="3280" t="s">
        <v>7715</v>
      </c>
      <c r="AE672" s="3279" t="s">
        <v>3295</v>
      </c>
      <c r="AF672" s="3268" t="s">
        <v>2966</v>
      </c>
      <c r="AG672" s="3279" t="s">
        <v>2967</v>
      </c>
      <c r="AH672" s="3267"/>
      <c r="AI672" s="3279" t="s">
        <v>2992</v>
      </c>
      <c r="AJ672" s="3284"/>
      <c r="AK672" s="3278">
        <v>7</v>
      </c>
      <c r="AL672" s="3276">
        <v>50</v>
      </c>
      <c r="AM672" s="3276"/>
      <c r="AN672" s="3279" t="s">
        <v>3140</v>
      </c>
      <c r="AO672" s="3267"/>
      <c r="AP672" s="3279" t="s">
        <v>3305</v>
      </c>
      <c r="AQ672" s="3276" t="s">
        <v>3113</v>
      </c>
      <c r="AR672" s="3276"/>
      <c r="AS672" s="3276"/>
      <c r="AT672" s="3276"/>
      <c r="AU672" s="3276"/>
      <c r="AV672" s="3276"/>
      <c r="AW672" s="3276" t="s">
        <v>3171</v>
      </c>
      <c r="AX672" s="3276"/>
      <c r="AY672" s="3291"/>
      <c r="AZ672" s="3267" t="s">
        <v>7709</v>
      </c>
      <c r="BA672" s="3296"/>
      <c r="BB672" s="3297"/>
      <c r="BC672" s="3296"/>
      <c r="BD672" s="3298"/>
      <c r="BE672" s="3276"/>
      <c r="BF672" s="3281"/>
      <c r="BG672" s="3293">
        <v>38905</v>
      </c>
      <c r="BH672" s="3267" t="s">
        <v>2998</v>
      </c>
      <c r="BI672" s="3314" t="s">
        <v>3305</v>
      </c>
      <c r="BJ672" s="3283">
        <v>38909</v>
      </c>
      <c r="BK672" s="3283"/>
      <c r="BL672" s="3267" t="s">
        <v>3249</v>
      </c>
      <c r="BM672" s="3276" t="s">
        <v>2879</v>
      </c>
      <c r="BN672" s="3276" t="s">
        <v>2999</v>
      </c>
      <c r="BO672" s="3276" t="s">
        <v>3000</v>
      </c>
      <c r="BP672" s="3276"/>
      <c r="BQ672" s="3276" t="e">
        <v>#DIV/0!</v>
      </c>
      <c r="BR672" s="3276" t="e">
        <v>#DIV/0!</v>
      </c>
      <c r="BS672" s="3285"/>
      <c r="BT672" s="3285"/>
      <c r="BU672" s="3285"/>
    </row>
    <row r="673" spans="1:73" hidden="1">
      <c r="A673" s="3267" t="s">
        <v>7716</v>
      </c>
      <c r="B673" s="3267" t="s">
        <v>7717</v>
      </c>
      <c r="C673" s="3269" t="s">
        <v>7718</v>
      </c>
      <c r="D673" s="3269" t="s">
        <v>7719</v>
      </c>
      <c r="E673" s="3267" t="s">
        <v>2985</v>
      </c>
      <c r="F673" s="3308" t="s">
        <v>4833</v>
      </c>
      <c r="G673" s="3267"/>
      <c r="H673" s="3267" t="s">
        <v>4597</v>
      </c>
      <c r="I673" s="3267"/>
      <c r="J673" s="3269" t="s">
        <v>7720</v>
      </c>
      <c r="K673" s="3267" t="s">
        <v>7721</v>
      </c>
      <c r="L673" s="3267">
        <v>143.88</v>
      </c>
      <c r="M673" s="3267">
        <v>2</v>
      </c>
      <c r="N673" s="3268" t="s">
        <v>3129</v>
      </c>
      <c r="O673" s="3267">
        <v>128.47999999999999</v>
      </c>
      <c r="P673" s="3267" t="s">
        <v>2963</v>
      </c>
      <c r="Q673" s="3271">
        <v>730000</v>
      </c>
      <c r="R673" s="3267">
        <v>5074</v>
      </c>
      <c r="S673" s="3272">
        <v>72.900000000000006</v>
      </c>
      <c r="T673" s="3273">
        <v>729000</v>
      </c>
      <c r="U673" s="3267">
        <v>5067</v>
      </c>
      <c r="V673" s="3289">
        <v>0.3</v>
      </c>
      <c r="W673" s="3272">
        <v>51.03</v>
      </c>
      <c r="X673" s="3275">
        <v>510300</v>
      </c>
      <c r="Y673" s="3276">
        <v>2006</v>
      </c>
      <c r="Z673" s="3276">
        <v>8</v>
      </c>
      <c r="AA673" s="3276">
        <v>3</v>
      </c>
      <c r="AB673" s="3267">
        <v>1500</v>
      </c>
      <c r="AC673" s="3267" t="s">
        <v>2980</v>
      </c>
      <c r="AD673" s="3269" t="s">
        <v>7722</v>
      </c>
      <c r="AE673" s="3276" t="s">
        <v>3069</v>
      </c>
      <c r="AF673" s="3267" t="s">
        <v>2966</v>
      </c>
      <c r="AG673" s="3267" t="s">
        <v>2967</v>
      </c>
      <c r="AH673" s="3267"/>
      <c r="AI673" s="3267" t="s">
        <v>3295</v>
      </c>
      <c r="AJ673" s="3284"/>
      <c r="AK673" s="3278" t="s">
        <v>4256</v>
      </c>
      <c r="AL673" s="3276" t="s">
        <v>5996</v>
      </c>
      <c r="AM673" s="3276" t="s">
        <v>7723</v>
      </c>
      <c r="AN673" s="3279" t="s">
        <v>3131</v>
      </c>
      <c r="AO673" s="3276"/>
      <c r="AP673" s="3276" t="s">
        <v>3069</v>
      </c>
      <c r="AQ673" s="3267" t="s">
        <v>3228</v>
      </c>
      <c r="AR673" s="3276">
        <v>2006</v>
      </c>
      <c r="AS673" s="3276">
        <v>8</v>
      </c>
      <c r="AT673" s="3276">
        <v>3</v>
      </c>
      <c r="AU673" s="3276"/>
      <c r="AV673" s="3276"/>
      <c r="AW673" s="3276" t="s">
        <v>3171</v>
      </c>
      <c r="AX673" s="3276"/>
      <c r="AY673" s="3291"/>
      <c r="AZ673" s="3276" t="s">
        <v>7721</v>
      </c>
      <c r="BA673" s="3276"/>
      <c r="BB673" s="3291"/>
      <c r="BC673" s="3276"/>
      <c r="BD673" s="3292"/>
      <c r="BE673" s="3276"/>
      <c r="BF673" s="3281"/>
      <c r="BG673" s="3299">
        <v>38857</v>
      </c>
      <c r="BH673" s="3276"/>
      <c r="BI673" s="3276" t="s">
        <v>3069</v>
      </c>
      <c r="BJ673" s="3299">
        <v>38909</v>
      </c>
      <c r="BK673" s="3283"/>
      <c r="BL673" s="3267" t="s">
        <v>2998</v>
      </c>
      <c r="BM673" s="3276" t="s">
        <v>2879</v>
      </c>
      <c r="BN673" s="3276" t="s">
        <v>3111</v>
      </c>
      <c r="BO673" s="3276" t="s">
        <v>3146</v>
      </c>
      <c r="BP673" s="3276"/>
      <c r="BQ673" s="3276">
        <v>5674</v>
      </c>
      <c r="BR673" s="3276">
        <v>5682</v>
      </c>
      <c r="BS673" s="3285"/>
      <c r="BT673" s="3285"/>
      <c r="BU673" s="3285"/>
    </row>
    <row r="674" spans="1:73" hidden="1">
      <c r="A674" s="3268" t="s">
        <v>7724</v>
      </c>
      <c r="B674" s="3267" t="s">
        <v>4324</v>
      </c>
      <c r="C674" s="3267" t="s">
        <v>4325</v>
      </c>
      <c r="D674" s="3267" t="s">
        <v>4326</v>
      </c>
      <c r="E674" s="3267" t="s">
        <v>2985</v>
      </c>
      <c r="F674" s="3267" t="s">
        <v>7725</v>
      </c>
      <c r="G674" s="3267"/>
      <c r="H674" s="3267" t="s">
        <v>3139</v>
      </c>
      <c r="I674" s="3267"/>
      <c r="J674" s="3267" t="s">
        <v>7726</v>
      </c>
      <c r="K674" s="3267" t="s">
        <v>4324</v>
      </c>
      <c r="L674" s="3267">
        <v>97.7</v>
      </c>
      <c r="M674" s="3267">
        <v>3</v>
      </c>
      <c r="N674" s="3267" t="s">
        <v>3125</v>
      </c>
      <c r="O674" s="3267"/>
      <c r="P674" s="3267" t="s">
        <v>2963</v>
      </c>
      <c r="Q674" s="3267">
        <v>700000</v>
      </c>
      <c r="R674" s="3310">
        <v>7165</v>
      </c>
      <c r="S674" s="3311">
        <v>57.85</v>
      </c>
      <c r="T674" s="3312">
        <v>578500</v>
      </c>
      <c r="U674" s="3267">
        <v>5922</v>
      </c>
      <c r="V674" s="3289">
        <v>0.3</v>
      </c>
      <c r="W674" s="3272">
        <v>40.49</v>
      </c>
      <c r="X674" s="3312">
        <v>404900</v>
      </c>
      <c r="Y674" s="3267">
        <v>2006</v>
      </c>
      <c r="Z674" s="3294">
        <v>7</v>
      </c>
      <c r="AA674" s="3294">
        <v>31</v>
      </c>
      <c r="AB674" s="3270">
        <v>1500</v>
      </c>
      <c r="AC674" s="3267" t="s">
        <v>2980</v>
      </c>
      <c r="AD674" s="3304">
        <v>91302006070480</v>
      </c>
      <c r="AE674" s="3268" t="s">
        <v>3304</v>
      </c>
      <c r="AF674" s="3267" t="s">
        <v>2966</v>
      </c>
      <c r="AG674" s="3267" t="s">
        <v>2967</v>
      </c>
      <c r="AH674" s="3267"/>
      <c r="AI674" s="3267" t="s">
        <v>2992</v>
      </c>
      <c r="AJ674" s="3267"/>
      <c r="AK674" s="3278">
        <v>7</v>
      </c>
      <c r="AL674" s="3267">
        <v>10</v>
      </c>
      <c r="AM674" s="3267" t="s">
        <v>7727</v>
      </c>
      <c r="AN674" s="3279" t="s">
        <v>3099</v>
      </c>
      <c r="AO674" s="3267"/>
      <c r="AP674" s="3326" t="s">
        <v>3537</v>
      </c>
      <c r="AQ674" s="3267" t="s">
        <v>3228</v>
      </c>
      <c r="AR674" s="3267"/>
      <c r="AS674" s="3267"/>
      <c r="AT674" s="3267"/>
      <c r="AU674" s="3267"/>
      <c r="AV674" s="3267"/>
      <c r="AW674" s="3267" t="s">
        <v>2997</v>
      </c>
      <c r="AX674" s="3267"/>
      <c r="AY674" s="3267"/>
      <c r="AZ674" s="3267" t="s">
        <v>7728</v>
      </c>
      <c r="BA674" s="3267"/>
      <c r="BB674" s="3267"/>
      <c r="BC674" s="3267"/>
      <c r="BD674" s="3267"/>
      <c r="BE674" s="3267">
        <v>13520132939</v>
      </c>
      <c r="BF674" s="3267"/>
      <c r="BG674" s="3307">
        <v>38866</v>
      </c>
      <c r="BH674" s="3267" t="s">
        <v>2998</v>
      </c>
      <c r="BI674" s="3268" t="s">
        <v>3537</v>
      </c>
      <c r="BJ674" s="3299">
        <v>38909</v>
      </c>
      <c r="BK674" s="3267"/>
      <c r="BL674" s="3267" t="s">
        <v>2998</v>
      </c>
      <c r="BM674" s="3267" t="s">
        <v>2879</v>
      </c>
      <c r="BN674" s="3267" t="s">
        <v>3111</v>
      </c>
      <c r="BO674" s="3267" t="s">
        <v>3146</v>
      </c>
      <c r="BP674" s="3267"/>
      <c r="BQ674" s="3294" t="e">
        <v>#DIV/0!</v>
      </c>
      <c r="BR674" s="3294" t="e">
        <v>#DIV/0!</v>
      </c>
      <c r="BS674" s="3285"/>
      <c r="BT674" s="3285"/>
      <c r="BU674" s="3285"/>
    </row>
    <row r="675" spans="1:73" hidden="1">
      <c r="A675" s="3267" t="s">
        <v>7729</v>
      </c>
      <c r="B675" s="3267" t="s">
        <v>7730</v>
      </c>
      <c r="C675" s="3269" t="s">
        <v>7731</v>
      </c>
      <c r="D675" s="3269">
        <v>13301128619</v>
      </c>
      <c r="E675" s="3268" t="s">
        <v>2985</v>
      </c>
      <c r="F675" s="3268" t="s">
        <v>3324</v>
      </c>
      <c r="G675" s="3267"/>
      <c r="H675" s="3267" t="s">
        <v>3500</v>
      </c>
      <c r="I675" s="3268"/>
      <c r="J675" s="3267" t="s">
        <v>7732</v>
      </c>
      <c r="K675" s="3267" t="s">
        <v>7733</v>
      </c>
      <c r="L675" s="3267">
        <v>105.25</v>
      </c>
      <c r="M675" s="3270">
        <v>20</v>
      </c>
      <c r="N675" s="3267" t="s">
        <v>3098</v>
      </c>
      <c r="O675" s="3267"/>
      <c r="P675" s="3267" t="s">
        <v>2963</v>
      </c>
      <c r="Q675" s="3271">
        <v>660000</v>
      </c>
      <c r="R675" s="3288">
        <v>6271</v>
      </c>
      <c r="S675" s="3272">
        <v>59.57</v>
      </c>
      <c r="T675" s="3273">
        <v>595700</v>
      </c>
      <c r="U675" s="3267">
        <v>5660</v>
      </c>
      <c r="V675" s="3274">
        <v>0.3</v>
      </c>
      <c r="W675" s="3272">
        <v>41.69</v>
      </c>
      <c r="X675" s="3273">
        <v>416900</v>
      </c>
      <c r="Y675" s="3267">
        <v>2006</v>
      </c>
      <c r="Z675" s="3276">
        <v>7</v>
      </c>
      <c r="AA675" s="3276">
        <v>20</v>
      </c>
      <c r="AB675" s="3267">
        <v>1500</v>
      </c>
      <c r="AC675" s="3267" t="s">
        <v>2980</v>
      </c>
      <c r="AD675" s="3269" t="s">
        <v>7734</v>
      </c>
      <c r="AE675" s="3279" t="s">
        <v>3245</v>
      </c>
      <c r="AF675" s="3268" t="s">
        <v>2966</v>
      </c>
      <c r="AG675" s="3279" t="s">
        <v>2967</v>
      </c>
      <c r="AH675" s="3267"/>
      <c r="AI675" s="3279" t="s">
        <v>2992</v>
      </c>
      <c r="AJ675" s="3284"/>
      <c r="AK675" s="3278">
        <v>7</v>
      </c>
      <c r="AL675" s="3276">
        <v>51</v>
      </c>
      <c r="AM675" s="3267"/>
      <c r="AN675" s="3279" t="s">
        <v>3140</v>
      </c>
      <c r="AO675" s="3267"/>
      <c r="AP675" s="3279" t="s">
        <v>3305</v>
      </c>
      <c r="AQ675" s="3276" t="s">
        <v>3113</v>
      </c>
      <c r="AR675" s="3276"/>
      <c r="AS675" s="3276"/>
      <c r="AT675" s="3276"/>
      <c r="AU675" s="3276"/>
      <c r="AV675" s="3276"/>
      <c r="AW675" s="3276" t="s">
        <v>3119</v>
      </c>
      <c r="AX675" s="3276"/>
      <c r="AY675" s="3291"/>
      <c r="AZ675" s="3267" t="s">
        <v>7733</v>
      </c>
      <c r="BA675" s="3296"/>
      <c r="BB675" s="3297"/>
      <c r="BC675" s="3296"/>
      <c r="BD675" s="3298"/>
      <c r="BE675" s="3276">
        <v>13901072203</v>
      </c>
      <c r="BF675" s="3281"/>
      <c r="BG675" s="3293">
        <v>38902</v>
      </c>
      <c r="BH675" s="3267" t="s">
        <v>2998</v>
      </c>
      <c r="BI675" s="3314" t="s">
        <v>3305</v>
      </c>
      <c r="BJ675" s="3283">
        <v>38909</v>
      </c>
      <c r="BK675" s="3283"/>
      <c r="BL675" s="3267" t="s">
        <v>3249</v>
      </c>
      <c r="BM675" s="3276" t="s">
        <v>2879</v>
      </c>
      <c r="BN675" s="3276" t="s">
        <v>2999</v>
      </c>
      <c r="BO675" s="3276" t="s">
        <v>3146</v>
      </c>
      <c r="BP675" s="3276"/>
      <c r="BQ675" s="3276" t="e">
        <v>#DIV/0!</v>
      </c>
      <c r="BR675" s="3276" t="e">
        <v>#DIV/0!</v>
      </c>
      <c r="BS675" s="3285"/>
      <c r="BT675" s="3285"/>
      <c r="BU675" s="3285"/>
    </row>
    <row r="676" spans="1:73" hidden="1">
      <c r="A676" s="3267" t="s">
        <v>7735</v>
      </c>
      <c r="B676" s="3267" t="s">
        <v>7736</v>
      </c>
      <c r="C676" s="3269" t="s">
        <v>7737</v>
      </c>
      <c r="D676" s="3269" t="s">
        <v>7738</v>
      </c>
      <c r="E676" s="3268" t="s">
        <v>2985</v>
      </c>
      <c r="F676" s="3268" t="s">
        <v>7739</v>
      </c>
      <c r="G676" s="3267"/>
      <c r="H676" s="3268" t="s">
        <v>3139</v>
      </c>
      <c r="I676" s="3268"/>
      <c r="J676" s="3267" t="s">
        <v>3595</v>
      </c>
      <c r="K676" s="3267" t="s">
        <v>7740</v>
      </c>
      <c r="L676" s="3267">
        <v>138.11000000000001</v>
      </c>
      <c r="M676" s="3270">
        <v>28</v>
      </c>
      <c r="N676" s="3267" t="s">
        <v>3303</v>
      </c>
      <c r="O676" s="3267">
        <v>115.74</v>
      </c>
      <c r="P676" s="3267" t="s">
        <v>2963</v>
      </c>
      <c r="Q676" s="3271">
        <v>1100000</v>
      </c>
      <c r="R676" s="3267">
        <v>7965</v>
      </c>
      <c r="S676" s="3272">
        <v>93.15</v>
      </c>
      <c r="T676" s="3273">
        <v>931500</v>
      </c>
      <c r="U676" s="3267">
        <v>6745</v>
      </c>
      <c r="V676" s="3274">
        <v>0.3</v>
      </c>
      <c r="W676" s="3272">
        <v>65.2</v>
      </c>
      <c r="X676" s="3275">
        <v>652000</v>
      </c>
      <c r="Y676" s="3276">
        <v>2006</v>
      </c>
      <c r="Z676" s="3276">
        <v>7</v>
      </c>
      <c r="AA676" s="3276">
        <v>18</v>
      </c>
      <c r="AB676" s="3267">
        <v>1500</v>
      </c>
      <c r="AC676" s="3267" t="s">
        <v>2980</v>
      </c>
      <c r="AD676" s="3280" t="s">
        <v>7741</v>
      </c>
      <c r="AE676" s="3279" t="s">
        <v>3344</v>
      </c>
      <c r="AF676" s="3268" t="s">
        <v>2966</v>
      </c>
      <c r="AG676" s="3279" t="s">
        <v>2967</v>
      </c>
      <c r="AH676" s="3268" t="s">
        <v>2968</v>
      </c>
      <c r="AI676" s="3279" t="s">
        <v>2992</v>
      </c>
      <c r="AJ676" s="3284"/>
      <c r="AK676" s="3278">
        <v>7</v>
      </c>
      <c r="AL676" s="3276">
        <v>58</v>
      </c>
      <c r="AM676" s="3276"/>
      <c r="AN676" s="3279" t="s">
        <v>3140</v>
      </c>
      <c r="AO676" s="3267"/>
      <c r="AP676" s="3279" t="s">
        <v>3305</v>
      </c>
      <c r="AQ676" s="3276" t="s">
        <v>3113</v>
      </c>
      <c r="AR676" s="3276"/>
      <c r="AS676" s="3276"/>
      <c r="AT676" s="3276"/>
      <c r="AU676" s="3276"/>
      <c r="AV676" s="3276"/>
      <c r="AW676" s="3276" t="s">
        <v>3171</v>
      </c>
      <c r="AX676" s="3276"/>
      <c r="AY676" s="3291"/>
      <c r="AZ676" s="3267" t="s">
        <v>7740</v>
      </c>
      <c r="BA676" s="3296"/>
      <c r="BB676" s="3297"/>
      <c r="BC676" s="3296"/>
      <c r="BD676" s="3298"/>
      <c r="BE676" s="3276"/>
      <c r="BF676" s="3281"/>
      <c r="BG676" s="3293">
        <v>38909</v>
      </c>
      <c r="BH676" s="3267" t="s">
        <v>2998</v>
      </c>
      <c r="BI676" s="3314" t="s">
        <v>3305</v>
      </c>
      <c r="BJ676" s="3283">
        <v>38910</v>
      </c>
      <c r="BK676" s="3283"/>
      <c r="BL676" s="3267" t="s">
        <v>3249</v>
      </c>
      <c r="BM676" s="3276" t="s">
        <v>2879</v>
      </c>
      <c r="BN676" s="3276" t="s">
        <v>2999</v>
      </c>
      <c r="BO676" s="3276" t="s">
        <v>3000</v>
      </c>
      <c r="BP676" s="3276"/>
      <c r="BQ676" s="3276">
        <v>8048</v>
      </c>
      <c r="BR676" s="3276">
        <v>9504</v>
      </c>
      <c r="BS676" s="3285"/>
      <c r="BT676" s="3285"/>
      <c r="BU676" s="3285"/>
    </row>
    <row r="677" spans="1:73" hidden="1">
      <c r="A677" s="3267" t="s">
        <v>7742</v>
      </c>
      <c r="B677" s="3267" t="s">
        <v>7743</v>
      </c>
      <c r="C677" s="3269" t="s">
        <v>7744</v>
      </c>
      <c r="D677" s="3269" t="s">
        <v>7745</v>
      </c>
      <c r="E677" s="3268" t="s">
        <v>2985</v>
      </c>
      <c r="F677" s="3268" t="s">
        <v>7746</v>
      </c>
      <c r="G677" s="3267"/>
      <c r="H677" s="3267" t="s">
        <v>3179</v>
      </c>
      <c r="I677" s="3268"/>
      <c r="J677" s="3267" t="s">
        <v>7747</v>
      </c>
      <c r="K677" s="3267" t="s">
        <v>7748</v>
      </c>
      <c r="L677" s="3267">
        <v>123.31</v>
      </c>
      <c r="M677" s="3267">
        <v>15</v>
      </c>
      <c r="N677" s="3267" t="s">
        <v>2989</v>
      </c>
      <c r="O677" s="3267">
        <v>96.67</v>
      </c>
      <c r="P677" s="3268" t="s">
        <v>2963</v>
      </c>
      <c r="Q677" s="3271">
        <v>590000</v>
      </c>
      <c r="R677" s="3270">
        <v>4785</v>
      </c>
      <c r="S677" s="3272">
        <v>58.94</v>
      </c>
      <c r="T677" s="3273">
        <v>589400</v>
      </c>
      <c r="U677" s="3267">
        <v>4780</v>
      </c>
      <c r="V677" s="3289">
        <v>0.3</v>
      </c>
      <c r="W677" s="3272">
        <v>41.25</v>
      </c>
      <c r="X677" s="3275">
        <v>412500</v>
      </c>
      <c r="Y677" s="3276">
        <v>2006</v>
      </c>
      <c r="Z677" s="3276">
        <v>7</v>
      </c>
      <c r="AA677" s="3276">
        <v>26</v>
      </c>
      <c r="AB677" s="3267">
        <v>1500</v>
      </c>
      <c r="AC677" s="3267" t="s">
        <v>2980</v>
      </c>
      <c r="AD677" s="3280" t="s">
        <v>7749</v>
      </c>
      <c r="AE677" s="3267" t="s">
        <v>3180</v>
      </c>
      <c r="AF677" s="3267" t="s">
        <v>2966</v>
      </c>
      <c r="AG677" s="3279" t="s">
        <v>2967</v>
      </c>
      <c r="AH677" s="3267" t="s">
        <v>2968</v>
      </c>
      <c r="AI677" s="3267" t="s">
        <v>2992</v>
      </c>
      <c r="AJ677" s="3284"/>
      <c r="AK677" s="3267" t="s">
        <v>2993</v>
      </c>
      <c r="AL677" s="3267">
        <v>58</v>
      </c>
      <c r="AM677" s="3276" t="s">
        <v>7750</v>
      </c>
      <c r="AN677" s="3267" t="s">
        <v>2994</v>
      </c>
      <c r="AO677" s="3276"/>
      <c r="AP677" s="3267" t="s">
        <v>3180</v>
      </c>
      <c r="AQ677" s="3267" t="s">
        <v>3228</v>
      </c>
      <c r="AR677" s="3276">
        <v>2006</v>
      </c>
      <c r="AS677" s="3276">
        <v>7</v>
      </c>
      <c r="AT677" s="3276">
        <v>13</v>
      </c>
      <c r="AU677" s="3276"/>
      <c r="AV677" s="3276" t="s">
        <v>2968</v>
      </c>
      <c r="AW677" s="3276" t="s">
        <v>2997</v>
      </c>
      <c r="AX677" s="3276"/>
      <c r="AY677" s="3291"/>
      <c r="AZ677" s="3267" t="s">
        <v>7748</v>
      </c>
      <c r="BA677" s="3296"/>
      <c r="BB677" s="3297"/>
      <c r="BC677" s="3296"/>
      <c r="BD677" s="3298"/>
      <c r="BE677" s="3276"/>
      <c r="BF677" s="3281"/>
      <c r="BG677" s="3293">
        <v>38910</v>
      </c>
      <c r="BH677" s="3267"/>
      <c r="BI677" s="3267" t="s">
        <v>3180</v>
      </c>
      <c r="BJ677" s="3293">
        <v>38910</v>
      </c>
      <c r="BK677" s="3283"/>
      <c r="BL677" s="3267" t="s">
        <v>2998</v>
      </c>
      <c r="BM677" s="3267" t="s">
        <v>3345</v>
      </c>
      <c r="BN677" s="3267" t="s">
        <v>2999</v>
      </c>
      <c r="BO677" s="3267" t="s">
        <v>3146</v>
      </c>
      <c r="BP677" s="3276"/>
      <c r="BQ677" s="3276" t="e">
        <v>#DIV/0!</v>
      </c>
      <c r="BR677" s="3276" t="e">
        <v>#DIV/0!</v>
      </c>
      <c r="BS677" s="3285"/>
      <c r="BT677" s="3285"/>
      <c r="BU677" s="3285"/>
    </row>
    <row r="678" spans="1:73" hidden="1">
      <c r="A678" s="3267" t="s">
        <v>7751</v>
      </c>
      <c r="B678" s="3268" t="s">
        <v>7752</v>
      </c>
      <c r="C678" s="3269" t="s">
        <v>7753</v>
      </c>
      <c r="D678" s="3268">
        <v>13718196621</v>
      </c>
      <c r="E678" s="3268" t="s">
        <v>2985</v>
      </c>
      <c r="F678" s="3268" t="s">
        <v>7089</v>
      </c>
      <c r="G678" s="3268"/>
      <c r="H678" s="3268" t="s">
        <v>3244</v>
      </c>
      <c r="I678" s="3268"/>
      <c r="J678" s="3268" t="s">
        <v>7754</v>
      </c>
      <c r="K678" s="3268" t="s">
        <v>7755</v>
      </c>
      <c r="L678" s="3270">
        <v>40.159999999999997</v>
      </c>
      <c r="M678" s="3270">
        <v>5</v>
      </c>
      <c r="N678" s="3268" t="s">
        <v>3152</v>
      </c>
      <c r="O678" s="3270"/>
      <c r="P678" s="3268" t="s">
        <v>2963</v>
      </c>
      <c r="Q678" s="3271">
        <v>340000</v>
      </c>
      <c r="R678" s="3267">
        <v>8466</v>
      </c>
      <c r="S678" s="3272">
        <v>25.06</v>
      </c>
      <c r="T678" s="3273">
        <v>250600</v>
      </c>
      <c r="U678" s="3267">
        <v>6241</v>
      </c>
      <c r="V678" s="3274">
        <v>0.2</v>
      </c>
      <c r="W678" s="3272">
        <v>20.04</v>
      </c>
      <c r="X678" s="3275">
        <v>200400</v>
      </c>
      <c r="Y678" s="3276">
        <v>2006</v>
      </c>
      <c r="Z678" s="3276">
        <v>7</v>
      </c>
      <c r="AA678" s="3267">
        <v>21</v>
      </c>
      <c r="AB678" s="3267">
        <v>750</v>
      </c>
      <c r="AC678" s="3267" t="s">
        <v>2980</v>
      </c>
      <c r="AD678" s="3280" t="s">
        <v>7756</v>
      </c>
      <c r="AE678" s="3276" t="s">
        <v>3069</v>
      </c>
      <c r="AF678" s="3268" t="s">
        <v>2966</v>
      </c>
      <c r="AG678" s="3268" t="s">
        <v>2967</v>
      </c>
      <c r="AH678" s="3268"/>
      <c r="AI678" s="3267" t="s">
        <v>3115</v>
      </c>
      <c r="AJ678" s="3290"/>
      <c r="AK678" s="3306" t="s">
        <v>2993</v>
      </c>
      <c r="AL678" s="3267" t="s">
        <v>7757</v>
      </c>
      <c r="AM678" s="3276"/>
      <c r="AN678" s="3279" t="s">
        <v>3114</v>
      </c>
      <c r="AO678" s="3276"/>
      <c r="AP678" s="3267" t="s">
        <v>3069</v>
      </c>
      <c r="AQ678" s="3267" t="s">
        <v>3228</v>
      </c>
      <c r="AR678" s="3267">
        <v>2006</v>
      </c>
      <c r="AS678" s="3267">
        <v>7</v>
      </c>
      <c r="AT678" s="3267">
        <v>21</v>
      </c>
      <c r="AU678" s="3267"/>
      <c r="AV678" s="3277"/>
      <c r="AW678" s="3306" t="s">
        <v>2997</v>
      </c>
      <c r="AX678" s="3268"/>
      <c r="AY678" s="3268"/>
      <c r="AZ678" s="3268" t="s">
        <v>7755</v>
      </c>
      <c r="BA678" s="3268"/>
      <c r="BB678" s="3280"/>
      <c r="BC678" s="3268"/>
      <c r="BD678" s="3268"/>
      <c r="BE678" s="3268"/>
      <c r="BF678" s="3281"/>
      <c r="BG678" s="3307">
        <v>38908</v>
      </c>
      <c r="BH678" s="3268"/>
      <c r="BI678" s="3276" t="s">
        <v>3069</v>
      </c>
      <c r="BJ678" s="3372">
        <v>38911</v>
      </c>
      <c r="BK678" s="3284"/>
      <c r="BL678" s="3267" t="s">
        <v>2998</v>
      </c>
      <c r="BM678" s="3267" t="s">
        <v>2879</v>
      </c>
      <c r="BN678" s="3276" t="s">
        <v>2999</v>
      </c>
      <c r="BO678" s="3267" t="s">
        <v>3616</v>
      </c>
      <c r="BP678" s="3276"/>
      <c r="BQ678" s="3276" t="e">
        <v>#DIV/0!</v>
      </c>
      <c r="BR678" s="3276" t="e">
        <v>#DIV/0!</v>
      </c>
      <c r="BS678" s="3285"/>
      <c r="BT678" s="3285"/>
      <c r="BU678" s="3285"/>
    </row>
    <row r="679" spans="1:73" hidden="1">
      <c r="A679" s="3268" t="s">
        <v>7758</v>
      </c>
      <c r="B679" s="3267" t="s">
        <v>7759</v>
      </c>
      <c r="C679" s="3269" t="s">
        <v>7760</v>
      </c>
      <c r="D679" s="3269" t="s">
        <v>7761</v>
      </c>
      <c r="E679" s="3267" t="s">
        <v>2985</v>
      </c>
      <c r="F679" s="3268" t="s">
        <v>4412</v>
      </c>
      <c r="G679" s="3267"/>
      <c r="H679" s="3267" t="s">
        <v>7762</v>
      </c>
      <c r="I679" s="3267"/>
      <c r="J679" s="3269" t="s">
        <v>7763</v>
      </c>
      <c r="K679" s="3267" t="s">
        <v>7764</v>
      </c>
      <c r="L679" s="3267">
        <v>73.37</v>
      </c>
      <c r="M679" s="3267">
        <v>5</v>
      </c>
      <c r="N679" s="3267" t="s">
        <v>3125</v>
      </c>
      <c r="O679" s="3267"/>
      <c r="P679" s="3267" t="s">
        <v>2963</v>
      </c>
      <c r="Q679" s="3271">
        <v>510000</v>
      </c>
      <c r="R679" s="3267">
        <v>6951</v>
      </c>
      <c r="S679" s="3272">
        <v>41.94</v>
      </c>
      <c r="T679" s="3273">
        <v>419400</v>
      </c>
      <c r="U679" s="3267">
        <v>5717</v>
      </c>
      <c r="V679" s="3289">
        <v>0.2</v>
      </c>
      <c r="W679" s="3272">
        <v>33.549999999999997</v>
      </c>
      <c r="X679" s="3275">
        <v>335500</v>
      </c>
      <c r="Y679" s="3267">
        <v>2006</v>
      </c>
      <c r="Z679" s="3276">
        <v>8</v>
      </c>
      <c r="AA679" s="3276">
        <v>3</v>
      </c>
      <c r="AB679" s="3267">
        <v>1255</v>
      </c>
      <c r="AC679" s="3267" t="s">
        <v>2980</v>
      </c>
      <c r="AD679" s="3267">
        <v>91302006070708</v>
      </c>
      <c r="AE679" s="3267" t="s">
        <v>3487</v>
      </c>
      <c r="AF679" s="3267" t="s">
        <v>2966</v>
      </c>
      <c r="AG679" s="3267" t="s">
        <v>2967</v>
      </c>
      <c r="AH679" s="3267" t="s">
        <v>2968</v>
      </c>
      <c r="AI679" s="3270" t="s">
        <v>2992</v>
      </c>
      <c r="AJ679" s="3284"/>
      <c r="AK679" s="3278">
        <v>8</v>
      </c>
      <c r="AL679" s="3276">
        <v>24</v>
      </c>
      <c r="AM679" s="3267" t="s">
        <v>7765</v>
      </c>
      <c r="AN679" s="3279" t="s">
        <v>3131</v>
      </c>
      <c r="AO679" s="3276" t="s">
        <v>2968</v>
      </c>
      <c r="AP679" s="3276" t="s">
        <v>3487</v>
      </c>
      <c r="AQ679" s="3267" t="s">
        <v>3228</v>
      </c>
      <c r="AR679" s="3276">
        <v>2006</v>
      </c>
      <c r="AS679" s="3276">
        <v>8</v>
      </c>
      <c r="AT679" s="3276">
        <v>3</v>
      </c>
      <c r="AU679" s="3276"/>
      <c r="AV679" s="3276" t="s">
        <v>2968</v>
      </c>
      <c r="AW679" s="3276" t="s">
        <v>3171</v>
      </c>
      <c r="AX679" s="3276"/>
      <c r="AY679" s="3291"/>
      <c r="AZ679" s="3267"/>
      <c r="BA679" s="3276"/>
      <c r="BB679" s="3291"/>
      <c r="BC679" s="3276"/>
      <c r="BD679" s="3292"/>
      <c r="BE679" s="3276"/>
      <c r="BF679" s="3281"/>
      <c r="BG679" s="3307">
        <v>38911</v>
      </c>
      <c r="BH679" s="3276" t="s">
        <v>2998</v>
      </c>
      <c r="BI679" s="3267" t="s">
        <v>3487</v>
      </c>
      <c r="BJ679" s="3283">
        <v>38912</v>
      </c>
      <c r="BK679" s="3283"/>
      <c r="BL679" s="3267" t="s">
        <v>2998</v>
      </c>
      <c r="BM679" s="3276"/>
      <c r="BN679" s="3276"/>
      <c r="BO679" s="3276"/>
      <c r="BP679" s="3276"/>
      <c r="BQ679" s="3276" t="e">
        <v>#DIV/0!</v>
      </c>
      <c r="BR679" s="3276" t="e">
        <v>#DIV/0!</v>
      </c>
      <c r="BS679" s="3285"/>
      <c r="BT679" s="3285"/>
      <c r="BU679" s="3285"/>
    </row>
    <row r="680" spans="1:73" hidden="1">
      <c r="A680" s="3267" t="s">
        <v>7766</v>
      </c>
      <c r="B680" s="3267" t="s">
        <v>5029</v>
      </c>
      <c r="C680" s="3269" t="s">
        <v>5030</v>
      </c>
      <c r="D680" s="3269" t="s">
        <v>5031</v>
      </c>
      <c r="E680" s="3267" t="s">
        <v>2985</v>
      </c>
      <c r="F680" s="3244" t="s">
        <v>3829</v>
      </c>
      <c r="G680" s="3267"/>
      <c r="H680" s="3267" t="s">
        <v>3263</v>
      </c>
      <c r="I680" s="3267" t="s">
        <v>5032</v>
      </c>
      <c r="J680" s="3269" t="s">
        <v>2987</v>
      </c>
      <c r="K680" s="3267" t="s">
        <v>5033</v>
      </c>
      <c r="L680" s="3267">
        <v>61.69</v>
      </c>
      <c r="M680" s="3267">
        <v>3</v>
      </c>
      <c r="N680" s="3267" t="s">
        <v>3125</v>
      </c>
      <c r="O680" s="3267"/>
      <c r="P680" s="3267" t="s">
        <v>2963</v>
      </c>
      <c r="Q680" s="3271">
        <v>480000</v>
      </c>
      <c r="R680" s="3288">
        <v>7781</v>
      </c>
      <c r="S680" s="3272">
        <v>41.05</v>
      </c>
      <c r="T680" s="3273">
        <v>410500</v>
      </c>
      <c r="U680" s="3267">
        <v>6655</v>
      </c>
      <c r="V680" s="3289">
        <v>0.2</v>
      </c>
      <c r="W680" s="3272">
        <v>32.840000000000003</v>
      </c>
      <c r="X680" s="3273">
        <v>328400.00000000006</v>
      </c>
      <c r="Y680" s="3276">
        <v>2006</v>
      </c>
      <c r="Z680" s="3276">
        <v>7</v>
      </c>
      <c r="AA680" s="3276">
        <v>17</v>
      </c>
      <c r="AB680" s="3276">
        <v>1230</v>
      </c>
      <c r="AC680" s="3267" t="s">
        <v>2980</v>
      </c>
      <c r="AD680" s="3269" t="s">
        <v>7767</v>
      </c>
      <c r="AE680" s="3276" t="s">
        <v>3238</v>
      </c>
      <c r="AF680" s="3267" t="s">
        <v>2966</v>
      </c>
      <c r="AG680" s="3279" t="s">
        <v>2967</v>
      </c>
      <c r="AH680" s="3267"/>
      <c r="AI680" s="3267" t="s">
        <v>2992</v>
      </c>
      <c r="AJ680" s="3284"/>
      <c r="AK680" s="3278">
        <v>7</v>
      </c>
      <c r="AL680" s="3267"/>
      <c r="AM680" s="3276"/>
      <c r="AN680" s="3279" t="s">
        <v>3114</v>
      </c>
      <c r="AO680" s="3276"/>
      <c r="AP680" s="3276" t="s">
        <v>3238</v>
      </c>
      <c r="AQ680" s="3267" t="s">
        <v>7768</v>
      </c>
      <c r="AR680" s="3276"/>
      <c r="AS680" s="3276"/>
      <c r="AT680" s="3276"/>
      <c r="AU680" s="3276" t="s">
        <v>2968</v>
      </c>
      <c r="AV680" s="3276" t="s">
        <v>2968</v>
      </c>
      <c r="AW680" s="3276" t="s">
        <v>3112</v>
      </c>
      <c r="AX680" s="3276"/>
      <c r="AY680" s="3291"/>
      <c r="AZ680" s="3276" t="s">
        <v>5033</v>
      </c>
      <c r="BA680" s="3276"/>
      <c r="BB680" s="3291"/>
      <c r="BC680" s="3276"/>
      <c r="BD680" s="3292"/>
      <c r="BE680" s="3291" t="s">
        <v>7769</v>
      </c>
      <c r="BF680" s="3281"/>
      <c r="BG680" s="3299">
        <v>38799</v>
      </c>
      <c r="BH680" s="3276"/>
      <c r="BI680" s="3267" t="s">
        <v>3238</v>
      </c>
      <c r="BJ680" s="3283">
        <v>38912</v>
      </c>
      <c r="BK680" s="3283"/>
      <c r="BL680" s="3267" t="s">
        <v>2998</v>
      </c>
      <c r="BM680" s="3276" t="s">
        <v>2879</v>
      </c>
      <c r="BN680" s="3276" t="s">
        <v>2999</v>
      </c>
      <c r="BO680" s="3276" t="s">
        <v>3446</v>
      </c>
      <c r="BP680" s="3276" t="s">
        <v>2968</v>
      </c>
      <c r="BQ680" s="3276" t="e">
        <v>#DIV/0!</v>
      </c>
      <c r="BR680" s="3276" t="e">
        <v>#DIV/0!</v>
      </c>
      <c r="BS680" s="3285"/>
      <c r="BT680" s="3285"/>
      <c r="BU680" s="3285"/>
    </row>
    <row r="681" spans="1:73" hidden="1">
      <c r="A681" s="3267" t="s">
        <v>7770</v>
      </c>
      <c r="B681" s="3267" t="s">
        <v>7771</v>
      </c>
      <c r="C681" s="3269" t="s">
        <v>7772</v>
      </c>
      <c r="D681" s="3269" t="s">
        <v>7773</v>
      </c>
      <c r="E681" s="3267" t="s">
        <v>2985</v>
      </c>
      <c r="F681" s="3244" t="s">
        <v>3601</v>
      </c>
      <c r="G681" s="3267"/>
      <c r="H681" s="3267" t="s">
        <v>3712</v>
      </c>
      <c r="I681" s="3267"/>
      <c r="J681" s="3269" t="s">
        <v>3413</v>
      </c>
      <c r="K681" s="3267" t="s">
        <v>7774</v>
      </c>
      <c r="L681" s="3267">
        <v>44.3</v>
      </c>
      <c r="M681" s="3267">
        <v>16</v>
      </c>
      <c r="N681" s="3267" t="s">
        <v>3152</v>
      </c>
      <c r="O681" s="3267">
        <v>29.27</v>
      </c>
      <c r="P681" s="3267" t="s">
        <v>2963</v>
      </c>
      <c r="Q681" s="3271">
        <v>370000</v>
      </c>
      <c r="R681" s="3288">
        <v>8352</v>
      </c>
      <c r="S681" s="3272">
        <v>31.29</v>
      </c>
      <c r="T681" s="3273">
        <v>312900</v>
      </c>
      <c r="U681" s="3267">
        <v>7065</v>
      </c>
      <c r="V681" s="3289">
        <v>0.2</v>
      </c>
      <c r="W681" s="3272">
        <v>25.03</v>
      </c>
      <c r="X681" s="3273">
        <v>250300</v>
      </c>
      <c r="Y681" s="3276">
        <v>2006</v>
      </c>
      <c r="Z681" s="3276">
        <v>7</v>
      </c>
      <c r="AA681" s="3276">
        <v>26</v>
      </c>
      <c r="AB681" s="3276">
        <v>935</v>
      </c>
      <c r="AC681" s="3267" t="s">
        <v>2980</v>
      </c>
      <c r="AD681" s="3269" t="s">
        <v>7775</v>
      </c>
      <c r="AE681" s="3276" t="s">
        <v>3238</v>
      </c>
      <c r="AF681" s="3267" t="s">
        <v>2966</v>
      </c>
      <c r="AG681" s="3279" t="s">
        <v>2967</v>
      </c>
      <c r="AH681" s="3267"/>
      <c r="AI681" s="3267" t="s">
        <v>2992</v>
      </c>
      <c r="AJ681" s="3284"/>
      <c r="AK681" s="3278">
        <v>7</v>
      </c>
      <c r="AL681" s="3267">
        <v>52</v>
      </c>
      <c r="AM681" s="3276" t="s">
        <v>7776</v>
      </c>
      <c r="AN681" s="3279" t="s">
        <v>2994</v>
      </c>
      <c r="AO681" s="3276"/>
      <c r="AP681" s="3276" t="s">
        <v>3238</v>
      </c>
      <c r="AQ681" s="3267" t="s">
        <v>3228</v>
      </c>
      <c r="AR681" s="3276"/>
      <c r="AS681" s="3276"/>
      <c r="AT681" s="3276"/>
      <c r="AU681" s="3276" t="s">
        <v>2968</v>
      </c>
      <c r="AV681" s="3276" t="s">
        <v>2968</v>
      </c>
      <c r="AW681" s="3276" t="s">
        <v>3112</v>
      </c>
      <c r="AX681" s="3276"/>
      <c r="AY681" s="3291"/>
      <c r="AZ681" s="3276" t="s">
        <v>7774</v>
      </c>
      <c r="BA681" s="3276"/>
      <c r="BB681" s="3291"/>
      <c r="BC681" s="3276"/>
      <c r="BD681" s="3292"/>
      <c r="BE681" s="3291" t="s">
        <v>7777</v>
      </c>
      <c r="BF681" s="3281"/>
      <c r="BG681" s="3299">
        <v>38904</v>
      </c>
      <c r="BH681" s="3276"/>
      <c r="BI681" s="3267" t="s">
        <v>3238</v>
      </c>
      <c r="BJ681" s="3283">
        <v>38912</v>
      </c>
      <c r="BK681" s="3283"/>
      <c r="BL681" s="3267" t="s">
        <v>2998</v>
      </c>
      <c r="BM681" s="3276" t="s">
        <v>2879</v>
      </c>
      <c r="BN681" s="3276" t="s">
        <v>2999</v>
      </c>
      <c r="BO681" s="3276" t="s">
        <v>3446</v>
      </c>
      <c r="BP681" s="3276" t="s">
        <v>2968</v>
      </c>
      <c r="BQ681" s="3276">
        <v>10690</v>
      </c>
      <c r="BR681" s="3276">
        <v>12641</v>
      </c>
      <c r="BS681" s="3285"/>
      <c r="BT681" s="3285"/>
      <c r="BU681" s="3285"/>
    </row>
    <row r="682" spans="1:73" hidden="1">
      <c r="A682" s="3267" t="s">
        <v>7778</v>
      </c>
      <c r="B682" s="3267" t="s">
        <v>7779</v>
      </c>
      <c r="C682" s="3269" t="s">
        <v>7780</v>
      </c>
      <c r="D682" s="3268">
        <v>13501209210</v>
      </c>
      <c r="E682" s="3267" t="s">
        <v>2985</v>
      </c>
      <c r="F682" s="3267" t="s">
        <v>7781</v>
      </c>
      <c r="G682" s="3267"/>
      <c r="H682" s="3270" t="s">
        <v>3139</v>
      </c>
      <c r="I682" s="3268"/>
      <c r="J682" s="3270" t="s">
        <v>7782</v>
      </c>
      <c r="K682" s="3268" t="s">
        <v>7783</v>
      </c>
      <c r="L682" s="3286">
        <v>55.09</v>
      </c>
      <c r="M682" s="3270">
        <v>6</v>
      </c>
      <c r="N682" s="3267" t="s">
        <v>3122</v>
      </c>
      <c r="O682" s="3267"/>
      <c r="P682" s="3268" t="s">
        <v>2963</v>
      </c>
      <c r="Q682" s="3287">
        <v>460000</v>
      </c>
      <c r="R682" s="3267">
        <v>8350</v>
      </c>
      <c r="S682" s="3272">
        <v>40.340000000000003</v>
      </c>
      <c r="T682" s="3273">
        <v>403400</v>
      </c>
      <c r="U682" s="3287">
        <v>7324</v>
      </c>
      <c r="V682" s="3289">
        <v>0.2</v>
      </c>
      <c r="W682" s="3272">
        <v>32.270000000000003</v>
      </c>
      <c r="X682" s="3275">
        <v>322700</v>
      </c>
      <c r="Y682" s="3276">
        <v>2006</v>
      </c>
      <c r="Z682" s="3276">
        <v>7</v>
      </c>
      <c r="AA682" s="3276">
        <v>31</v>
      </c>
      <c r="AB682" s="3267">
        <v>1210</v>
      </c>
      <c r="AC682" s="3267" t="s">
        <v>2980</v>
      </c>
      <c r="AD682" s="3269" t="s">
        <v>7784</v>
      </c>
      <c r="AE682" s="3267" t="s">
        <v>3069</v>
      </c>
      <c r="AF682" s="3267" t="s">
        <v>2966</v>
      </c>
      <c r="AG682" s="3267" t="s">
        <v>2967</v>
      </c>
      <c r="AH682" s="3267"/>
      <c r="AI682" s="3267" t="s">
        <v>3295</v>
      </c>
      <c r="AJ682" s="3290"/>
      <c r="AK682" s="3278" t="s">
        <v>2993</v>
      </c>
      <c r="AL682" s="3267" t="s">
        <v>7785</v>
      </c>
      <c r="AM682" s="3267"/>
      <c r="AN682" s="3267" t="s">
        <v>3099</v>
      </c>
      <c r="AO682" s="3267" t="s">
        <v>2968</v>
      </c>
      <c r="AP682" s="3276" t="s">
        <v>3069</v>
      </c>
      <c r="AQ682" s="3267" t="s">
        <v>3228</v>
      </c>
      <c r="AR682" s="3267">
        <v>2006</v>
      </c>
      <c r="AS682" s="3267">
        <v>7</v>
      </c>
      <c r="AT682" s="3267">
        <v>31</v>
      </c>
      <c r="AU682" s="3267"/>
      <c r="AV682" s="3267"/>
      <c r="AW682" s="3267" t="s">
        <v>2997</v>
      </c>
      <c r="AX682" s="3267" t="s">
        <v>2968</v>
      </c>
      <c r="AY682" s="3279"/>
      <c r="AZ682" s="3267" t="s">
        <v>7783</v>
      </c>
      <c r="BA682" s="3267"/>
      <c r="BB682" s="3267"/>
      <c r="BC682" s="3267"/>
      <c r="BD682" s="3267"/>
      <c r="BE682" s="3267"/>
      <c r="BF682" s="3267"/>
      <c r="BG682" s="3307">
        <v>38851</v>
      </c>
      <c r="BH682" s="3267"/>
      <c r="BI682" s="3267" t="s">
        <v>3069</v>
      </c>
      <c r="BJ682" s="3299">
        <v>38912</v>
      </c>
      <c r="BK682" s="3284"/>
      <c r="BL682" s="3267" t="s">
        <v>2998</v>
      </c>
      <c r="BM682" s="3267" t="s">
        <v>3345</v>
      </c>
      <c r="BN682" s="3267" t="s">
        <v>2999</v>
      </c>
      <c r="BO682" s="3267"/>
      <c r="BP682" s="3267"/>
      <c r="BQ682" s="3343" t="e">
        <v>#DIV/0!</v>
      </c>
      <c r="BR682" s="3343" t="e">
        <v>#DIV/0!</v>
      </c>
      <c r="BS682" s="3285"/>
      <c r="BT682" s="3285"/>
      <c r="BU682" s="3285"/>
    </row>
    <row r="683" spans="1:73" hidden="1">
      <c r="A683" s="3267" t="s">
        <v>7786</v>
      </c>
      <c r="B683" s="3267" t="s">
        <v>7787</v>
      </c>
      <c r="C683" s="3269" t="s">
        <v>7788</v>
      </c>
      <c r="D683" s="3269" t="s">
        <v>7789</v>
      </c>
      <c r="E683" s="3268" t="s">
        <v>2985</v>
      </c>
      <c r="F683" s="3268" t="s">
        <v>7790</v>
      </c>
      <c r="G683" s="3267"/>
      <c r="H683" s="3267" t="s">
        <v>3263</v>
      </c>
      <c r="I683" s="3268"/>
      <c r="J683" s="3267" t="s">
        <v>2987</v>
      </c>
      <c r="K683" s="3267" t="s">
        <v>7791</v>
      </c>
      <c r="L683" s="3267">
        <v>71.02</v>
      </c>
      <c r="M683" s="3267" t="s">
        <v>3155</v>
      </c>
      <c r="N683" s="3267" t="s">
        <v>3125</v>
      </c>
      <c r="O683" s="3267"/>
      <c r="P683" s="3267" t="s">
        <v>2963</v>
      </c>
      <c r="Q683" s="3271">
        <v>500000</v>
      </c>
      <c r="R683" s="3267">
        <v>7040</v>
      </c>
      <c r="S683" s="3272">
        <v>45.29</v>
      </c>
      <c r="T683" s="3273">
        <v>452900</v>
      </c>
      <c r="U683" s="3267">
        <v>6378</v>
      </c>
      <c r="V683" s="3274">
        <v>0.2</v>
      </c>
      <c r="W683" s="3272">
        <v>36.229999999999997</v>
      </c>
      <c r="X683" s="3275">
        <v>362300</v>
      </c>
      <c r="Y683" s="3276">
        <v>2006</v>
      </c>
      <c r="Z683" s="3276">
        <v>7</v>
      </c>
      <c r="AA683" s="3294">
        <v>28</v>
      </c>
      <c r="AB683" s="3295">
        <v>1355</v>
      </c>
      <c r="AC683" s="3267" t="s">
        <v>2980</v>
      </c>
      <c r="AD683" s="3280" t="s">
        <v>7792</v>
      </c>
      <c r="AE683" s="3279" t="s">
        <v>3344</v>
      </c>
      <c r="AF683" s="3268" t="s">
        <v>2966</v>
      </c>
      <c r="AG683" s="3279" t="s">
        <v>2967</v>
      </c>
      <c r="AH683" s="3267" t="s">
        <v>2968</v>
      </c>
      <c r="AI683" s="3279" t="s">
        <v>2992</v>
      </c>
      <c r="AJ683" s="3284"/>
      <c r="AK683" s="3278">
        <v>7</v>
      </c>
      <c r="AL683" s="3276">
        <v>40</v>
      </c>
      <c r="AM683" s="3276"/>
      <c r="AN683" s="3279" t="s">
        <v>2994</v>
      </c>
      <c r="AO683" s="3267"/>
      <c r="AP683" s="3279" t="s">
        <v>3305</v>
      </c>
      <c r="AQ683" s="3267" t="s">
        <v>3228</v>
      </c>
      <c r="AR683" s="3276"/>
      <c r="AS683" s="3276"/>
      <c r="AT683" s="3276"/>
      <c r="AU683" s="3276"/>
      <c r="AV683" s="3276"/>
      <c r="AW683" s="3276" t="s">
        <v>3171</v>
      </c>
      <c r="AX683" s="3276"/>
      <c r="AY683" s="3291"/>
      <c r="AZ683" s="3267" t="s">
        <v>7791</v>
      </c>
      <c r="BA683" s="3296"/>
      <c r="BB683" s="3297"/>
      <c r="BC683" s="3296"/>
      <c r="BD683" s="3298"/>
      <c r="BE683" s="3276"/>
      <c r="BF683" s="3281"/>
      <c r="BG683" s="3293">
        <v>38915</v>
      </c>
      <c r="BH683" s="3267" t="s">
        <v>2998</v>
      </c>
      <c r="BI683" s="3314" t="s">
        <v>3305</v>
      </c>
      <c r="BJ683" s="3283">
        <v>38915</v>
      </c>
      <c r="BK683" s="3283"/>
      <c r="BL683" s="3267" t="s">
        <v>3249</v>
      </c>
      <c r="BM683" s="3276" t="s">
        <v>2879</v>
      </c>
      <c r="BN683" s="3276" t="s">
        <v>2999</v>
      </c>
      <c r="BO683" s="3276" t="s">
        <v>3000</v>
      </c>
      <c r="BP683" s="3276"/>
      <c r="BQ683" s="3276" t="e">
        <v>#DIV/0!</v>
      </c>
      <c r="BR683" s="3276" t="e">
        <v>#DIV/0!</v>
      </c>
      <c r="BS683" s="3285"/>
      <c r="BT683" s="3285"/>
      <c r="BU683" s="3285"/>
    </row>
    <row r="684" spans="1:73" hidden="1">
      <c r="A684" s="3268" t="s">
        <v>7793</v>
      </c>
      <c r="B684" s="3267" t="s">
        <v>7794</v>
      </c>
      <c r="C684" s="3269" t="s">
        <v>7795</v>
      </c>
      <c r="D684" s="3269" t="s">
        <v>7796</v>
      </c>
      <c r="E684" s="3267" t="s">
        <v>2985</v>
      </c>
      <c r="F684" s="3268" t="s">
        <v>7797</v>
      </c>
      <c r="G684" s="3267"/>
      <c r="H684" s="3267" t="s">
        <v>3182</v>
      </c>
      <c r="I684" s="3267" t="s">
        <v>3642</v>
      </c>
      <c r="J684" s="3269" t="s">
        <v>3123</v>
      </c>
      <c r="K684" s="3267" t="s">
        <v>7798</v>
      </c>
      <c r="L684" s="3267">
        <v>60.45</v>
      </c>
      <c r="M684" s="3267">
        <v>4</v>
      </c>
      <c r="N684" s="3267" t="s">
        <v>3122</v>
      </c>
      <c r="O684" s="3267"/>
      <c r="P684" s="3267" t="s">
        <v>2963</v>
      </c>
      <c r="Q684" s="3271">
        <v>445250</v>
      </c>
      <c r="R684" s="3267">
        <v>7366</v>
      </c>
      <c r="S684" s="3272">
        <v>33.51</v>
      </c>
      <c r="T684" s="3273">
        <v>335100</v>
      </c>
      <c r="U684" s="3267">
        <v>5545</v>
      </c>
      <c r="V684" s="3289">
        <v>0.2</v>
      </c>
      <c r="W684" s="3272">
        <v>26.8</v>
      </c>
      <c r="X684" s="3275">
        <v>268000</v>
      </c>
      <c r="Y684" s="3267">
        <v>2006</v>
      </c>
      <c r="Z684" s="3276">
        <v>7</v>
      </c>
      <c r="AA684" s="3276">
        <v>28</v>
      </c>
      <c r="AB684" s="3267">
        <v>1005</v>
      </c>
      <c r="AC684" s="3267" t="s">
        <v>2980</v>
      </c>
      <c r="AD684" s="3267">
        <v>91302006070860</v>
      </c>
      <c r="AE684" s="3267" t="s">
        <v>3487</v>
      </c>
      <c r="AF684" s="3267" t="s">
        <v>2966</v>
      </c>
      <c r="AG684" s="3267" t="s">
        <v>2967</v>
      </c>
      <c r="AH684" s="3267" t="s">
        <v>2968</v>
      </c>
      <c r="AI684" s="3270" t="s">
        <v>2992</v>
      </c>
      <c r="AJ684" s="3284"/>
      <c r="AK684" s="3278">
        <v>7</v>
      </c>
      <c r="AL684" s="3276">
        <v>51</v>
      </c>
      <c r="AM684" s="3276"/>
      <c r="AN684" s="3279" t="s">
        <v>3114</v>
      </c>
      <c r="AO684" s="3276" t="s">
        <v>2968</v>
      </c>
      <c r="AP684" s="3276" t="s">
        <v>3487</v>
      </c>
      <c r="AQ684" s="3276" t="s">
        <v>2996</v>
      </c>
      <c r="AR684" s="3276">
        <v>2006</v>
      </c>
      <c r="AS684" s="3276">
        <v>7</v>
      </c>
      <c r="AT684" s="3276">
        <v>18</v>
      </c>
      <c r="AU684" s="3276"/>
      <c r="AV684" s="3276" t="s">
        <v>2968</v>
      </c>
      <c r="AW684" s="3276" t="s">
        <v>3171</v>
      </c>
      <c r="AX684" s="3276"/>
      <c r="AY684" s="3291"/>
      <c r="AZ684" s="3267"/>
      <c r="BA684" s="3276"/>
      <c r="BB684" s="3291"/>
      <c r="BC684" s="3276"/>
      <c r="BD684" s="3292"/>
      <c r="BE684" s="3276"/>
      <c r="BF684" s="3281"/>
      <c r="BG684" s="3307">
        <v>38915</v>
      </c>
      <c r="BH684" s="3276" t="s">
        <v>2998</v>
      </c>
      <c r="BI684" s="3267" t="s">
        <v>3487</v>
      </c>
      <c r="BJ684" s="3307">
        <v>38915</v>
      </c>
      <c r="BK684" s="3283"/>
      <c r="BL684" s="3267" t="s">
        <v>2998</v>
      </c>
      <c r="BM684" s="3276"/>
      <c r="BN684" s="3276"/>
      <c r="BO684" s="3276"/>
      <c r="BP684" s="3276"/>
      <c r="BQ684" s="3276" t="e">
        <v>#DIV/0!</v>
      </c>
      <c r="BR684" s="3276" t="e">
        <v>#DIV/0!</v>
      </c>
      <c r="BS684" s="3285"/>
      <c r="BT684" s="3285"/>
      <c r="BU684" s="3285"/>
    </row>
    <row r="685" spans="1:73" hidden="1">
      <c r="A685" s="3267" t="s">
        <v>7799</v>
      </c>
      <c r="B685" s="3267" t="s">
        <v>7800</v>
      </c>
      <c r="C685" s="3269" t="s">
        <v>7801</v>
      </c>
      <c r="D685" s="3269" t="s">
        <v>7802</v>
      </c>
      <c r="E685" s="3267" t="s">
        <v>2985</v>
      </c>
      <c r="F685" s="3244" t="s">
        <v>3261</v>
      </c>
      <c r="G685" s="3267"/>
      <c r="H685" s="3267" t="s">
        <v>7803</v>
      </c>
      <c r="I685" s="3267" t="s">
        <v>3170</v>
      </c>
      <c r="J685" s="3269" t="s">
        <v>3126</v>
      </c>
      <c r="K685" s="3267" t="s">
        <v>7800</v>
      </c>
      <c r="L685" s="3267">
        <v>70.48</v>
      </c>
      <c r="M685" s="3267">
        <v>6</v>
      </c>
      <c r="N685" s="3267" t="s">
        <v>3125</v>
      </c>
      <c r="O685" s="3267"/>
      <c r="P685" s="3267" t="s">
        <v>2963</v>
      </c>
      <c r="Q685" s="3271">
        <v>510000</v>
      </c>
      <c r="R685" s="3288">
        <v>7236</v>
      </c>
      <c r="S685" s="3272">
        <v>50.41</v>
      </c>
      <c r="T685" s="3273">
        <v>504100</v>
      </c>
      <c r="U685" s="3267">
        <v>7153</v>
      </c>
      <c r="V685" s="3289">
        <v>0.2</v>
      </c>
      <c r="W685" s="3272">
        <v>40.32</v>
      </c>
      <c r="X685" s="3273">
        <v>403200</v>
      </c>
      <c r="Y685" s="3276">
        <v>2006</v>
      </c>
      <c r="Z685" s="3276">
        <v>8</v>
      </c>
      <c r="AA685" s="3276">
        <v>8</v>
      </c>
      <c r="AB685" s="3276">
        <v>1500</v>
      </c>
      <c r="AC685" s="3267" t="s">
        <v>2980</v>
      </c>
      <c r="AD685" s="3269" t="s">
        <v>7804</v>
      </c>
      <c r="AE685" s="3276" t="s">
        <v>3238</v>
      </c>
      <c r="AF685" s="3267" t="s">
        <v>2966</v>
      </c>
      <c r="AG685" s="3279" t="s">
        <v>2967</v>
      </c>
      <c r="AH685" s="3267"/>
      <c r="AI685" s="3267" t="s">
        <v>2992</v>
      </c>
      <c r="AJ685" s="3284"/>
      <c r="AK685" s="3278">
        <v>8</v>
      </c>
      <c r="AL685" s="3267">
        <v>43</v>
      </c>
      <c r="AM685" s="3276" t="s">
        <v>7805</v>
      </c>
      <c r="AN685" s="3279" t="s">
        <v>3140</v>
      </c>
      <c r="AO685" s="3276"/>
      <c r="AP685" s="3276" t="s">
        <v>3238</v>
      </c>
      <c r="AQ685" s="3267" t="s">
        <v>3228</v>
      </c>
      <c r="AR685" s="3276"/>
      <c r="AS685" s="3276"/>
      <c r="AT685" s="3276"/>
      <c r="AU685" s="3276" t="s">
        <v>2968</v>
      </c>
      <c r="AV685" s="3276" t="s">
        <v>2968</v>
      </c>
      <c r="AW685" s="3276" t="s">
        <v>3112</v>
      </c>
      <c r="AX685" s="3276"/>
      <c r="AY685" s="3291"/>
      <c r="AZ685" s="3276" t="s">
        <v>7806</v>
      </c>
      <c r="BA685" s="3276"/>
      <c r="BB685" s="3291"/>
      <c r="BC685" s="3276"/>
      <c r="BD685" s="3292"/>
      <c r="BE685" s="3291" t="s">
        <v>7807</v>
      </c>
      <c r="BF685" s="3281"/>
      <c r="BG685" s="3299">
        <v>38913</v>
      </c>
      <c r="BH685" s="3276"/>
      <c r="BI685" s="3267" t="s">
        <v>3238</v>
      </c>
      <c r="BJ685" s="3283">
        <v>38917</v>
      </c>
      <c r="BK685" s="3283"/>
      <c r="BL685" s="3267" t="s">
        <v>2998</v>
      </c>
      <c r="BM685" s="3276" t="s">
        <v>2879</v>
      </c>
      <c r="BN685" s="3276" t="s">
        <v>3111</v>
      </c>
      <c r="BO685" s="3276" t="s">
        <v>3446</v>
      </c>
      <c r="BP685" s="3276" t="s">
        <v>2968</v>
      </c>
      <c r="BQ685" s="3276" t="e">
        <v>#DIV/0!</v>
      </c>
      <c r="BR685" s="3276" t="e">
        <v>#DIV/0!</v>
      </c>
      <c r="BS685" s="3285"/>
      <c r="BT685" s="3285"/>
      <c r="BU685" s="3285"/>
    </row>
    <row r="686" spans="1:73" hidden="1">
      <c r="A686" s="3267" t="s">
        <v>7808</v>
      </c>
      <c r="B686" s="3267" t="s">
        <v>7809</v>
      </c>
      <c r="C686" s="3269" t="s">
        <v>7810</v>
      </c>
      <c r="D686" s="3268">
        <v>13911805817</v>
      </c>
      <c r="E686" s="3267" t="s">
        <v>2985</v>
      </c>
      <c r="F686" s="3267" t="s">
        <v>7811</v>
      </c>
      <c r="G686" s="3267"/>
      <c r="H686" s="3270" t="s">
        <v>7812</v>
      </c>
      <c r="I686" s="3268" t="s">
        <v>3458</v>
      </c>
      <c r="J686" s="3270" t="s">
        <v>3117</v>
      </c>
      <c r="K686" s="3267" t="s">
        <v>7813</v>
      </c>
      <c r="L686" s="3286">
        <v>61.32</v>
      </c>
      <c r="M686" s="3270">
        <v>2</v>
      </c>
      <c r="N686" s="3267" t="s">
        <v>3125</v>
      </c>
      <c r="O686" s="3267"/>
      <c r="P686" s="3267" t="s">
        <v>2963</v>
      </c>
      <c r="Q686" s="3287">
        <v>500000</v>
      </c>
      <c r="R686" s="3267">
        <v>8154</v>
      </c>
      <c r="S686" s="3272">
        <v>38.25</v>
      </c>
      <c r="T686" s="3273">
        <v>382500</v>
      </c>
      <c r="U686" s="3287">
        <v>6238</v>
      </c>
      <c r="V686" s="3289">
        <v>0.2</v>
      </c>
      <c r="W686" s="3272">
        <v>30.6</v>
      </c>
      <c r="X686" s="3275">
        <v>306000</v>
      </c>
      <c r="Y686" s="3276">
        <v>2006</v>
      </c>
      <c r="Z686" s="3267">
        <v>7</v>
      </c>
      <c r="AA686" s="3276">
        <v>31</v>
      </c>
      <c r="AB686" s="3267">
        <v>1145</v>
      </c>
      <c r="AC686" s="3267" t="s">
        <v>2980</v>
      </c>
      <c r="AD686" s="3269" t="s">
        <v>7814</v>
      </c>
      <c r="AE686" s="3268" t="s">
        <v>3069</v>
      </c>
      <c r="AF686" s="3267" t="s">
        <v>2966</v>
      </c>
      <c r="AG686" s="3267" t="s">
        <v>2967</v>
      </c>
      <c r="AH686" s="3267"/>
      <c r="AI686" s="3267" t="s">
        <v>2992</v>
      </c>
      <c r="AJ686" s="3270"/>
      <c r="AK686" s="3278" t="s">
        <v>2993</v>
      </c>
      <c r="AL686" s="3276" t="s">
        <v>7785</v>
      </c>
      <c r="AM686" s="3267"/>
      <c r="AN686" s="3279" t="s">
        <v>3099</v>
      </c>
      <c r="AO686" s="3267"/>
      <c r="AP686" s="3276" t="s">
        <v>3069</v>
      </c>
      <c r="AQ686" s="3267" t="s">
        <v>3228</v>
      </c>
      <c r="AR686" s="3267">
        <v>2006</v>
      </c>
      <c r="AS686" s="3267">
        <v>7</v>
      </c>
      <c r="AT686" s="3267">
        <v>31</v>
      </c>
      <c r="AU686" s="3267"/>
      <c r="AV686" s="3267"/>
      <c r="AW686" s="3267" t="s">
        <v>3112</v>
      </c>
      <c r="AX686" s="3267"/>
      <c r="AY686" s="3279"/>
      <c r="AZ686" s="3267" t="s">
        <v>7813</v>
      </c>
      <c r="BA686" s="3267"/>
      <c r="BB686" s="3267"/>
      <c r="BC686" s="3267"/>
      <c r="BD686" s="3267"/>
      <c r="BE686" s="3267"/>
      <c r="BF686" s="3281"/>
      <c r="BG686" s="3290">
        <v>38917</v>
      </c>
      <c r="BH686" s="3268"/>
      <c r="BI686" s="3276" t="s">
        <v>3069</v>
      </c>
      <c r="BJ686" s="3299">
        <v>38918</v>
      </c>
      <c r="BK686" s="3284"/>
      <c r="BL686" s="3267" t="s">
        <v>2998</v>
      </c>
      <c r="BM686" s="3267" t="s">
        <v>2879</v>
      </c>
      <c r="BN686" s="3267" t="s">
        <v>3111</v>
      </c>
      <c r="BO686" s="3267" t="s">
        <v>3146</v>
      </c>
      <c r="BP686" s="3267"/>
      <c r="BQ686" s="3276"/>
      <c r="BR686" s="3276"/>
      <c r="BS686" s="3285"/>
      <c r="BT686" s="3285"/>
      <c r="BU686" s="3285"/>
    </row>
    <row r="687" spans="1:73" hidden="1">
      <c r="A687" s="3268" t="s">
        <v>7815</v>
      </c>
      <c r="B687" s="3267" t="s">
        <v>4850</v>
      </c>
      <c r="C687" s="3269" t="s">
        <v>7816</v>
      </c>
      <c r="D687" s="3269" t="s">
        <v>7817</v>
      </c>
      <c r="E687" s="3267" t="s">
        <v>2985</v>
      </c>
      <c r="F687" s="3268" t="s">
        <v>4621</v>
      </c>
      <c r="G687" s="3267"/>
      <c r="H687" s="3267" t="s">
        <v>3402</v>
      </c>
      <c r="I687" s="3267"/>
      <c r="J687" s="3269" t="s">
        <v>7818</v>
      </c>
      <c r="K687" s="3267" t="s">
        <v>7819</v>
      </c>
      <c r="L687" s="3267">
        <v>68.88</v>
      </c>
      <c r="M687" s="3267">
        <v>9</v>
      </c>
      <c r="N687" s="3267" t="s">
        <v>3122</v>
      </c>
      <c r="O687" s="3267"/>
      <c r="P687" s="3267" t="s">
        <v>2963</v>
      </c>
      <c r="Q687" s="3271">
        <v>595000</v>
      </c>
      <c r="R687" s="3267">
        <v>8638</v>
      </c>
      <c r="S687" s="3272">
        <v>47.61</v>
      </c>
      <c r="T687" s="3273">
        <v>476100</v>
      </c>
      <c r="U687" s="3267">
        <v>6913</v>
      </c>
      <c r="V687" s="3289">
        <v>0.2</v>
      </c>
      <c r="W687" s="3272">
        <v>38.08</v>
      </c>
      <c r="X687" s="3275">
        <v>380800</v>
      </c>
      <c r="Y687" s="3267">
        <v>2006</v>
      </c>
      <c r="Z687" s="3276">
        <v>8</v>
      </c>
      <c r="AA687" s="3276">
        <v>4</v>
      </c>
      <c r="AB687" s="3267">
        <v>1425</v>
      </c>
      <c r="AC687" s="3267" t="s">
        <v>2980</v>
      </c>
      <c r="AD687" s="3267">
        <v>91302006071122</v>
      </c>
      <c r="AE687" s="3267" t="s">
        <v>3487</v>
      </c>
      <c r="AF687" s="3267" t="s">
        <v>2966</v>
      </c>
      <c r="AG687" s="3267" t="s">
        <v>2967</v>
      </c>
      <c r="AH687" s="3267" t="s">
        <v>2968</v>
      </c>
      <c r="AI687" s="3270" t="s">
        <v>2992</v>
      </c>
      <c r="AJ687" s="3284"/>
      <c r="AK687" s="3278">
        <v>8</v>
      </c>
      <c r="AL687" s="3276">
        <v>50</v>
      </c>
      <c r="AM687" s="3267" t="s">
        <v>7820</v>
      </c>
      <c r="AN687" s="3279" t="s">
        <v>3114</v>
      </c>
      <c r="AO687" s="3276" t="s">
        <v>2968</v>
      </c>
      <c r="AP687" s="3276" t="s">
        <v>3487</v>
      </c>
      <c r="AQ687" s="3267" t="s">
        <v>3228</v>
      </c>
      <c r="AR687" s="3276">
        <v>2006</v>
      </c>
      <c r="AS687" s="3276">
        <v>7</v>
      </c>
      <c r="AT687" s="3276">
        <v>21</v>
      </c>
      <c r="AU687" s="3276"/>
      <c r="AV687" s="3276" t="s">
        <v>2968</v>
      </c>
      <c r="AW687" s="3276" t="s">
        <v>3171</v>
      </c>
      <c r="AX687" s="3276"/>
      <c r="AY687" s="3291"/>
      <c r="AZ687" s="3267"/>
      <c r="BA687" s="3276"/>
      <c r="BB687" s="3291"/>
      <c r="BC687" s="3276"/>
      <c r="BD687" s="3292"/>
      <c r="BE687" s="3276"/>
      <c r="BF687" s="3281"/>
      <c r="BG687" s="3307">
        <v>38904</v>
      </c>
      <c r="BH687" s="3276" t="s">
        <v>2998</v>
      </c>
      <c r="BI687" s="3267" t="s">
        <v>3487</v>
      </c>
      <c r="BJ687" s="3307">
        <v>38918</v>
      </c>
      <c r="BK687" s="3283"/>
      <c r="BL687" s="3267" t="s">
        <v>2998</v>
      </c>
      <c r="BM687" s="3276"/>
      <c r="BN687" s="3276"/>
      <c r="BO687" s="3276"/>
      <c r="BP687" s="3276"/>
      <c r="BQ687" s="3276" t="e">
        <v>#DIV/0!</v>
      </c>
      <c r="BR687" s="3276" t="e">
        <v>#DIV/0!</v>
      </c>
      <c r="BS687" s="3285"/>
      <c r="BT687" s="3285"/>
      <c r="BU687" s="3285"/>
    </row>
    <row r="688" spans="1:73" hidden="1">
      <c r="A688" s="3267" t="s">
        <v>7821</v>
      </c>
      <c r="B688" s="3267" t="s">
        <v>7822</v>
      </c>
      <c r="C688" s="3269" t="s">
        <v>7823</v>
      </c>
      <c r="D688" s="3269">
        <v>13811170811</v>
      </c>
      <c r="E688" s="3268" t="s">
        <v>2985</v>
      </c>
      <c r="F688" s="3268" t="s">
        <v>3309</v>
      </c>
      <c r="G688" s="3267"/>
      <c r="H688" s="3267" t="s">
        <v>5843</v>
      </c>
      <c r="I688" s="3268"/>
      <c r="J688" s="3267" t="s">
        <v>6370</v>
      </c>
      <c r="K688" s="3267" t="s">
        <v>7822</v>
      </c>
      <c r="L688" s="3267">
        <v>76.180000000000007</v>
      </c>
      <c r="M688" s="3267">
        <v>12</v>
      </c>
      <c r="N688" s="3267" t="s">
        <v>3122</v>
      </c>
      <c r="O688" s="3267"/>
      <c r="P688" s="3267" t="s">
        <v>2963</v>
      </c>
      <c r="Q688" s="3271">
        <v>580000</v>
      </c>
      <c r="R688" s="3288">
        <v>7614</v>
      </c>
      <c r="S688" s="3272">
        <v>46.14</v>
      </c>
      <c r="T688" s="3273">
        <v>461400</v>
      </c>
      <c r="U688" s="3267">
        <v>6058</v>
      </c>
      <c r="V688" s="3289">
        <v>0.2</v>
      </c>
      <c r="W688" s="3272">
        <v>36.909999999999997</v>
      </c>
      <c r="X688" s="3273">
        <v>369100</v>
      </c>
      <c r="Y688" s="3267">
        <v>2006</v>
      </c>
      <c r="Z688" s="3276">
        <v>8</v>
      </c>
      <c r="AA688" s="3276">
        <v>16</v>
      </c>
      <c r="AB688" s="3267">
        <v>1380</v>
      </c>
      <c r="AC688" s="3267" t="s">
        <v>2980</v>
      </c>
      <c r="AD688" s="3269" t="s">
        <v>7824</v>
      </c>
      <c r="AE688" s="3279" t="s">
        <v>3344</v>
      </c>
      <c r="AF688" s="3268" t="s">
        <v>2966</v>
      </c>
      <c r="AG688" s="3279" t="s">
        <v>2967</v>
      </c>
      <c r="AH688" s="3267"/>
      <c r="AI688" s="3279" t="s">
        <v>2992</v>
      </c>
      <c r="AJ688" s="3284"/>
      <c r="AK688" s="3278">
        <v>8</v>
      </c>
      <c r="AL688" s="3276">
        <v>52</v>
      </c>
      <c r="AM688" s="3267" t="s">
        <v>7825</v>
      </c>
      <c r="AN688" s="3279" t="s">
        <v>3114</v>
      </c>
      <c r="AO688" s="3267" t="s">
        <v>2968</v>
      </c>
      <c r="AP688" s="3279" t="s">
        <v>3305</v>
      </c>
      <c r="AQ688" s="3267" t="s">
        <v>3228</v>
      </c>
      <c r="AR688" s="3276"/>
      <c r="AS688" s="3276"/>
      <c r="AT688" s="3276"/>
      <c r="AU688" s="3276"/>
      <c r="AV688" s="3276"/>
      <c r="AW688" s="3276" t="s">
        <v>3119</v>
      </c>
      <c r="AX688" s="3276"/>
      <c r="AY688" s="3291"/>
      <c r="AZ688" s="3267" t="s">
        <v>7826</v>
      </c>
      <c r="BA688" s="3296"/>
      <c r="BB688" s="3297"/>
      <c r="BC688" s="3296"/>
      <c r="BD688" s="3298"/>
      <c r="BE688" s="3276">
        <v>13910738876</v>
      </c>
      <c r="BF688" s="3281"/>
      <c r="BG688" s="3293">
        <v>38922</v>
      </c>
      <c r="BH688" s="3267" t="s">
        <v>2998</v>
      </c>
      <c r="BI688" s="3314" t="s">
        <v>3305</v>
      </c>
      <c r="BJ688" s="3283">
        <v>38922</v>
      </c>
      <c r="BK688" s="3283"/>
      <c r="BL688" s="3267" t="s">
        <v>3249</v>
      </c>
      <c r="BM688" s="3276" t="s">
        <v>2879</v>
      </c>
      <c r="BN688" s="3276" t="s">
        <v>2999</v>
      </c>
      <c r="BO688" s="3276" t="s">
        <v>3000</v>
      </c>
      <c r="BP688" s="3276"/>
      <c r="BQ688" s="3276" t="e">
        <v>#DIV/0!</v>
      </c>
      <c r="BR688" s="3276" t="e">
        <v>#DIV/0!</v>
      </c>
      <c r="BS688" s="3285"/>
      <c r="BT688" s="3285"/>
      <c r="BU688" s="3285"/>
    </row>
    <row r="689" spans="1:238" hidden="1">
      <c r="A689" s="3268" t="s">
        <v>7827</v>
      </c>
      <c r="B689" s="3267" t="s">
        <v>7828</v>
      </c>
      <c r="C689" s="3269" t="s">
        <v>7829</v>
      </c>
      <c r="D689" s="3267">
        <v>13801139932</v>
      </c>
      <c r="E689" s="3267" t="s">
        <v>2985</v>
      </c>
      <c r="F689" s="3267" t="s">
        <v>3385</v>
      </c>
      <c r="G689" s="3267"/>
      <c r="H689" s="3267" t="s">
        <v>3182</v>
      </c>
      <c r="I689" s="3267"/>
      <c r="J689" s="3267" t="s">
        <v>7830</v>
      </c>
      <c r="K689" s="3268" t="s">
        <v>7831</v>
      </c>
      <c r="L689" s="3267">
        <v>120.82</v>
      </c>
      <c r="M689" s="3267">
        <v>11</v>
      </c>
      <c r="N689" s="3267" t="s">
        <v>3122</v>
      </c>
      <c r="O689" s="3267">
        <v>93.7</v>
      </c>
      <c r="P689" s="3267" t="s">
        <v>2963</v>
      </c>
      <c r="Q689" s="3267">
        <v>930000</v>
      </c>
      <c r="R689" s="3267">
        <v>7697</v>
      </c>
      <c r="S689" s="3272">
        <v>82.89</v>
      </c>
      <c r="T689" s="3273">
        <v>828900</v>
      </c>
      <c r="U689" s="3267">
        <v>6861</v>
      </c>
      <c r="V689" s="3289">
        <v>0.3</v>
      </c>
      <c r="W689" s="3272">
        <v>58.02</v>
      </c>
      <c r="X689" s="3275">
        <v>580200</v>
      </c>
      <c r="Y689" s="3267">
        <v>2006</v>
      </c>
      <c r="Z689" s="3276">
        <v>8</v>
      </c>
      <c r="AA689" s="3267">
        <v>3</v>
      </c>
      <c r="AB689" s="3267">
        <v>1500</v>
      </c>
      <c r="AC689" s="3267" t="s">
        <v>2980</v>
      </c>
      <c r="AD689" s="3269" t="s">
        <v>7832</v>
      </c>
      <c r="AE689" s="3267" t="s">
        <v>3424</v>
      </c>
      <c r="AF689" s="3267" t="s">
        <v>2966</v>
      </c>
      <c r="AG689" s="3267" t="s">
        <v>2967</v>
      </c>
      <c r="AH689" s="3267"/>
      <c r="AI689" s="3267" t="s">
        <v>2992</v>
      </c>
      <c r="AJ689" s="3284"/>
      <c r="AK689" s="3278">
        <v>8</v>
      </c>
      <c r="AL689" s="3276">
        <v>67641700</v>
      </c>
      <c r="AM689" s="3267" t="s">
        <v>7833</v>
      </c>
      <c r="AN689" s="3267" t="s">
        <v>3131</v>
      </c>
      <c r="AO689" s="3267" t="s">
        <v>2968</v>
      </c>
      <c r="AP689" s="3267" t="s">
        <v>3424</v>
      </c>
      <c r="AQ689" s="3267" t="s">
        <v>3228</v>
      </c>
      <c r="AR689" s="3267"/>
      <c r="AS689" s="3267"/>
      <c r="AT689" s="3267"/>
      <c r="AU689" s="3267"/>
      <c r="AV689" s="3267"/>
      <c r="AW689" s="3276" t="s">
        <v>3171</v>
      </c>
      <c r="AX689" s="3267"/>
      <c r="AY689" s="3269"/>
      <c r="AZ689" s="3267" t="s">
        <v>7831</v>
      </c>
      <c r="BA689" s="3267"/>
      <c r="BB689" s="3267"/>
      <c r="BC689" s="3267"/>
      <c r="BD689" s="3267"/>
      <c r="BE689" s="3267"/>
      <c r="BF689" s="3267"/>
      <c r="BG689" s="3307">
        <v>38912</v>
      </c>
      <c r="BH689" s="3267"/>
      <c r="BI689" s="3268" t="s">
        <v>3424</v>
      </c>
      <c r="BJ689" s="3284">
        <v>38923</v>
      </c>
      <c r="BK689" s="3283"/>
      <c r="BL689" s="3267" t="s">
        <v>2998</v>
      </c>
      <c r="BM689" s="3267" t="s">
        <v>2879</v>
      </c>
      <c r="BN689" s="3267" t="s">
        <v>2999</v>
      </c>
      <c r="BO689" s="3267" t="s">
        <v>3000</v>
      </c>
      <c r="BP689" s="3267"/>
      <c r="BQ689" s="3276">
        <v>8846</v>
      </c>
      <c r="BR689" s="3276">
        <v>9925</v>
      </c>
      <c r="BS689" s="3285"/>
      <c r="BT689" s="3285"/>
      <c r="BU689" s="3285"/>
    </row>
    <row r="690" spans="1:238">
      <c r="A690" s="3267" t="s">
        <v>7834</v>
      </c>
      <c r="B690" s="3267" t="s">
        <v>7835</v>
      </c>
      <c r="C690" s="3269" t="s">
        <v>7836</v>
      </c>
      <c r="D690" s="3269">
        <v>13011121004</v>
      </c>
      <c r="E690" s="3268" t="s">
        <v>2985</v>
      </c>
      <c r="F690" s="3268" t="s">
        <v>7837</v>
      </c>
      <c r="G690" s="3267"/>
      <c r="H690" s="3267" t="s">
        <v>3150</v>
      </c>
      <c r="I690" s="3268" t="s">
        <v>7838</v>
      </c>
      <c r="J690" s="3267">
        <v>1003</v>
      </c>
      <c r="K690" s="3267" t="s">
        <v>7839</v>
      </c>
      <c r="L690" s="3267">
        <v>73.34</v>
      </c>
      <c r="M690" s="3267">
        <v>10</v>
      </c>
      <c r="N690" s="3267" t="s">
        <v>3122</v>
      </c>
      <c r="O690" s="3267"/>
      <c r="P690" s="3267" t="s">
        <v>2963</v>
      </c>
      <c r="Q690" s="3271">
        <v>514000</v>
      </c>
      <c r="R690" s="3288">
        <v>7008</v>
      </c>
      <c r="S690" s="3272">
        <v>48.66</v>
      </c>
      <c r="T690" s="3273">
        <v>486600</v>
      </c>
      <c r="U690" s="3267">
        <v>6636</v>
      </c>
      <c r="V690" s="3289">
        <v>0.2</v>
      </c>
      <c r="W690" s="3272">
        <v>38.92</v>
      </c>
      <c r="X690" s="3273">
        <v>389200</v>
      </c>
      <c r="Y690" s="3267">
        <v>2006</v>
      </c>
      <c r="Z690" s="3276">
        <v>9</v>
      </c>
      <c r="AA690" s="3276">
        <v>21</v>
      </c>
      <c r="AB690" s="3267">
        <v>1455</v>
      </c>
      <c r="AC690" s="3267" t="s">
        <v>2980</v>
      </c>
      <c r="AD690" s="3269" t="s">
        <v>7840</v>
      </c>
      <c r="AE690" s="3279" t="s">
        <v>3304</v>
      </c>
      <c r="AF690" s="3268" t="s">
        <v>2966</v>
      </c>
      <c r="AG690" s="3279" t="s">
        <v>2967</v>
      </c>
      <c r="AH690" s="3267"/>
      <c r="AI690" s="3279" t="s">
        <v>2992</v>
      </c>
      <c r="AJ690" s="3284"/>
      <c r="AK690" s="3278">
        <v>9</v>
      </c>
      <c r="AL690" s="3276">
        <v>50</v>
      </c>
      <c r="AM690" s="3276"/>
      <c r="AN690" s="3279" t="s">
        <v>2994</v>
      </c>
      <c r="AO690" s="3267"/>
      <c r="AP690" s="3279" t="s">
        <v>4230</v>
      </c>
      <c r="AQ690" s="3267" t="s">
        <v>3228</v>
      </c>
      <c r="AR690" s="3276"/>
      <c r="AS690" s="3276"/>
      <c r="AT690" s="3276"/>
      <c r="AU690" s="3276"/>
      <c r="AV690" s="3276"/>
      <c r="AW690" s="3276" t="s">
        <v>3119</v>
      </c>
      <c r="AX690" s="3276"/>
      <c r="AY690" s="3291"/>
      <c r="AZ690" s="3267" t="s">
        <v>7839</v>
      </c>
      <c r="BA690" s="3296"/>
      <c r="BB690" s="3297"/>
      <c r="BC690" s="3296"/>
      <c r="BD690" s="3298"/>
      <c r="BE690" s="3276">
        <v>13611279793</v>
      </c>
      <c r="BF690" s="3281"/>
      <c r="BG690" s="3293">
        <v>38906</v>
      </c>
      <c r="BH690" s="3267" t="s">
        <v>2998</v>
      </c>
      <c r="BI690" s="3314" t="s">
        <v>4230</v>
      </c>
      <c r="BJ690" s="3283">
        <v>38923</v>
      </c>
      <c r="BK690" s="3283"/>
      <c r="BL690" s="3267" t="s">
        <v>3249</v>
      </c>
      <c r="BM690" s="3276" t="s">
        <v>2879</v>
      </c>
      <c r="BN690" s="3276" t="s">
        <v>2999</v>
      </c>
      <c r="BO690" s="3276" t="s">
        <v>3000</v>
      </c>
      <c r="BP690" s="3276"/>
      <c r="BQ690" s="3276" t="e">
        <v>#DIV/0!</v>
      </c>
      <c r="BR690" s="3276" t="e">
        <v>#DIV/0!</v>
      </c>
      <c r="BS690" s="3285"/>
      <c r="BT690" s="3285"/>
      <c r="BU690" s="3285"/>
    </row>
    <row r="691" spans="1:238" hidden="1">
      <c r="A691" s="3267" t="s">
        <v>7841</v>
      </c>
      <c r="B691" s="3267" t="s">
        <v>7842</v>
      </c>
      <c r="C691" s="3267" t="s">
        <v>7843</v>
      </c>
      <c r="D691" s="3267" t="s">
        <v>7844</v>
      </c>
      <c r="E691" s="3267" t="s">
        <v>2985</v>
      </c>
      <c r="F691" s="3267" t="s">
        <v>6805</v>
      </c>
      <c r="G691" s="3267"/>
      <c r="H691" s="3267" t="s">
        <v>7845</v>
      </c>
      <c r="I691" s="3267" t="s">
        <v>7846</v>
      </c>
      <c r="J691" s="3267"/>
      <c r="K691" s="3267"/>
      <c r="L691" s="3267">
        <v>46.59</v>
      </c>
      <c r="M691" s="3267">
        <v>1</v>
      </c>
      <c r="N691" s="3267" t="s">
        <v>3122</v>
      </c>
      <c r="O691" s="3267"/>
      <c r="P691" s="3267" t="s">
        <v>2963</v>
      </c>
      <c r="Q691" s="3267">
        <v>420000</v>
      </c>
      <c r="R691" s="3267">
        <v>9015</v>
      </c>
      <c r="S691" s="3272">
        <v>35.03</v>
      </c>
      <c r="T691" s="3273">
        <v>350300</v>
      </c>
      <c r="U691" s="3267">
        <v>7520</v>
      </c>
      <c r="V691" s="3289">
        <v>0.2</v>
      </c>
      <c r="W691" s="3272">
        <v>28.02</v>
      </c>
      <c r="X691" s="3275">
        <v>280200</v>
      </c>
      <c r="Y691" s="3267">
        <v>2006</v>
      </c>
      <c r="Z691" s="3267">
        <v>8</v>
      </c>
      <c r="AA691" s="3267">
        <v>29</v>
      </c>
      <c r="AB691" s="3267">
        <v>1050</v>
      </c>
      <c r="AC691" s="3267" t="s">
        <v>2980</v>
      </c>
      <c r="AD691" s="3267">
        <v>91302006071433</v>
      </c>
      <c r="AE691" s="3267" t="s">
        <v>3487</v>
      </c>
      <c r="AF691" s="3267" t="s">
        <v>2966</v>
      </c>
      <c r="AG691" s="3267" t="s">
        <v>2967</v>
      </c>
      <c r="AH691" s="3267" t="s">
        <v>2968</v>
      </c>
      <c r="AI691" s="3267" t="s">
        <v>2992</v>
      </c>
      <c r="AJ691" s="3267"/>
      <c r="AK691" s="3278" t="s">
        <v>4256</v>
      </c>
      <c r="AL691" s="3267">
        <v>26</v>
      </c>
      <c r="AM691" s="3267" t="s">
        <v>7847</v>
      </c>
      <c r="AN691" s="3267" t="s">
        <v>2994</v>
      </c>
      <c r="AO691" s="3267" t="s">
        <v>2968</v>
      </c>
      <c r="AP691" s="3267" t="s">
        <v>3487</v>
      </c>
      <c r="AQ691" s="3267" t="s">
        <v>3113</v>
      </c>
      <c r="AR691" s="3267"/>
      <c r="AS691" s="3267"/>
      <c r="AT691" s="3267"/>
      <c r="AU691" s="3267"/>
      <c r="AV691" s="3267" t="s">
        <v>2968</v>
      </c>
      <c r="AW691" s="3267" t="s">
        <v>3171</v>
      </c>
      <c r="AX691" s="3267"/>
      <c r="AY691" s="3269"/>
      <c r="AZ691" s="3267"/>
      <c r="BA691" s="3267"/>
      <c r="BB691" s="3269"/>
      <c r="BC691" s="3267"/>
      <c r="BD691" s="3304"/>
      <c r="BE691" s="3267"/>
      <c r="BF691" s="3305"/>
      <c r="BG691" s="3284">
        <v>38911</v>
      </c>
      <c r="BH691" s="3267"/>
      <c r="BI691" s="3267" t="s">
        <v>3487</v>
      </c>
      <c r="BJ691" s="3303">
        <v>38923</v>
      </c>
      <c r="BK691" s="3303"/>
      <c r="BL691" s="3267" t="s">
        <v>2998</v>
      </c>
      <c r="BM691" s="3267"/>
      <c r="BN691" s="3267"/>
      <c r="BO691" s="3267"/>
      <c r="BP691" s="3267"/>
      <c r="BQ691" s="3267" t="e">
        <v>#DIV/0!</v>
      </c>
      <c r="BR691" s="3267" t="e">
        <v>#DIV/0!</v>
      </c>
      <c r="BS691" s="3285"/>
      <c r="BT691" s="3285"/>
      <c r="BU691" s="3285"/>
    </row>
    <row r="692" spans="1:238" hidden="1">
      <c r="A692" s="3267" t="s">
        <v>7848</v>
      </c>
      <c r="B692" s="3267" t="s">
        <v>7849</v>
      </c>
      <c r="C692" s="3269" t="s">
        <v>7850</v>
      </c>
      <c r="D692" s="3269" t="s">
        <v>7851</v>
      </c>
      <c r="E692" s="3267" t="s">
        <v>2985</v>
      </c>
      <c r="F692" s="3267" t="s">
        <v>7852</v>
      </c>
      <c r="G692" s="3267"/>
      <c r="H692" s="3267" t="s">
        <v>3169</v>
      </c>
      <c r="I692" s="3267" t="s">
        <v>3608</v>
      </c>
      <c r="J692" s="3269" t="s">
        <v>7853</v>
      </c>
      <c r="K692" s="3267" t="s">
        <v>7854</v>
      </c>
      <c r="L692" s="3267">
        <v>62.63</v>
      </c>
      <c r="M692" s="3267">
        <v>6</v>
      </c>
      <c r="N692" s="3267" t="s">
        <v>3122</v>
      </c>
      <c r="O692" s="3267"/>
      <c r="P692" s="3267" t="s">
        <v>2963</v>
      </c>
      <c r="Q692" s="3271">
        <v>405000</v>
      </c>
      <c r="R692" s="3267">
        <v>6467</v>
      </c>
      <c r="S692" s="3272">
        <v>33.51</v>
      </c>
      <c r="T692" s="3273">
        <v>335100</v>
      </c>
      <c r="U692" s="3267">
        <v>5351</v>
      </c>
      <c r="V692" s="3289">
        <v>0.2</v>
      </c>
      <c r="W692" s="3272">
        <v>26.8</v>
      </c>
      <c r="X692" s="3275">
        <v>268000</v>
      </c>
      <c r="Y692" s="3276">
        <v>2006</v>
      </c>
      <c r="Z692" s="3276">
        <v>9</v>
      </c>
      <c r="AA692" s="3276">
        <v>21</v>
      </c>
      <c r="AB692" s="3267">
        <v>1005</v>
      </c>
      <c r="AC692" s="3267" t="s">
        <v>2980</v>
      </c>
      <c r="AD692" s="3269" t="s">
        <v>7855</v>
      </c>
      <c r="AE692" s="3267" t="s">
        <v>2991</v>
      </c>
      <c r="AF692" s="3267" t="s">
        <v>2966</v>
      </c>
      <c r="AG692" s="3267" t="s">
        <v>2967</v>
      </c>
      <c r="AH692" s="3267"/>
      <c r="AI692" s="3267" t="s">
        <v>2992</v>
      </c>
      <c r="AJ692" s="3284"/>
      <c r="AK692" s="3316" t="s">
        <v>3154</v>
      </c>
      <c r="AL692" s="3267">
        <v>26</v>
      </c>
      <c r="AM692" s="3267"/>
      <c r="AN692" s="3276" t="s">
        <v>2994</v>
      </c>
      <c r="AO692" s="3276"/>
      <c r="AP692" s="3276" t="s">
        <v>2991</v>
      </c>
      <c r="AQ692" s="3267" t="s">
        <v>3228</v>
      </c>
      <c r="AR692" s="3276">
        <v>2006</v>
      </c>
      <c r="AS692" s="3276">
        <v>9</v>
      </c>
      <c r="AT692" s="3276">
        <v>21</v>
      </c>
      <c r="AU692" s="3276"/>
      <c r="AV692" s="3276"/>
      <c r="AW692" s="3276" t="s">
        <v>2997</v>
      </c>
      <c r="AX692" s="3276"/>
      <c r="AY692" s="3291"/>
      <c r="AZ692" s="3276" t="s">
        <v>7854</v>
      </c>
      <c r="BA692" s="3276"/>
      <c r="BB692" s="3291"/>
      <c r="BC692" s="3276"/>
      <c r="BD692" s="3292"/>
      <c r="BE692" s="3276"/>
      <c r="BF692" s="3281"/>
      <c r="BG692" s="3299">
        <v>38910</v>
      </c>
      <c r="BH692" s="3276"/>
      <c r="BI692" s="3267" t="s">
        <v>2991</v>
      </c>
      <c r="BJ692" s="3299">
        <v>38923</v>
      </c>
      <c r="BK692" s="3283"/>
      <c r="BL692" s="3267" t="s">
        <v>2998</v>
      </c>
      <c r="BM692" s="3276" t="s">
        <v>2879</v>
      </c>
      <c r="BN692" s="3267" t="s">
        <v>2999</v>
      </c>
      <c r="BO692" s="3267" t="s">
        <v>3000</v>
      </c>
      <c r="BP692" s="3276"/>
      <c r="BQ692" s="3276" t="e">
        <v>#DIV/0!</v>
      </c>
      <c r="BR692" s="3276" t="e">
        <v>#DIV/0!</v>
      </c>
      <c r="BS692" s="3285"/>
      <c r="BT692" s="3285"/>
      <c r="BU692" s="3285"/>
    </row>
    <row r="693" spans="1:238" hidden="1">
      <c r="A693" s="3268" t="s">
        <v>7856</v>
      </c>
      <c r="B693" s="3267" t="s">
        <v>7857</v>
      </c>
      <c r="C693" s="3269" t="s">
        <v>7858</v>
      </c>
      <c r="D693" s="3269" t="s">
        <v>7859</v>
      </c>
      <c r="E693" s="3267" t="s">
        <v>2985</v>
      </c>
      <c r="F693" s="3268" t="s">
        <v>7860</v>
      </c>
      <c r="G693" s="3267"/>
      <c r="H693" s="3267" t="s">
        <v>6591</v>
      </c>
      <c r="I693" s="3267">
        <v>1002</v>
      </c>
      <c r="J693" s="3269"/>
      <c r="K693" s="3267" t="s">
        <v>7861</v>
      </c>
      <c r="L693" s="3267">
        <v>56.22</v>
      </c>
      <c r="M693" s="3267">
        <v>10</v>
      </c>
      <c r="N693" s="3267" t="s">
        <v>3122</v>
      </c>
      <c r="O693" s="3267"/>
      <c r="P693" s="3267" t="s">
        <v>2963</v>
      </c>
      <c r="Q693" s="3271">
        <v>530000</v>
      </c>
      <c r="R693" s="3267">
        <v>9427</v>
      </c>
      <c r="S693" s="3272">
        <v>46.5</v>
      </c>
      <c r="T693" s="3273">
        <v>465000</v>
      </c>
      <c r="U693" s="3267">
        <v>8272</v>
      </c>
      <c r="V693" s="3289">
        <v>0.2</v>
      </c>
      <c r="W693" s="3272">
        <v>37.200000000000003</v>
      </c>
      <c r="X693" s="3275">
        <v>372000</v>
      </c>
      <c r="Y693" s="3267">
        <v>2006</v>
      </c>
      <c r="Z693" s="3276">
        <v>8</v>
      </c>
      <c r="AA693" s="3276">
        <v>16</v>
      </c>
      <c r="AB693" s="3267">
        <v>1395</v>
      </c>
      <c r="AC693" s="3267" t="s">
        <v>2980</v>
      </c>
      <c r="AD693" s="3267">
        <v>91302006071502</v>
      </c>
      <c r="AE693" s="3267" t="s">
        <v>3487</v>
      </c>
      <c r="AF693" s="3267" t="s">
        <v>2966</v>
      </c>
      <c r="AG693" s="3267" t="s">
        <v>2967</v>
      </c>
      <c r="AH693" s="3267" t="s">
        <v>2968</v>
      </c>
      <c r="AI693" s="3279" t="s">
        <v>2992</v>
      </c>
      <c r="AJ693" s="3284"/>
      <c r="AK693" s="3278">
        <v>8</v>
      </c>
      <c r="AL693" s="3276">
        <v>40</v>
      </c>
      <c r="AM693" s="3267" t="s">
        <v>7862</v>
      </c>
      <c r="AN693" s="3279" t="s">
        <v>2994</v>
      </c>
      <c r="AO693" s="3276" t="s">
        <v>2968</v>
      </c>
      <c r="AP693" s="3276" t="s">
        <v>3487</v>
      </c>
      <c r="AQ693" s="3276" t="s">
        <v>3113</v>
      </c>
      <c r="AR693" s="3276"/>
      <c r="AS693" s="3276"/>
      <c r="AT693" s="3276"/>
      <c r="AU693" s="3276"/>
      <c r="AV693" s="3276" t="s">
        <v>2968</v>
      </c>
      <c r="AW693" s="3276" t="s">
        <v>3171</v>
      </c>
      <c r="AX693" s="3276"/>
      <c r="AY693" s="3291"/>
      <c r="AZ693" s="3267"/>
      <c r="BA693" s="3276"/>
      <c r="BB693" s="3291"/>
      <c r="BC693" s="3276"/>
      <c r="BD693" s="3292"/>
      <c r="BE693" s="3276"/>
      <c r="BF693" s="3281"/>
      <c r="BG693" s="3290">
        <v>38924</v>
      </c>
      <c r="BH693" s="3276"/>
      <c r="BI693" s="3267" t="s">
        <v>3487</v>
      </c>
      <c r="BJ693" s="3290">
        <v>38924</v>
      </c>
      <c r="BK693" s="3283"/>
      <c r="BL693" s="3267" t="s">
        <v>2998</v>
      </c>
      <c r="BM693" s="3276"/>
      <c r="BN693" s="3276"/>
      <c r="BO693" s="3276"/>
      <c r="BP693" s="3276"/>
      <c r="BQ693" s="3276" t="e">
        <v>#DIV/0!</v>
      </c>
      <c r="BR693" s="3276" t="e">
        <v>#DIV/0!</v>
      </c>
      <c r="BS693" s="3285"/>
      <c r="BT693" s="3285"/>
      <c r="BU693" s="3285"/>
    </row>
    <row r="694" spans="1:238" hidden="1">
      <c r="A694" s="3268" t="s">
        <v>7863</v>
      </c>
      <c r="B694" s="3267" t="s">
        <v>7864</v>
      </c>
      <c r="C694" s="3269" t="s">
        <v>7865</v>
      </c>
      <c r="D694" s="3269" t="s">
        <v>7866</v>
      </c>
      <c r="E694" s="3267" t="s">
        <v>2985</v>
      </c>
      <c r="F694" s="3268" t="s">
        <v>6602</v>
      </c>
      <c r="G694" s="3267"/>
      <c r="H694" s="3267" t="s">
        <v>7867</v>
      </c>
      <c r="I694" s="3267" t="s">
        <v>7868</v>
      </c>
      <c r="J694" s="3269"/>
      <c r="K694" s="3267" t="s">
        <v>7869</v>
      </c>
      <c r="L694" s="3267">
        <v>56.77</v>
      </c>
      <c r="M694" s="3267">
        <v>6</v>
      </c>
      <c r="N694" s="3267" t="s">
        <v>3122</v>
      </c>
      <c r="O694" s="3267"/>
      <c r="P694" s="3267" t="s">
        <v>2963</v>
      </c>
      <c r="Q694" s="3271">
        <v>432000</v>
      </c>
      <c r="R694" s="3267">
        <v>7610</v>
      </c>
      <c r="S694" s="3272">
        <v>35.020000000000003</v>
      </c>
      <c r="T694" s="3273">
        <v>350200.00000000006</v>
      </c>
      <c r="U694" s="3267">
        <v>6169</v>
      </c>
      <c r="V694" s="3289">
        <v>0.2</v>
      </c>
      <c r="W694" s="3272">
        <v>28.01</v>
      </c>
      <c r="X694" s="3275">
        <v>280100</v>
      </c>
      <c r="Y694" s="3267">
        <v>2006</v>
      </c>
      <c r="Z694" s="3276">
        <v>8</v>
      </c>
      <c r="AA694" s="3276">
        <v>8</v>
      </c>
      <c r="AB694" s="3267">
        <v>1050</v>
      </c>
      <c r="AC694" s="3267" t="s">
        <v>2980</v>
      </c>
      <c r="AD694" s="3267">
        <v>91302006071011</v>
      </c>
      <c r="AE694" s="3267" t="s">
        <v>3487</v>
      </c>
      <c r="AF694" s="3267" t="s">
        <v>2966</v>
      </c>
      <c r="AG694" s="3267" t="s">
        <v>2967</v>
      </c>
      <c r="AH694" s="3267" t="s">
        <v>2968</v>
      </c>
      <c r="AI694" s="3279" t="s">
        <v>2992</v>
      </c>
      <c r="AJ694" s="3284"/>
      <c r="AK694" s="3278">
        <v>8</v>
      </c>
      <c r="AL694" s="3276">
        <v>30</v>
      </c>
      <c r="AM694" s="3267" t="s">
        <v>7870</v>
      </c>
      <c r="AN694" s="3279" t="s">
        <v>2994</v>
      </c>
      <c r="AO694" s="3276" t="s">
        <v>2968</v>
      </c>
      <c r="AP694" s="3276" t="s">
        <v>3487</v>
      </c>
      <c r="AQ694" s="3276" t="s">
        <v>3113</v>
      </c>
      <c r="AR694" s="3276"/>
      <c r="AS694" s="3276"/>
      <c r="AT694" s="3276"/>
      <c r="AU694" s="3276"/>
      <c r="AV694" s="3276" t="s">
        <v>2968</v>
      </c>
      <c r="AW694" s="3276" t="s">
        <v>3171</v>
      </c>
      <c r="AX694" s="3276"/>
      <c r="AY694" s="3291"/>
      <c r="AZ694" s="3267"/>
      <c r="BA694" s="3276"/>
      <c r="BB694" s="3291"/>
      <c r="BC694" s="3276"/>
      <c r="BD694" s="3292"/>
      <c r="BE694" s="3276"/>
      <c r="BF694" s="3281"/>
      <c r="BG694" s="3290">
        <v>38829</v>
      </c>
      <c r="BH694" s="3276"/>
      <c r="BI694" s="3267" t="s">
        <v>3487</v>
      </c>
      <c r="BJ694" s="3307">
        <v>38917</v>
      </c>
      <c r="BK694" s="3283"/>
      <c r="BL694" s="3267" t="s">
        <v>2998</v>
      </c>
      <c r="BM694" s="3276"/>
      <c r="BN694" s="3276"/>
      <c r="BO694" s="3276"/>
      <c r="BP694" s="3276"/>
      <c r="BQ694" s="3276" t="e">
        <v>#DIV/0!</v>
      </c>
      <c r="BR694" s="3276" t="e">
        <v>#DIV/0!</v>
      </c>
      <c r="BS694" s="3285"/>
      <c r="BT694" s="3285"/>
      <c r="BU694" s="3285"/>
    </row>
    <row r="695" spans="1:238" hidden="1">
      <c r="A695" s="3268" t="s">
        <v>7871</v>
      </c>
      <c r="B695" s="3267" t="s">
        <v>7872</v>
      </c>
      <c r="C695" s="3269" t="s">
        <v>7873</v>
      </c>
      <c r="D695" s="3269" t="s">
        <v>7874</v>
      </c>
      <c r="E695" s="3267" t="s">
        <v>2985</v>
      </c>
      <c r="F695" s="3268" t="s">
        <v>7875</v>
      </c>
      <c r="G695" s="3267"/>
      <c r="H695" s="3267" t="s">
        <v>4737</v>
      </c>
      <c r="I695" s="3267" t="s">
        <v>7876</v>
      </c>
      <c r="J695" s="3269"/>
      <c r="K695" s="3267" t="s">
        <v>7877</v>
      </c>
      <c r="L695" s="3267">
        <v>68.44</v>
      </c>
      <c r="M695" s="3267">
        <v>4</v>
      </c>
      <c r="N695" s="3267" t="s">
        <v>3122</v>
      </c>
      <c r="O695" s="3267"/>
      <c r="P695" s="3267" t="s">
        <v>2963</v>
      </c>
      <c r="Q695" s="3271">
        <v>375000</v>
      </c>
      <c r="R695" s="3267">
        <v>5479</v>
      </c>
      <c r="S695" s="3272">
        <v>27.71</v>
      </c>
      <c r="T695" s="3273">
        <v>277100</v>
      </c>
      <c r="U695" s="3267">
        <v>4049</v>
      </c>
      <c r="V695" s="3289">
        <v>0.2</v>
      </c>
      <c r="W695" s="3272">
        <v>22.16</v>
      </c>
      <c r="X695" s="3275">
        <v>221600</v>
      </c>
      <c r="Y695" s="3267">
        <v>2006</v>
      </c>
      <c r="Z695" s="3276">
        <v>8</v>
      </c>
      <c r="AA695" s="3276">
        <v>17</v>
      </c>
      <c r="AB695" s="3267">
        <v>830</v>
      </c>
      <c r="AC695" s="3267" t="s">
        <v>2980</v>
      </c>
      <c r="AD695" s="3267">
        <v>91302006071644</v>
      </c>
      <c r="AE695" s="3267" t="s">
        <v>3487</v>
      </c>
      <c r="AF695" s="3267" t="s">
        <v>2966</v>
      </c>
      <c r="AG695" s="3267" t="s">
        <v>2967</v>
      </c>
      <c r="AH695" s="3267" t="s">
        <v>2968</v>
      </c>
      <c r="AI695" s="3279" t="s">
        <v>2992</v>
      </c>
      <c r="AJ695" s="3284"/>
      <c r="AK695" s="3278">
        <v>8</v>
      </c>
      <c r="AL695" s="3276">
        <v>40</v>
      </c>
      <c r="AM695" s="3267" t="s">
        <v>7878</v>
      </c>
      <c r="AN695" s="3279" t="s">
        <v>2994</v>
      </c>
      <c r="AO695" s="3276" t="s">
        <v>2968</v>
      </c>
      <c r="AP695" s="3276" t="s">
        <v>3487</v>
      </c>
      <c r="AQ695" s="3267" t="s">
        <v>3228</v>
      </c>
      <c r="AR695" s="3276"/>
      <c r="AS695" s="3276"/>
      <c r="AT695" s="3276"/>
      <c r="AU695" s="3276"/>
      <c r="AV695" s="3276" t="s">
        <v>2968</v>
      </c>
      <c r="AW695" s="3276" t="s">
        <v>3171</v>
      </c>
      <c r="AX695" s="3276"/>
      <c r="AY695" s="3291"/>
      <c r="AZ695" s="3267"/>
      <c r="BA695" s="3276"/>
      <c r="BB695" s="3291"/>
      <c r="BC695" s="3276"/>
      <c r="BD695" s="3292"/>
      <c r="BE695" s="3276"/>
      <c r="BF695" s="3281"/>
      <c r="BG695" s="3290">
        <v>38899</v>
      </c>
      <c r="BH695" s="3276"/>
      <c r="BI695" s="3267" t="s">
        <v>3487</v>
      </c>
      <c r="BJ695" s="3290">
        <v>38925</v>
      </c>
      <c r="BK695" s="3283"/>
      <c r="BL695" s="3267" t="s">
        <v>2998</v>
      </c>
      <c r="BM695" s="3276"/>
      <c r="BN695" s="3276"/>
      <c r="BO695" s="3276"/>
      <c r="BP695" s="3276"/>
      <c r="BQ695" s="3276" t="e">
        <v>#DIV/0!</v>
      </c>
      <c r="BR695" s="3276" t="e">
        <v>#DIV/0!</v>
      </c>
      <c r="BS695" s="3285"/>
      <c r="BT695" s="3285"/>
      <c r="BU695" s="3285"/>
    </row>
    <row r="696" spans="1:238" hidden="1">
      <c r="A696" s="3267" t="s">
        <v>7879</v>
      </c>
      <c r="B696" s="3267" t="s">
        <v>5574</v>
      </c>
      <c r="C696" s="3269" t="s">
        <v>7880</v>
      </c>
      <c r="D696" s="3269">
        <v>13521593171</v>
      </c>
      <c r="E696" s="3268" t="s">
        <v>2985</v>
      </c>
      <c r="F696" s="3268" t="s">
        <v>7881</v>
      </c>
      <c r="G696" s="3267"/>
      <c r="H696" s="3267" t="s">
        <v>5843</v>
      </c>
      <c r="I696" s="3268" t="s">
        <v>3188</v>
      </c>
      <c r="J696" s="3267" t="s">
        <v>3958</v>
      </c>
      <c r="K696" s="3267" t="s">
        <v>5574</v>
      </c>
      <c r="L696" s="3267">
        <v>88.25</v>
      </c>
      <c r="M696" s="3267">
        <v>1</v>
      </c>
      <c r="N696" s="3267" t="s">
        <v>7882</v>
      </c>
      <c r="O696" s="3267">
        <v>73.430000000000007</v>
      </c>
      <c r="P696" s="3267" t="s">
        <v>2963</v>
      </c>
      <c r="Q696" s="3271">
        <v>610000</v>
      </c>
      <c r="R696" s="3288">
        <v>6912</v>
      </c>
      <c r="S696" s="3272">
        <v>57.64</v>
      </c>
      <c r="T696" s="3273">
        <v>576400</v>
      </c>
      <c r="U696" s="3267">
        <v>6532</v>
      </c>
      <c r="V696" s="3289">
        <v>0.2</v>
      </c>
      <c r="W696" s="3272">
        <v>46.11</v>
      </c>
      <c r="X696" s="3273">
        <v>461100</v>
      </c>
      <c r="Y696" s="3267">
        <v>2006</v>
      </c>
      <c r="Z696" s="3276">
        <v>8</v>
      </c>
      <c r="AA696" s="3276">
        <v>23</v>
      </c>
      <c r="AB696" s="3267">
        <v>1500</v>
      </c>
      <c r="AC696" s="3267" t="s">
        <v>2980</v>
      </c>
      <c r="AD696" s="3267" t="s">
        <v>7883</v>
      </c>
      <c r="AE696" s="3279" t="s">
        <v>3344</v>
      </c>
      <c r="AF696" s="3268" t="s">
        <v>2966</v>
      </c>
      <c r="AG696" s="3279" t="s">
        <v>2967</v>
      </c>
      <c r="AH696" s="3267"/>
      <c r="AI696" s="3279" t="s">
        <v>2992</v>
      </c>
      <c r="AJ696" s="3284"/>
      <c r="AK696" s="3278">
        <v>8</v>
      </c>
      <c r="AL696" s="3276">
        <v>58</v>
      </c>
      <c r="AM696" s="3267" t="s">
        <v>7884</v>
      </c>
      <c r="AN696" s="3279" t="s">
        <v>2994</v>
      </c>
      <c r="AO696" s="3267"/>
      <c r="AP696" s="3279" t="s">
        <v>3305</v>
      </c>
      <c r="AQ696" s="3267" t="s">
        <v>3228</v>
      </c>
      <c r="AR696" s="3276"/>
      <c r="AS696" s="3276"/>
      <c r="AT696" s="3276"/>
      <c r="AU696" s="3276"/>
      <c r="AV696" s="3276"/>
      <c r="AW696" s="3276" t="s">
        <v>3119</v>
      </c>
      <c r="AX696" s="3276"/>
      <c r="AY696" s="3291"/>
      <c r="AZ696" s="3267" t="s">
        <v>7885</v>
      </c>
      <c r="BA696" s="3296"/>
      <c r="BB696" s="3297"/>
      <c r="BC696" s="3296"/>
      <c r="BD696" s="3298"/>
      <c r="BE696" s="3276">
        <v>13501346466</v>
      </c>
      <c r="BF696" s="3281"/>
      <c r="BG696" s="3293">
        <v>38925</v>
      </c>
      <c r="BH696" s="3267" t="s">
        <v>2998</v>
      </c>
      <c r="BI696" s="3314" t="s">
        <v>3305</v>
      </c>
      <c r="BJ696" s="3283">
        <v>38926</v>
      </c>
      <c r="BK696" s="3283"/>
      <c r="BL696" s="3267" t="s">
        <v>3249</v>
      </c>
      <c r="BM696" s="3276" t="s">
        <v>2879</v>
      </c>
      <c r="BN696" s="3276" t="s">
        <v>2999</v>
      </c>
      <c r="BO696" s="3276" t="s">
        <v>3000</v>
      </c>
      <c r="BP696" s="3276"/>
      <c r="BQ696" s="3276">
        <v>7850</v>
      </c>
      <c r="BR696" s="3276">
        <v>8307</v>
      </c>
      <c r="BS696" s="3285"/>
      <c r="BT696" s="3285"/>
      <c r="BU696" s="3285"/>
    </row>
    <row r="697" spans="1:238" hidden="1">
      <c r="A697" s="3267" t="s">
        <v>7886</v>
      </c>
      <c r="B697" s="3267" t="s">
        <v>7887</v>
      </c>
      <c r="C697" s="3269" t="s">
        <v>7888</v>
      </c>
      <c r="D697" s="3269" t="s">
        <v>7889</v>
      </c>
      <c r="E697" s="3268" t="s">
        <v>2985</v>
      </c>
      <c r="F697" s="3268" t="s">
        <v>7890</v>
      </c>
      <c r="G697" s="3267"/>
      <c r="H697" s="3267" t="s">
        <v>3130</v>
      </c>
      <c r="I697" s="3268" t="s">
        <v>3191</v>
      </c>
      <c r="J697" s="3268" t="s">
        <v>4867</v>
      </c>
      <c r="K697" s="3267" t="s">
        <v>7891</v>
      </c>
      <c r="L697" s="3267">
        <v>65.150000000000006</v>
      </c>
      <c r="M697" s="3267">
        <v>7</v>
      </c>
      <c r="N697" s="3267" t="s">
        <v>3122</v>
      </c>
      <c r="O697" s="3267"/>
      <c r="P697" s="3267" t="s">
        <v>2963</v>
      </c>
      <c r="Q697" s="3271">
        <v>530000</v>
      </c>
      <c r="R697" s="3267">
        <v>8135</v>
      </c>
      <c r="S697" s="3272">
        <v>50.02</v>
      </c>
      <c r="T697" s="3273">
        <v>500200</v>
      </c>
      <c r="U697" s="3267">
        <v>7678</v>
      </c>
      <c r="V697" s="3289">
        <v>0.2</v>
      </c>
      <c r="W697" s="3272">
        <v>40.01</v>
      </c>
      <c r="X697" s="3275">
        <v>400100</v>
      </c>
      <c r="Y697" s="3276">
        <v>2006</v>
      </c>
      <c r="Z697" s="3276">
        <v>8</v>
      </c>
      <c r="AA697" s="3276">
        <v>11</v>
      </c>
      <c r="AB697" s="3267">
        <v>1500</v>
      </c>
      <c r="AC697" s="3267" t="s">
        <v>2980</v>
      </c>
      <c r="AD697" s="3366">
        <v>91302006071687</v>
      </c>
      <c r="AE697" s="3279" t="s">
        <v>2991</v>
      </c>
      <c r="AF697" s="3268"/>
      <c r="AG697" s="3279" t="s">
        <v>2967</v>
      </c>
      <c r="AH697" s="3267"/>
      <c r="AI697" s="3279" t="s">
        <v>2992</v>
      </c>
      <c r="AJ697" s="3284"/>
      <c r="AK697" s="3278">
        <v>8</v>
      </c>
      <c r="AL697" s="3276">
        <v>37</v>
      </c>
      <c r="AM697" s="3276"/>
      <c r="AN697" s="3279" t="s">
        <v>3140</v>
      </c>
      <c r="AO697" s="3267"/>
      <c r="AP697" s="3279" t="s">
        <v>2991</v>
      </c>
      <c r="AQ697" s="3267" t="s">
        <v>3228</v>
      </c>
      <c r="AR697" s="3276">
        <v>2006</v>
      </c>
      <c r="AS697" s="3276">
        <v>8</v>
      </c>
      <c r="AT697" s="3276">
        <v>11</v>
      </c>
      <c r="AU697" s="3276"/>
      <c r="AV697" s="3276"/>
      <c r="AW697" s="3276" t="s">
        <v>2997</v>
      </c>
      <c r="AX697" s="3276"/>
      <c r="AY697" s="3291"/>
      <c r="AZ697" s="3267" t="s">
        <v>7891</v>
      </c>
      <c r="BA697" s="3296"/>
      <c r="BB697" s="3297"/>
      <c r="BC697" s="3296"/>
      <c r="BD697" s="3298"/>
      <c r="BE697" s="3276"/>
      <c r="BF697" s="3281"/>
      <c r="BG697" s="3293">
        <v>38926</v>
      </c>
      <c r="BH697" s="3267"/>
      <c r="BI697" s="3267" t="s">
        <v>2991</v>
      </c>
      <c r="BJ697" s="3299">
        <v>38926</v>
      </c>
      <c r="BK697" s="3283" t="s">
        <v>2968</v>
      </c>
      <c r="BL697" s="3267"/>
      <c r="BM697" s="3276" t="s">
        <v>2879</v>
      </c>
      <c r="BN697" s="3276" t="s">
        <v>2999</v>
      </c>
      <c r="BO697" s="3276" t="s">
        <v>3146</v>
      </c>
      <c r="BP697" s="3276"/>
      <c r="BQ697" s="3276" t="e">
        <v>#DIV/0!</v>
      </c>
      <c r="BR697" s="3276" t="e">
        <v>#DIV/0!</v>
      </c>
      <c r="BS697" s="3285"/>
      <c r="BT697" s="3285"/>
      <c r="BU697" s="3285"/>
      <c r="BW697" s="3262" t="s">
        <v>3262</v>
      </c>
      <c r="BX697" s="3262" t="s">
        <v>3262</v>
      </c>
      <c r="BY697" s="3262" t="s">
        <v>3262</v>
      </c>
      <c r="BZ697" s="3262" t="s">
        <v>3262</v>
      </c>
      <c r="CA697" s="3262" t="s">
        <v>3262</v>
      </c>
      <c r="CB697" s="3262" t="s">
        <v>3262</v>
      </c>
      <c r="CC697" s="3262" t="s">
        <v>3262</v>
      </c>
      <c r="CD697" s="3262" t="s">
        <v>3262</v>
      </c>
      <c r="CE697" s="3262" t="s">
        <v>3262</v>
      </c>
      <c r="CF697" s="3262" t="s">
        <v>3262</v>
      </c>
      <c r="CG697" s="3262" t="s">
        <v>3262</v>
      </c>
      <c r="CH697" s="3262" t="s">
        <v>3262</v>
      </c>
      <c r="CI697" s="3262" t="s">
        <v>3262</v>
      </c>
      <c r="CJ697" s="3262" t="s">
        <v>3262</v>
      </c>
      <c r="CK697" s="3262" t="s">
        <v>3262</v>
      </c>
      <c r="CL697" s="3262" t="s">
        <v>3262</v>
      </c>
      <c r="CM697" s="3262" t="s">
        <v>3262</v>
      </c>
      <c r="CN697" s="3262" t="s">
        <v>3262</v>
      </c>
      <c r="CO697" s="3262" t="s">
        <v>3262</v>
      </c>
      <c r="CP697" s="3262" t="s">
        <v>3262</v>
      </c>
      <c r="CQ697" s="3262" t="s">
        <v>3262</v>
      </c>
      <c r="CR697" s="3262" t="s">
        <v>3262</v>
      </c>
      <c r="CS697" s="3262" t="s">
        <v>3262</v>
      </c>
      <c r="CT697" s="3262" t="s">
        <v>3262</v>
      </c>
      <c r="CU697" s="3262" t="s">
        <v>3262</v>
      </c>
      <c r="CV697" s="3262" t="s">
        <v>3262</v>
      </c>
      <c r="CW697" s="3262" t="s">
        <v>3262</v>
      </c>
      <c r="CX697" s="3262" t="s">
        <v>3262</v>
      </c>
      <c r="CY697" s="3262" t="s">
        <v>3262</v>
      </c>
      <c r="CZ697" s="3262" t="s">
        <v>3262</v>
      </c>
      <c r="DA697" s="3262" t="s">
        <v>3262</v>
      </c>
      <c r="DB697" s="3262" t="s">
        <v>3262</v>
      </c>
      <c r="DC697" s="3262" t="s">
        <v>3262</v>
      </c>
      <c r="DD697" s="3262" t="s">
        <v>3262</v>
      </c>
      <c r="DE697" s="3262" t="s">
        <v>3262</v>
      </c>
      <c r="DF697" s="3262" t="s">
        <v>3262</v>
      </c>
      <c r="DG697" s="3262" t="s">
        <v>3262</v>
      </c>
      <c r="DH697" s="3262" t="s">
        <v>3262</v>
      </c>
      <c r="DI697" s="3262" t="s">
        <v>3262</v>
      </c>
      <c r="DJ697" s="3262" t="s">
        <v>3262</v>
      </c>
      <c r="DK697" s="3262" t="s">
        <v>3262</v>
      </c>
      <c r="DL697" s="3262" t="s">
        <v>3262</v>
      </c>
      <c r="DM697" s="3262" t="s">
        <v>3262</v>
      </c>
      <c r="DN697" s="3262" t="s">
        <v>3262</v>
      </c>
      <c r="DO697" s="3262" t="s">
        <v>3262</v>
      </c>
      <c r="DP697" s="3262" t="s">
        <v>3262</v>
      </c>
      <c r="DQ697" s="3262" t="s">
        <v>3262</v>
      </c>
      <c r="DR697" s="3262" t="s">
        <v>3262</v>
      </c>
      <c r="DS697" s="3262" t="s">
        <v>3262</v>
      </c>
      <c r="DT697" s="3262" t="s">
        <v>3262</v>
      </c>
      <c r="DU697" s="3262" t="s">
        <v>3262</v>
      </c>
      <c r="DV697" s="3262" t="s">
        <v>3262</v>
      </c>
      <c r="DW697" s="3262" t="s">
        <v>3262</v>
      </c>
      <c r="DX697" s="3262" t="s">
        <v>3262</v>
      </c>
      <c r="DY697" s="3262" t="s">
        <v>3262</v>
      </c>
      <c r="DZ697" s="3262" t="s">
        <v>3262</v>
      </c>
      <c r="EA697" s="3262" t="s">
        <v>3262</v>
      </c>
      <c r="EB697" s="3262" t="s">
        <v>3262</v>
      </c>
      <c r="EC697" s="3262" t="s">
        <v>3262</v>
      </c>
      <c r="ED697" s="3262" t="s">
        <v>3262</v>
      </c>
      <c r="EE697" s="3262" t="s">
        <v>3262</v>
      </c>
      <c r="EF697" s="3262" t="s">
        <v>3262</v>
      </c>
      <c r="EG697" s="3262" t="s">
        <v>3262</v>
      </c>
      <c r="EH697" s="3262" t="s">
        <v>3262</v>
      </c>
      <c r="EI697" s="3262" t="s">
        <v>3262</v>
      </c>
      <c r="EJ697" s="3262" t="s">
        <v>3262</v>
      </c>
      <c r="EK697" s="3262" t="s">
        <v>3262</v>
      </c>
      <c r="EL697" s="3262" t="s">
        <v>3262</v>
      </c>
      <c r="EM697" s="3262" t="s">
        <v>3262</v>
      </c>
      <c r="EN697" s="3262" t="s">
        <v>3262</v>
      </c>
      <c r="EO697" s="3262" t="s">
        <v>3262</v>
      </c>
      <c r="EP697" s="3262" t="s">
        <v>3262</v>
      </c>
      <c r="EQ697" s="3262" t="s">
        <v>3262</v>
      </c>
      <c r="ER697" s="3262" t="s">
        <v>3262</v>
      </c>
      <c r="ES697" s="3262" t="s">
        <v>3262</v>
      </c>
      <c r="ET697" s="3262" t="s">
        <v>3262</v>
      </c>
      <c r="EU697" s="3262" t="s">
        <v>3262</v>
      </c>
      <c r="EV697" s="3262" t="s">
        <v>3262</v>
      </c>
      <c r="EW697" s="3262" t="s">
        <v>3262</v>
      </c>
      <c r="EX697" s="3262" t="s">
        <v>3262</v>
      </c>
      <c r="EY697" s="3262" t="s">
        <v>3262</v>
      </c>
      <c r="EZ697" s="3262" t="s">
        <v>3262</v>
      </c>
      <c r="FA697" s="3262" t="s">
        <v>3262</v>
      </c>
      <c r="FB697" s="3262" t="s">
        <v>3262</v>
      </c>
      <c r="FC697" s="3262" t="s">
        <v>3262</v>
      </c>
      <c r="FD697" s="3262" t="s">
        <v>3262</v>
      </c>
      <c r="FE697" s="3262" t="s">
        <v>3262</v>
      </c>
      <c r="FF697" s="3262" t="s">
        <v>3262</v>
      </c>
      <c r="FG697" s="3262" t="s">
        <v>3262</v>
      </c>
      <c r="FH697" s="3262" t="s">
        <v>3262</v>
      </c>
      <c r="FI697" s="3262" t="s">
        <v>3262</v>
      </c>
      <c r="FJ697" s="3262" t="s">
        <v>3262</v>
      </c>
      <c r="FK697" s="3262" t="s">
        <v>3262</v>
      </c>
      <c r="FL697" s="3262" t="s">
        <v>3262</v>
      </c>
      <c r="FM697" s="3262" t="s">
        <v>3262</v>
      </c>
      <c r="FN697" s="3262" t="s">
        <v>3262</v>
      </c>
      <c r="FO697" s="3262" t="s">
        <v>3262</v>
      </c>
      <c r="FP697" s="3262" t="s">
        <v>3262</v>
      </c>
      <c r="FQ697" s="3262" t="s">
        <v>3262</v>
      </c>
      <c r="FR697" s="3262" t="s">
        <v>3262</v>
      </c>
      <c r="FS697" s="3262" t="s">
        <v>3262</v>
      </c>
      <c r="FT697" s="3262" t="s">
        <v>3262</v>
      </c>
      <c r="FU697" s="3262" t="s">
        <v>3262</v>
      </c>
      <c r="FV697" s="3262" t="s">
        <v>3262</v>
      </c>
      <c r="FW697" s="3262" t="s">
        <v>3262</v>
      </c>
      <c r="FX697" s="3262" t="s">
        <v>3262</v>
      </c>
      <c r="FY697" s="3262" t="s">
        <v>3262</v>
      </c>
      <c r="FZ697" s="3262" t="s">
        <v>3262</v>
      </c>
      <c r="GA697" s="3262" t="s">
        <v>3262</v>
      </c>
      <c r="GB697" s="3262" t="s">
        <v>3262</v>
      </c>
      <c r="GC697" s="3262" t="s">
        <v>3262</v>
      </c>
      <c r="GD697" s="3262" t="s">
        <v>3262</v>
      </c>
      <c r="GE697" s="3262" t="s">
        <v>3262</v>
      </c>
      <c r="GF697" s="3262" t="s">
        <v>3262</v>
      </c>
      <c r="GG697" s="3262" t="s">
        <v>3262</v>
      </c>
      <c r="GH697" s="3262" t="s">
        <v>3262</v>
      </c>
      <c r="GI697" s="3262" t="s">
        <v>3262</v>
      </c>
      <c r="GJ697" s="3262" t="s">
        <v>3262</v>
      </c>
      <c r="GK697" s="3262" t="s">
        <v>3262</v>
      </c>
      <c r="GL697" s="3262" t="s">
        <v>3262</v>
      </c>
      <c r="GM697" s="3262" t="s">
        <v>3262</v>
      </c>
      <c r="GN697" s="3262" t="s">
        <v>3262</v>
      </c>
      <c r="GO697" s="3262" t="s">
        <v>3262</v>
      </c>
      <c r="GP697" s="3262" t="s">
        <v>3262</v>
      </c>
      <c r="GQ697" s="3262" t="s">
        <v>3262</v>
      </c>
      <c r="GR697" s="3262" t="s">
        <v>3262</v>
      </c>
      <c r="GS697" s="3262" t="s">
        <v>3262</v>
      </c>
      <c r="GT697" s="3262" t="s">
        <v>3262</v>
      </c>
      <c r="GU697" s="3262" t="s">
        <v>3262</v>
      </c>
      <c r="GV697" s="3262" t="s">
        <v>3262</v>
      </c>
      <c r="GW697" s="3262" t="s">
        <v>3262</v>
      </c>
      <c r="GX697" s="3262" t="s">
        <v>3262</v>
      </c>
      <c r="GY697" s="3262" t="s">
        <v>3262</v>
      </c>
      <c r="GZ697" s="3262" t="s">
        <v>3262</v>
      </c>
      <c r="HA697" s="3262" t="s">
        <v>3262</v>
      </c>
      <c r="HB697" s="3262" t="s">
        <v>3262</v>
      </c>
      <c r="HC697" s="3262" t="s">
        <v>3262</v>
      </c>
      <c r="HD697" s="3262" t="s">
        <v>3262</v>
      </c>
      <c r="HE697" s="3262" t="s">
        <v>3262</v>
      </c>
      <c r="HF697" s="3262" t="s">
        <v>3262</v>
      </c>
      <c r="HG697" s="3262" t="s">
        <v>3262</v>
      </c>
      <c r="HH697" s="3262" t="s">
        <v>3262</v>
      </c>
      <c r="HI697" s="3262" t="s">
        <v>3262</v>
      </c>
      <c r="HJ697" s="3262" t="s">
        <v>3262</v>
      </c>
      <c r="HK697" s="3262" t="s">
        <v>3262</v>
      </c>
      <c r="HL697" s="3262" t="s">
        <v>3262</v>
      </c>
      <c r="HM697" s="3262" t="s">
        <v>3262</v>
      </c>
      <c r="HN697" s="3262" t="s">
        <v>3262</v>
      </c>
      <c r="HO697" s="3262" t="s">
        <v>3262</v>
      </c>
      <c r="HP697" s="3262" t="s">
        <v>3262</v>
      </c>
      <c r="HQ697" s="3262" t="s">
        <v>3262</v>
      </c>
      <c r="HR697" s="3262" t="s">
        <v>3262</v>
      </c>
      <c r="HS697" s="3262" t="s">
        <v>3262</v>
      </c>
      <c r="HT697" s="3262" t="s">
        <v>3262</v>
      </c>
      <c r="HU697" s="3262" t="s">
        <v>3262</v>
      </c>
      <c r="HV697" s="3262" t="s">
        <v>3262</v>
      </c>
      <c r="HW697" s="3262" t="s">
        <v>3262</v>
      </c>
      <c r="HX697" s="3262" t="s">
        <v>3262</v>
      </c>
      <c r="HY697" s="3262" t="s">
        <v>3262</v>
      </c>
      <c r="HZ697" s="3262" t="s">
        <v>3262</v>
      </c>
      <c r="IA697" s="3262" t="s">
        <v>3262</v>
      </c>
      <c r="IB697" s="3262" t="s">
        <v>3262</v>
      </c>
      <c r="IC697" s="3262" t="s">
        <v>3262</v>
      </c>
      <c r="ID697" s="3262" t="s">
        <v>3262</v>
      </c>
    </row>
    <row r="698" spans="1:238" hidden="1">
      <c r="A698" s="3267" t="s">
        <v>7892</v>
      </c>
      <c r="B698" s="3267" t="s">
        <v>7893</v>
      </c>
      <c r="C698" s="3269" t="s">
        <v>7894</v>
      </c>
      <c r="D698" s="3269" t="s">
        <v>7895</v>
      </c>
      <c r="E698" s="3268" t="s">
        <v>2985</v>
      </c>
      <c r="F698" s="3268" t="s">
        <v>4143</v>
      </c>
      <c r="G698" s="3267"/>
      <c r="H698" s="3267" t="s">
        <v>3118</v>
      </c>
      <c r="I698" s="3268" t="s">
        <v>3608</v>
      </c>
      <c r="J698" s="3267" t="s">
        <v>3512</v>
      </c>
      <c r="K698" s="3267" t="s">
        <v>7896</v>
      </c>
      <c r="L698" s="3267">
        <v>65.900000000000006</v>
      </c>
      <c r="M698" s="3267">
        <v>5</v>
      </c>
      <c r="N698" s="3267" t="s">
        <v>3152</v>
      </c>
      <c r="O698" s="3267">
        <v>55.06</v>
      </c>
      <c r="P698" s="3268" t="s">
        <v>2963</v>
      </c>
      <c r="Q698" s="3271">
        <v>360000</v>
      </c>
      <c r="R698" s="3270">
        <v>5463</v>
      </c>
      <c r="S698" s="3272">
        <v>34.26</v>
      </c>
      <c r="T698" s="3273">
        <v>342600</v>
      </c>
      <c r="U698" s="3267">
        <v>5200</v>
      </c>
      <c r="V698" s="3289">
        <v>0.2</v>
      </c>
      <c r="W698" s="3272">
        <v>27.4</v>
      </c>
      <c r="X698" s="3275">
        <v>274000</v>
      </c>
      <c r="Y698" s="3276">
        <v>2006</v>
      </c>
      <c r="Z698" s="3276">
        <v>8</v>
      </c>
      <c r="AA698" s="3276">
        <v>14</v>
      </c>
      <c r="AB698" s="3267">
        <v>1025</v>
      </c>
      <c r="AC698" s="3267" t="s">
        <v>2980</v>
      </c>
      <c r="AD698" s="3280" t="s">
        <v>7897</v>
      </c>
      <c r="AE698" s="3267" t="s">
        <v>3180</v>
      </c>
      <c r="AF698" s="3267" t="s">
        <v>2966</v>
      </c>
      <c r="AG698" s="3279" t="s">
        <v>2967</v>
      </c>
      <c r="AH698" s="3267" t="s">
        <v>2968</v>
      </c>
      <c r="AI698" s="3279" t="s">
        <v>2992</v>
      </c>
      <c r="AJ698" s="3284"/>
      <c r="AK698" s="3267" t="s">
        <v>4256</v>
      </c>
      <c r="AL698" s="3267">
        <v>56</v>
      </c>
      <c r="AM698" s="3276"/>
      <c r="AN698" s="3267" t="s">
        <v>3114</v>
      </c>
      <c r="AO698" s="3276"/>
      <c r="AP698" s="3267" t="s">
        <v>3180</v>
      </c>
      <c r="AQ698" s="3267" t="s">
        <v>3228</v>
      </c>
      <c r="AR698" s="3276">
        <v>2006</v>
      </c>
      <c r="AS698" s="3276">
        <v>8</v>
      </c>
      <c r="AT698" s="3276">
        <v>1</v>
      </c>
      <c r="AU698" s="3276"/>
      <c r="AV698" s="3276" t="s">
        <v>2968</v>
      </c>
      <c r="AW698" s="3276" t="s">
        <v>2997</v>
      </c>
      <c r="AX698" s="3276"/>
      <c r="AY698" s="3291"/>
      <c r="AZ698" s="3267" t="s">
        <v>7896</v>
      </c>
      <c r="BA698" s="3296"/>
      <c r="BB698" s="3297"/>
      <c r="BC698" s="3296"/>
      <c r="BD698" s="3298"/>
      <c r="BE698" s="3276"/>
      <c r="BF698" s="3281"/>
      <c r="BG698" s="3293">
        <v>38925</v>
      </c>
      <c r="BH698" s="3267"/>
      <c r="BI698" s="3267" t="s">
        <v>3180</v>
      </c>
      <c r="BJ698" s="3293">
        <v>38926</v>
      </c>
      <c r="BK698" s="3283"/>
      <c r="BL698" s="3267" t="s">
        <v>2998</v>
      </c>
      <c r="BM698" s="3276" t="s">
        <v>2879</v>
      </c>
      <c r="BN698" s="3267" t="s">
        <v>2999</v>
      </c>
      <c r="BO698" s="3267" t="s">
        <v>3146</v>
      </c>
      <c r="BP698" s="3276"/>
      <c r="BQ698" s="3276" t="e">
        <v>#DIV/0!</v>
      </c>
      <c r="BR698" s="3276" t="e">
        <v>#DIV/0!</v>
      </c>
      <c r="BS698" s="3285"/>
      <c r="BT698" s="3285"/>
      <c r="BU698" s="3285"/>
    </row>
    <row r="699" spans="1:238" hidden="1">
      <c r="A699" s="3267" t="s">
        <v>7898</v>
      </c>
      <c r="B699" s="3267" t="s">
        <v>7899</v>
      </c>
      <c r="C699" s="3269" t="s">
        <v>7900</v>
      </c>
      <c r="D699" s="3269" t="s">
        <v>7901</v>
      </c>
      <c r="E699" s="3268" t="s">
        <v>2985</v>
      </c>
      <c r="F699" s="3268" t="s">
        <v>7902</v>
      </c>
      <c r="G699" s="3267"/>
      <c r="H699" s="3267" t="s">
        <v>3194</v>
      </c>
      <c r="I699" s="3268" t="s">
        <v>3642</v>
      </c>
      <c r="J699" s="3268" t="s">
        <v>3151</v>
      </c>
      <c r="K699" s="3267" t="s">
        <v>7903</v>
      </c>
      <c r="L699" s="3267">
        <v>114.06</v>
      </c>
      <c r="M699" s="3267">
        <v>5</v>
      </c>
      <c r="N699" s="3267" t="s">
        <v>2989</v>
      </c>
      <c r="O699" s="3267"/>
      <c r="P699" s="3267" t="s">
        <v>2963</v>
      </c>
      <c r="Q699" s="3271">
        <v>1037946</v>
      </c>
      <c r="R699" s="3267">
        <v>9100</v>
      </c>
      <c r="S699" s="3272">
        <v>85.46</v>
      </c>
      <c r="T699" s="3273">
        <v>854600</v>
      </c>
      <c r="U699" s="3267">
        <v>7493</v>
      </c>
      <c r="V699" s="3289">
        <v>0.3</v>
      </c>
      <c r="W699" s="3272">
        <v>59.82</v>
      </c>
      <c r="X699" s="3275">
        <v>598200</v>
      </c>
      <c r="Y699" s="3276">
        <v>2006</v>
      </c>
      <c r="Z699" s="3276">
        <v>8</v>
      </c>
      <c r="AA699" s="3276">
        <v>17</v>
      </c>
      <c r="AB699" s="3267">
        <v>1500</v>
      </c>
      <c r="AC699" s="3267" t="s">
        <v>2980</v>
      </c>
      <c r="AD699" s="3366">
        <v>91302006071729</v>
      </c>
      <c r="AE699" s="3279" t="s">
        <v>2991</v>
      </c>
      <c r="AF699" s="3268"/>
      <c r="AG699" s="3279" t="s">
        <v>2967</v>
      </c>
      <c r="AH699" s="3267"/>
      <c r="AI699" s="3279" t="s">
        <v>2992</v>
      </c>
      <c r="AJ699" s="3284"/>
      <c r="AK699" s="3278">
        <v>8</v>
      </c>
      <c r="AL699" s="3276">
        <v>59</v>
      </c>
      <c r="AM699" s="3276"/>
      <c r="AN699" s="3279" t="s">
        <v>3114</v>
      </c>
      <c r="AO699" s="3267"/>
      <c r="AP699" s="3279" t="s">
        <v>2991</v>
      </c>
      <c r="AQ699" s="3267" t="s">
        <v>3228</v>
      </c>
      <c r="AR699" s="3276">
        <v>2006</v>
      </c>
      <c r="AS699" s="3276">
        <v>8</v>
      </c>
      <c r="AT699" s="3276">
        <v>17</v>
      </c>
      <c r="AU699" s="3276"/>
      <c r="AV699" s="3276"/>
      <c r="AW699" s="3276" t="s">
        <v>2997</v>
      </c>
      <c r="AX699" s="3276"/>
      <c r="AY699" s="3291"/>
      <c r="AZ699" s="3267" t="s">
        <v>7903</v>
      </c>
      <c r="BA699" s="3296"/>
      <c r="BB699" s="3297"/>
      <c r="BC699" s="3296"/>
      <c r="BD699" s="3298"/>
      <c r="BE699" s="3276"/>
      <c r="BF699" s="3281"/>
      <c r="BG699" s="3293">
        <v>38926</v>
      </c>
      <c r="BH699" s="3267"/>
      <c r="BI699" s="3267" t="s">
        <v>2991</v>
      </c>
      <c r="BJ699" s="3299">
        <v>38926</v>
      </c>
      <c r="BK699" s="3283" t="s">
        <v>2968</v>
      </c>
      <c r="BL699" s="3267" t="s">
        <v>2998</v>
      </c>
      <c r="BM699" s="3276" t="s">
        <v>2879</v>
      </c>
      <c r="BN699" s="3276" t="s">
        <v>2999</v>
      </c>
      <c r="BO699" s="3276" t="s">
        <v>3146</v>
      </c>
      <c r="BP699" s="3276"/>
      <c r="BQ699" s="3276" t="e">
        <v>#DIV/0!</v>
      </c>
      <c r="BR699" s="3276" t="e">
        <v>#DIV/0!</v>
      </c>
      <c r="BS699" s="3285"/>
      <c r="BT699" s="3285"/>
      <c r="BU699" s="3285"/>
      <c r="BW699" s="3262" t="s">
        <v>3262</v>
      </c>
      <c r="BX699" s="3262" t="s">
        <v>3262</v>
      </c>
      <c r="BY699" s="3262" t="s">
        <v>3262</v>
      </c>
      <c r="BZ699" s="3262" t="s">
        <v>3262</v>
      </c>
      <c r="CA699" s="3262" t="s">
        <v>3262</v>
      </c>
      <c r="CB699" s="3262" t="s">
        <v>3262</v>
      </c>
      <c r="CC699" s="3262" t="s">
        <v>3262</v>
      </c>
      <c r="CD699" s="3262" t="s">
        <v>3262</v>
      </c>
      <c r="CE699" s="3262" t="s">
        <v>3262</v>
      </c>
      <c r="CF699" s="3262" t="s">
        <v>3262</v>
      </c>
      <c r="CG699" s="3262" t="s">
        <v>3262</v>
      </c>
      <c r="CH699" s="3262" t="s">
        <v>3262</v>
      </c>
      <c r="CI699" s="3262" t="s">
        <v>3262</v>
      </c>
      <c r="CJ699" s="3262" t="s">
        <v>3262</v>
      </c>
      <c r="CK699" s="3262" t="s">
        <v>3262</v>
      </c>
      <c r="CL699" s="3262" t="s">
        <v>3262</v>
      </c>
      <c r="CM699" s="3262" t="s">
        <v>3262</v>
      </c>
      <c r="CN699" s="3262" t="s">
        <v>3262</v>
      </c>
      <c r="CO699" s="3262" t="s">
        <v>3262</v>
      </c>
      <c r="CP699" s="3262" t="s">
        <v>3262</v>
      </c>
      <c r="CQ699" s="3262" t="s">
        <v>3262</v>
      </c>
      <c r="CR699" s="3262" t="s">
        <v>3262</v>
      </c>
      <c r="CS699" s="3262" t="s">
        <v>3262</v>
      </c>
      <c r="CT699" s="3262" t="s">
        <v>3262</v>
      </c>
      <c r="CU699" s="3262" t="s">
        <v>3262</v>
      </c>
      <c r="CV699" s="3262" t="s">
        <v>3262</v>
      </c>
      <c r="CW699" s="3262" t="s">
        <v>3262</v>
      </c>
      <c r="CX699" s="3262" t="s">
        <v>3262</v>
      </c>
      <c r="CY699" s="3262" t="s">
        <v>3262</v>
      </c>
      <c r="CZ699" s="3262" t="s">
        <v>3262</v>
      </c>
      <c r="DA699" s="3262" t="s">
        <v>3262</v>
      </c>
      <c r="DB699" s="3262" t="s">
        <v>3262</v>
      </c>
      <c r="DC699" s="3262" t="s">
        <v>3262</v>
      </c>
      <c r="DD699" s="3262" t="s">
        <v>3262</v>
      </c>
      <c r="DE699" s="3262" t="s">
        <v>3262</v>
      </c>
      <c r="DF699" s="3262" t="s">
        <v>3262</v>
      </c>
      <c r="DG699" s="3262" t="s">
        <v>3262</v>
      </c>
      <c r="DH699" s="3262" t="s">
        <v>3262</v>
      </c>
      <c r="DI699" s="3262" t="s">
        <v>3262</v>
      </c>
      <c r="DJ699" s="3262" t="s">
        <v>3262</v>
      </c>
      <c r="DK699" s="3262" t="s">
        <v>3262</v>
      </c>
      <c r="DL699" s="3262" t="s">
        <v>3262</v>
      </c>
      <c r="DM699" s="3262" t="s">
        <v>3262</v>
      </c>
      <c r="DN699" s="3262" t="s">
        <v>3262</v>
      </c>
      <c r="DO699" s="3262" t="s">
        <v>3262</v>
      </c>
      <c r="DP699" s="3262" t="s">
        <v>3262</v>
      </c>
      <c r="DQ699" s="3262" t="s">
        <v>3262</v>
      </c>
      <c r="DR699" s="3262" t="s">
        <v>3262</v>
      </c>
      <c r="DS699" s="3262" t="s">
        <v>3262</v>
      </c>
      <c r="DT699" s="3262" t="s">
        <v>3262</v>
      </c>
      <c r="DU699" s="3262" t="s">
        <v>3262</v>
      </c>
      <c r="DV699" s="3262" t="s">
        <v>3262</v>
      </c>
      <c r="DW699" s="3262" t="s">
        <v>3262</v>
      </c>
      <c r="DX699" s="3262" t="s">
        <v>3262</v>
      </c>
      <c r="DY699" s="3262" t="s">
        <v>3262</v>
      </c>
      <c r="DZ699" s="3262" t="s">
        <v>3262</v>
      </c>
      <c r="EA699" s="3262" t="s">
        <v>3262</v>
      </c>
      <c r="EB699" s="3262" t="s">
        <v>3262</v>
      </c>
      <c r="EC699" s="3262" t="s">
        <v>3262</v>
      </c>
      <c r="ED699" s="3262" t="s">
        <v>3262</v>
      </c>
      <c r="EE699" s="3262" t="s">
        <v>3262</v>
      </c>
      <c r="EF699" s="3262" t="s">
        <v>3262</v>
      </c>
      <c r="EG699" s="3262" t="s">
        <v>3262</v>
      </c>
      <c r="EH699" s="3262" t="s">
        <v>3262</v>
      </c>
      <c r="EI699" s="3262" t="s">
        <v>3262</v>
      </c>
      <c r="EJ699" s="3262" t="s">
        <v>3262</v>
      </c>
      <c r="EK699" s="3262" t="s">
        <v>3262</v>
      </c>
      <c r="EL699" s="3262" t="s">
        <v>3262</v>
      </c>
      <c r="EM699" s="3262" t="s">
        <v>3262</v>
      </c>
      <c r="EN699" s="3262" t="s">
        <v>3262</v>
      </c>
      <c r="EO699" s="3262" t="s">
        <v>3262</v>
      </c>
      <c r="EP699" s="3262" t="s">
        <v>3262</v>
      </c>
      <c r="EQ699" s="3262" t="s">
        <v>3262</v>
      </c>
      <c r="ER699" s="3262" t="s">
        <v>3262</v>
      </c>
      <c r="ES699" s="3262" t="s">
        <v>3262</v>
      </c>
      <c r="ET699" s="3262" t="s">
        <v>3262</v>
      </c>
      <c r="EU699" s="3262" t="s">
        <v>3262</v>
      </c>
      <c r="EV699" s="3262" t="s">
        <v>3262</v>
      </c>
      <c r="EW699" s="3262" t="s">
        <v>3262</v>
      </c>
      <c r="EX699" s="3262" t="s">
        <v>3262</v>
      </c>
      <c r="EY699" s="3262" t="s">
        <v>3262</v>
      </c>
      <c r="EZ699" s="3262" t="s">
        <v>3262</v>
      </c>
      <c r="FA699" s="3262" t="s">
        <v>3262</v>
      </c>
      <c r="FB699" s="3262" t="s">
        <v>3262</v>
      </c>
      <c r="FC699" s="3262" t="s">
        <v>3262</v>
      </c>
      <c r="FD699" s="3262" t="s">
        <v>3262</v>
      </c>
      <c r="FE699" s="3262" t="s">
        <v>3262</v>
      </c>
      <c r="FF699" s="3262" t="s">
        <v>3262</v>
      </c>
      <c r="FG699" s="3262" t="s">
        <v>3262</v>
      </c>
      <c r="FH699" s="3262" t="s">
        <v>3262</v>
      </c>
      <c r="FI699" s="3262" t="s">
        <v>3262</v>
      </c>
      <c r="FJ699" s="3262" t="s">
        <v>3262</v>
      </c>
      <c r="FK699" s="3262" t="s">
        <v>3262</v>
      </c>
      <c r="FL699" s="3262" t="s">
        <v>3262</v>
      </c>
      <c r="FM699" s="3262" t="s">
        <v>3262</v>
      </c>
      <c r="FN699" s="3262" t="s">
        <v>3262</v>
      </c>
      <c r="FO699" s="3262" t="s">
        <v>3262</v>
      </c>
      <c r="FP699" s="3262" t="s">
        <v>3262</v>
      </c>
      <c r="FQ699" s="3262" t="s">
        <v>3262</v>
      </c>
      <c r="FR699" s="3262" t="s">
        <v>3262</v>
      </c>
      <c r="FS699" s="3262" t="s">
        <v>3262</v>
      </c>
      <c r="FT699" s="3262" t="s">
        <v>3262</v>
      </c>
      <c r="FU699" s="3262" t="s">
        <v>3262</v>
      </c>
      <c r="FV699" s="3262" t="s">
        <v>3262</v>
      </c>
      <c r="FW699" s="3262" t="s">
        <v>3262</v>
      </c>
      <c r="FX699" s="3262" t="s">
        <v>3262</v>
      </c>
      <c r="FY699" s="3262" t="s">
        <v>3262</v>
      </c>
      <c r="FZ699" s="3262" t="s">
        <v>3262</v>
      </c>
      <c r="GA699" s="3262" t="s">
        <v>3262</v>
      </c>
      <c r="GB699" s="3262" t="s">
        <v>3262</v>
      </c>
      <c r="GC699" s="3262" t="s">
        <v>3262</v>
      </c>
      <c r="GD699" s="3262" t="s">
        <v>3262</v>
      </c>
      <c r="GE699" s="3262" t="s">
        <v>3262</v>
      </c>
      <c r="GF699" s="3262" t="s">
        <v>3262</v>
      </c>
      <c r="GG699" s="3262" t="s">
        <v>3262</v>
      </c>
      <c r="GH699" s="3262" t="s">
        <v>3262</v>
      </c>
      <c r="GI699" s="3262" t="s">
        <v>3262</v>
      </c>
      <c r="GJ699" s="3262" t="s">
        <v>3262</v>
      </c>
      <c r="GK699" s="3262" t="s">
        <v>3262</v>
      </c>
      <c r="GL699" s="3262" t="s">
        <v>3262</v>
      </c>
      <c r="GM699" s="3262" t="s">
        <v>3262</v>
      </c>
      <c r="GN699" s="3262" t="s">
        <v>3262</v>
      </c>
      <c r="GO699" s="3262" t="s">
        <v>3262</v>
      </c>
      <c r="GP699" s="3262" t="s">
        <v>3262</v>
      </c>
      <c r="GQ699" s="3262" t="s">
        <v>3262</v>
      </c>
      <c r="GR699" s="3262" t="s">
        <v>3262</v>
      </c>
      <c r="GS699" s="3262" t="s">
        <v>3262</v>
      </c>
      <c r="GT699" s="3262" t="s">
        <v>3262</v>
      </c>
      <c r="GU699" s="3262" t="s">
        <v>3262</v>
      </c>
      <c r="GV699" s="3262" t="s">
        <v>3262</v>
      </c>
      <c r="GW699" s="3262" t="s">
        <v>3262</v>
      </c>
      <c r="GX699" s="3262" t="s">
        <v>3262</v>
      </c>
      <c r="GY699" s="3262" t="s">
        <v>3262</v>
      </c>
      <c r="GZ699" s="3262" t="s">
        <v>3262</v>
      </c>
      <c r="HA699" s="3262" t="s">
        <v>3262</v>
      </c>
      <c r="HB699" s="3262" t="s">
        <v>3262</v>
      </c>
      <c r="HC699" s="3262" t="s">
        <v>3262</v>
      </c>
      <c r="HD699" s="3262" t="s">
        <v>3262</v>
      </c>
      <c r="HE699" s="3262" t="s">
        <v>3262</v>
      </c>
      <c r="HF699" s="3262" t="s">
        <v>3262</v>
      </c>
      <c r="HG699" s="3262" t="s">
        <v>3262</v>
      </c>
      <c r="HH699" s="3262" t="s">
        <v>3262</v>
      </c>
      <c r="HI699" s="3262" t="s">
        <v>3262</v>
      </c>
      <c r="HJ699" s="3262" t="s">
        <v>3262</v>
      </c>
      <c r="HK699" s="3262" t="s">
        <v>3262</v>
      </c>
      <c r="HL699" s="3262" t="s">
        <v>3262</v>
      </c>
      <c r="HM699" s="3262" t="s">
        <v>3262</v>
      </c>
      <c r="HN699" s="3262" t="s">
        <v>3262</v>
      </c>
      <c r="HO699" s="3262" t="s">
        <v>3262</v>
      </c>
      <c r="HP699" s="3262" t="s">
        <v>3262</v>
      </c>
      <c r="HQ699" s="3262" t="s">
        <v>3262</v>
      </c>
      <c r="HR699" s="3262" t="s">
        <v>3262</v>
      </c>
      <c r="HS699" s="3262" t="s">
        <v>3262</v>
      </c>
      <c r="HT699" s="3262" t="s">
        <v>3262</v>
      </c>
      <c r="HU699" s="3262" t="s">
        <v>3262</v>
      </c>
      <c r="HV699" s="3262" t="s">
        <v>3262</v>
      </c>
      <c r="HW699" s="3262" t="s">
        <v>3262</v>
      </c>
      <c r="HX699" s="3262" t="s">
        <v>3262</v>
      </c>
      <c r="HY699" s="3262" t="s">
        <v>3262</v>
      </c>
      <c r="HZ699" s="3262" t="s">
        <v>3262</v>
      </c>
      <c r="IA699" s="3262" t="s">
        <v>3262</v>
      </c>
      <c r="IB699" s="3262" t="s">
        <v>3262</v>
      </c>
      <c r="IC699" s="3262" t="s">
        <v>3262</v>
      </c>
      <c r="ID699" s="3262" t="s">
        <v>3262</v>
      </c>
    </row>
    <row r="700" spans="1:238" hidden="1">
      <c r="A700" s="3267" t="s">
        <v>7904</v>
      </c>
      <c r="B700" s="3267" t="s">
        <v>7905</v>
      </c>
      <c r="C700" s="3269" t="s">
        <v>7906</v>
      </c>
      <c r="D700" s="3269" t="s">
        <v>7907</v>
      </c>
      <c r="E700" s="3268" t="s">
        <v>2985</v>
      </c>
      <c r="F700" s="3268" t="s">
        <v>4129</v>
      </c>
      <c r="G700" s="3267"/>
      <c r="H700" s="3268" t="s">
        <v>3127</v>
      </c>
      <c r="I700" s="3268" t="s">
        <v>3264</v>
      </c>
      <c r="J700" s="3267" t="s">
        <v>3301</v>
      </c>
      <c r="K700" s="3267" t="s">
        <v>7908</v>
      </c>
      <c r="L700" s="3267">
        <v>70.27</v>
      </c>
      <c r="M700" s="3267">
        <v>5</v>
      </c>
      <c r="N700" s="3267" t="s">
        <v>3122</v>
      </c>
      <c r="O700" s="3267">
        <v>63.16</v>
      </c>
      <c r="P700" s="3267" t="s">
        <v>2963</v>
      </c>
      <c r="Q700" s="3271">
        <v>380000</v>
      </c>
      <c r="R700" s="3267">
        <v>5408</v>
      </c>
      <c r="S700" s="3272">
        <v>36.25</v>
      </c>
      <c r="T700" s="3273">
        <v>362500</v>
      </c>
      <c r="U700" s="3267">
        <v>5160</v>
      </c>
      <c r="V700" s="3289">
        <v>0.2</v>
      </c>
      <c r="W700" s="3272">
        <v>29</v>
      </c>
      <c r="X700" s="3275">
        <v>290000</v>
      </c>
      <c r="Y700" s="3276">
        <v>2006</v>
      </c>
      <c r="Z700" s="3276">
        <v>8</v>
      </c>
      <c r="AA700" s="3276">
        <v>8</v>
      </c>
      <c r="AB700" s="3267">
        <v>1085</v>
      </c>
      <c r="AC700" s="3267" t="s">
        <v>2980</v>
      </c>
      <c r="AD700" s="3280" t="s">
        <v>7909</v>
      </c>
      <c r="AE700" s="3279" t="s">
        <v>3180</v>
      </c>
      <c r="AF700" s="3268" t="s">
        <v>2966</v>
      </c>
      <c r="AG700" s="3279" t="s">
        <v>2967</v>
      </c>
      <c r="AH700" s="3267" t="s">
        <v>2968</v>
      </c>
      <c r="AI700" s="3279" t="s">
        <v>2992</v>
      </c>
      <c r="AJ700" s="3284"/>
      <c r="AK700" s="3278">
        <v>8</v>
      </c>
      <c r="AL700" s="3276">
        <v>42</v>
      </c>
      <c r="AM700" s="3276" t="s">
        <v>7910</v>
      </c>
      <c r="AN700" s="3279" t="s">
        <v>3140</v>
      </c>
      <c r="AO700" s="3267"/>
      <c r="AP700" s="3267" t="s">
        <v>3180</v>
      </c>
      <c r="AQ700" s="3267" t="s">
        <v>3228</v>
      </c>
      <c r="AR700" s="3276">
        <v>2006</v>
      </c>
      <c r="AS700" s="3276">
        <v>8</v>
      </c>
      <c r="AT700" s="3276">
        <v>8</v>
      </c>
      <c r="AU700" s="3276"/>
      <c r="AV700" s="3276"/>
      <c r="AW700" s="3276" t="s">
        <v>3119</v>
      </c>
      <c r="AX700" s="3276"/>
      <c r="AY700" s="3291"/>
      <c r="AZ700" s="3267" t="s">
        <v>7908</v>
      </c>
      <c r="BA700" s="3296"/>
      <c r="BB700" s="3297"/>
      <c r="BC700" s="3296"/>
      <c r="BD700" s="3298"/>
      <c r="BE700" s="3276"/>
      <c r="BF700" s="3281"/>
      <c r="BG700" s="3293">
        <v>38926</v>
      </c>
      <c r="BH700" s="3267"/>
      <c r="BI700" s="3267" t="s">
        <v>3180</v>
      </c>
      <c r="BJ700" s="3283">
        <v>38926</v>
      </c>
      <c r="BK700" s="3283"/>
      <c r="BL700" s="3267" t="s">
        <v>2998</v>
      </c>
      <c r="BM700" s="3276" t="s">
        <v>2879</v>
      </c>
      <c r="BN700" s="3276" t="s">
        <v>2999</v>
      </c>
      <c r="BO700" s="3276" t="s">
        <v>3146</v>
      </c>
      <c r="BP700" s="3276"/>
      <c r="BQ700" s="3276">
        <v>5739</v>
      </c>
      <c r="BR700" s="3276">
        <v>6016</v>
      </c>
      <c r="BS700" s="3285"/>
      <c r="BT700" s="3285"/>
      <c r="BU700" s="3285"/>
    </row>
    <row r="701" spans="1:238" hidden="1">
      <c r="A701" s="3267" t="s">
        <v>7911</v>
      </c>
      <c r="B701" s="3267" t="s">
        <v>7912</v>
      </c>
      <c r="C701" s="3269" t="s">
        <v>7913</v>
      </c>
      <c r="D701" s="3269">
        <v>13810385179</v>
      </c>
      <c r="E701" s="3268" t="s">
        <v>2985</v>
      </c>
      <c r="F701" s="3268" t="s">
        <v>6303</v>
      </c>
      <c r="G701" s="3267"/>
      <c r="H701" s="3268" t="s">
        <v>3097</v>
      </c>
      <c r="I701" s="3268" t="s">
        <v>3823</v>
      </c>
      <c r="J701" s="3267" t="s">
        <v>5143</v>
      </c>
      <c r="K701" s="3267" t="s">
        <v>7912</v>
      </c>
      <c r="L701" s="3267">
        <v>66.510000000000005</v>
      </c>
      <c r="M701" s="3267">
        <v>14</v>
      </c>
      <c r="N701" s="3267" t="s">
        <v>7914</v>
      </c>
      <c r="O701" s="3267"/>
      <c r="P701" s="3267" t="s">
        <v>2963</v>
      </c>
      <c r="Q701" s="3271">
        <v>590000</v>
      </c>
      <c r="R701" s="3267">
        <v>8871</v>
      </c>
      <c r="S701" s="3272">
        <v>42.43</v>
      </c>
      <c r="T701" s="3273">
        <v>424300</v>
      </c>
      <c r="U701" s="3267">
        <v>6380</v>
      </c>
      <c r="V701" s="3289">
        <v>0.2</v>
      </c>
      <c r="W701" s="3272">
        <v>33.94</v>
      </c>
      <c r="X701" s="3275">
        <v>339400</v>
      </c>
      <c r="Y701" s="3276">
        <v>2006</v>
      </c>
      <c r="Z701" s="3276">
        <v>8</v>
      </c>
      <c r="AA701" s="3276">
        <v>14</v>
      </c>
      <c r="AB701" s="3267">
        <v>1270</v>
      </c>
      <c r="AC701" s="3267" t="s">
        <v>2980</v>
      </c>
      <c r="AD701" s="3269" t="s">
        <v>7915</v>
      </c>
      <c r="AE701" s="3279" t="s">
        <v>3295</v>
      </c>
      <c r="AF701" s="3268" t="s">
        <v>2966</v>
      </c>
      <c r="AG701" s="3279" t="s">
        <v>2967</v>
      </c>
      <c r="AH701" s="3267" t="s">
        <v>7916</v>
      </c>
      <c r="AI701" s="3279" t="s">
        <v>2992</v>
      </c>
      <c r="AJ701" s="3284"/>
      <c r="AK701" s="3278">
        <v>8</v>
      </c>
      <c r="AL701" s="3276">
        <v>44</v>
      </c>
      <c r="AM701" s="3267" t="s">
        <v>7917</v>
      </c>
      <c r="AN701" s="3279" t="s">
        <v>3114</v>
      </c>
      <c r="AO701" s="3267"/>
      <c r="AP701" s="3279" t="s">
        <v>3305</v>
      </c>
      <c r="AQ701" s="3267" t="s">
        <v>3228</v>
      </c>
      <c r="AR701" s="3276"/>
      <c r="AS701" s="3276"/>
      <c r="AT701" s="3276"/>
      <c r="AU701" s="3276"/>
      <c r="AV701" s="3276"/>
      <c r="AW701" s="3276" t="s">
        <v>3112</v>
      </c>
      <c r="AX701" s="3276"/>
      <c r="AY701" s="3291"/>
      <c r="AZ701" s="3267" t="s">
        <v>7918</v>
      </c>
      <c r="BA701" s="3296"/>
      <c r="BB701" s="3297"/>
      <c r="BC701" s="3296"/>
      <c r="BD701" s="3298"/>
      <c r="BE701" s="3276" t="s">
        <v>7919</v>
      </c>
      <c r="BF701" s="3281"/>
      <c r="BG701" s="3293">
        <v>38926</v>
      </c>
      <c r="BH701" s="3267" t="s">
        <v>2998</v>
      </c>
      <c r="BI701" s="3314" t="s">
        <v>3305</v>
      </c>
      <c r="BJ701" s="3283">
        <v>38929</v>
      </c>
      <c r="BK701" s="3283"/>
      <c r="BL701" s="3267" t="s">
        <v>3249</v>
      </c>
      <c r="BM701" s="3276" t="s">
        <v>3345</v>
      </c>
      <c r="BN701" s="3276" t="s">
        <v>2999</v>
      </c>
      <c r="BO701" s="3276" t="s">
        <v>3000</v>
      </c>
      <c r="BP701" s="3276"/>
      <c r="BQ701" s="3276" t="e">
        <v>#DIV/0!</v>
      </c>
      <c r="BR701" s="3276" t="e">
        <v>#DIV/0!</v>
      </c>
      <c r="BS701" s="3285"/>
      <c r="BT701" s="3285"/>
      <c r="BU701" s="3285"/>
    </row>
    <row r="702" spans="1:238" hidden="1">
      <c r="A702" s="3268" t="s">
        <v>7920</v>
      </c>
      <c r="B702" s="3267" t="s">
        <v>7921</v>
      </c>
      <c r="C702" s="3269" t="s">
        <v>7922</v>
      </c>
      <c r="D702" s="3269" t="s">
        <v>7923</v>
      </c>
      <c r="E702" s="3267" t="s">
        <v>2985</v>
      </c>
      <c r="F702" s="3268" t="s">
        <v>3601</v>
      </c>
      <c r="G702" s="3267"/>
      <c r="H702" s="3267" t="s">
        <v>3178</v>
      </c>
      <c r="I702" s="3267" t="s">
        <v>3188</v>
      </c>
      <c r="J702" s="3269" t="s">
        <v>3173</v>
      </c>
      <c r="K702" s="3267" t="s">
        <v>7921</v>
      </c>
      <c r="L702" s="3267">
        <v>42.29</v>
      </c>
      <c r="M702" s="3267">
        <v>2</v>
      </c>
      <c r="N702" s="3267" t="s">
        <v>3152</v>
      </c>
      <c r="O702" s="3267"/>
      <c r="P702" s="3267" t="s">
        <v>2963</v>
      </c>
      <c r="Q702" s="3271">
        <v>360000</v>
      </c>
      <c r="R702" s="3267">
        <v>8513</v>
      </c>
      <c r="S702" s="3272">
        <v>31.64</v>
      </c>
      <c r="T702" s="3273">
        <v>316400</v>
      </c>
      <c r="U702" s="3267">
        <v>7482</v>
      </c>
      <c r="V702" s="3289">
        <v>0.2</v>
      </c>
      <c r="W702" s="3272">
        <v>25.31</v>
      </c>
      <c r="X702" s="3275">
        <v>253100</v>
      </c>
      <c r="Y702" s="3267">
        <v>2006</v>
      </c>
      <c r="Z702" s="3276">
        <v>9</v>
      </c>
      <c r="AA702" s="3276">
        <v>13</v>
      </c>
      <c r="AB702" s="3267">
        <v>945</v>
      </c>
      <c r="AC702" s="3267" t="s">
        <v>2980</v>
      </c>
      <c r="AD702" s="3269" t="s">
        <v>7924</v>
      </c>
      <c r="AE702" s="3267" t="s">
        <v>3238</v>
      </c>
      <c r="AF702" s="3267" t="s">
        <v>2966</v>
      </c>
      <c r="AG702" s="3267" t="s">
        <v>2967</v>
      </c>
      <c r="AH702" s="3267" t="s">
        <v>2968</v>
      </c>
      <c r="AI702" s="3270" t="s">
        <v>2992</v>
      </c>
      <c r="AJ702" s="3284"/>
      <c r="AK702" s="3278">
        <v>9</v>
      </c>
      <c r="AL702" s="3276">
        <v>31</v>
      </c>
      <c r="AM702" s="3267" t="s">
        <v>7925</v>
      </c>
      <c r="AN702" s="3279" t="s">
        <v>3114</v>
      </c>
      <c r="AO702" s="3276" t="s">
        <v>2968</v>
      </c>
      <c r="AP702" s="3276" t="s">
        <v>3238</v>
      </c>
      <c r="AQ702" s="3267" t="s">
        <v>3228</v>
      </c>
      <c r="AR702" s="3276"/>
      <c r="AS702" s="3276"/>
      <c r="AT702" s="3276"/>
      <c r="AU702" s="3276"/>
      <c r="AV702" s="3276" t="s">
        <v>2968</v>
      </c>
      <c r="AW702" s="3276" t="s">
        <v>3171</v>
      </c>
      <c r="AX702" s="3276"/>
      <c r="AY702" s="3291"/>
      <c r="AZ702" s="3267" t="s">
        <v>5370</v>
      </c>
      <c r="BA702" s="3276"/>
      <c r="BB702" s="3291"/>
      <c r="BC702" s="3276"/>
      <c r="BD702" s="3292"/>
      <c r="BE702" s="3276">
        <v>13641185595</v>
      </c>
      <c r="BF702" s="3281"/>
      <c r="BG702" s="3290">
        <v>38921</v>
      </c>
      <c r="BH702" s="3276"/>
      <c r="BI702" s="3267" t="s">
        <v>3238</v>
      </c>
      <c r="BJ702" s="3283">
        <v>38929</v>
      </c>
      <c r="BK702" s="3283"/>
      <c r="BL702" s="3267" t="s">
        <v>2998</v>
      </c>
      <c r="BM702" s="3276" t="s">
        <v>2879</v>
      </c>
      <c r="BN702" s="3276" t="s">
        <v>2999</v>
      </c>
      <c r="BO702" s="3276" t="s">
        <v>3146</v>
      </c>
      <c r="BP702" s="3276"/>
      <c r="BQ702" s="3276" t="e">
        <v>#DIV/0!</v>
      </c>
      <c r="BR702" s="3276" t="e">
        <v>#DIV/0!</v>
      </c>
      <c r="BS702" s="3285"/>
      <c r="BT702" s="3285"/>
      <c r="BU702" s="3285"/>
    </row>
    <row r="703" spans="1:238" hidden="1">
      <c r="A703" s="3267" t="s">
        <v>7926</v>
      </c>
      <c r="B703" s="3267" t="s">
        <v>7927</v>
      </c>
      <c r="C703" s="3269" t="s">
        <v>7928</v>
      </c>
      <c r="D703" s="3269" t="s">
        <v>7929</v>
      </c>
      <c r="E703" s="3268" t="s">
        <v>2985</v>
      </c>
      <c r="F703" s="3268" t="s">
        <v>7930</v>
      </c>
      <c r="G703" s="3267"/>
      <c r="H703" s="3267" t="s">
        <v>3182</v>
      </c>
      <c r="I703" s="3268"/>
      <c r="J703" s="3267">
        <v>2104</v>
      </c>
      <c r="K703" s="3267" t="s">
        <v>7931</v>
      </c>
      <c r="L703" s="3267">
        <v>92.57</v>
      </c>
      <c r="M703" s="3267">
        <v>21</v>
      </c>
      <c r="N703" s="3267" t="s">
        <v>3125</v>
      </c>
      <c r="O703" s="3267"/>
      <c r="P703" s="3267" t="s">
        <v>2963</v>
      </c>
      <c r="Q703" s="3271">
        <v>575000</v>
      </c>
      <c r="R703" s="3267">
        <v>6212</v>
      </c>
      <c r="S703" s="3272">
        <v>57.26</v>
      </c>
      <c r="T703" s="3273">
        <v>572600</v>
      </c>
      <c r="U703" s="3267">
        <v>6186</v>
      </c>
      <c r="V703" s="3289">
        <v>0.3</v>
      </c>
      <c r="W703" s="3272">
        <v>40.08</v>
      </c>
      <c r="X703" s="3275">
        <v>400800</v>
      </c>
      <c r="Y703" s="3276">
        <v>2006</v>
      </c>
      <c r="Z703" s="3276">
        <v>8</v>
      </c>
      <c r="AA703" s="3276">
        <v>21</v>
      </c>
      <c r="AB703" s="3267">
        <v>1500</v>
      </c>
      <c r="AC703" s="3267" t="s">
        <v>2980</v>
      </c>
      <c r="AD703" s="3269" t="s">
        <v>7932</v>
      </c>
      <c r="AE703" s="3279" t="s">
        <v>3069</v>
      </c>
      <c r="AF703" s="3268" t="s">
        <v>2966</v>
      </c>
      <c r="AG703" s="3279" t="s">
        <v>2967</v>
      </c>
      <c r="AH703" s="3267"/>
      <c r="AI703" s="3279" t="s">
        <v>2992</v>
      </c>
      <c r="AJ703" s="3284"/>
      <c r="AK703" s="3278">
        <v>8</v>
      </c>
      <c r="AL703" s="3276" t="s">
        <v>6097</v>
      </c>
      <c r="AM703" s="3267" t="s">
        <v>7933</v>
      </c>
      <c r="AN703" s="3279" t="s">
        <v>2994</v>
      </c>
      <c r="AO703" s="3267"/>
      <c r="AP703" s="3279" t="s">
        <v>3069</v>
      </c>
      <c r="AQ703" s="3267" t="s">
        <v>3228</v>
      </c>
      <c r="AR703" s="3276">
        <v>2006</v>
      </c>
      <c r="AS703" s="3276">
        <v>8</v>
      </c>
      <c r="AT703" s="3276">
        <v>21</v>
      </c>
      <c r="AU703" s="3276"/>
      <c r="AV703" s="3276"/>
      <c r="AW703" s="3276" t="s">
        <v>3171</v>
      </c>
      <c r="AX703" s="3276"/>
      <c r="AY703" s="3291"/>
      <c r="AZ703" s="3267" t="s">
        <v>7931</v>
      </c>
      <c r="BA703" s="3296"/>
      <c r="BB703" s="3297"/>
      <c r="BC703" s="3296"/>
      <c r="BD703" s="3298"/>
      <c r="BE703" s="3276"/>
      <c r="BF703" s="3281"/>
      <c r="BG703" s="3293">
        <v>38929</v>
      </c>
      <c r="BH703" s="3267"/>
      <c r="BI703" s="3314" t="s">
        <v>3069</v>
      </c>
      <c r="BJ703" s="3283">
        <v>38929</v>
      </c>
      <c r="BK703" s="3283"/>
      <c r="BL703" s="3267" t="s">
        <v>2998</v>
      </c>
      <c r="BM703" s="3276" t="s">
        <v>2879</v>
      </c>
      <c r="BN703" s="3276" t="s">
        <v>3111</v>
      </c>
      <c r="BO703" s="3276" t="s">
        <v>3146</v>
      </c>
      <c r="BP703" s="3276"/>
      <c r="BQ703" s="3276" t="e">
        <v>#DIV/0!</v>
      </c>
      <c r="BR703" s="3276" t="e">
        <v>#DIV/0!</v>
      </c>
      <c r="BS703" s="3285"/>
      <c r="BT703" s="3285"/>
      <c r="BU703" s="3285"/>
    </row>
    <row r="704" spans="1:238" hidden="1">
      <c r="A704" s="3268" t="s">
        <v>7934</v>
      </c>
      <c r="B704" s="3267" t="s">
        <v>7935</v>
      </c>
      <c r="C704" s="3269" t="s">
        <v>7936</v>
      </c>
      <c r="D704" s="3269" t="s">
        <v>7937</v>
      </c>
      <c r="E704" s="3267" t="s">
        <v>2985</v>
      </c>
      <c r="F704" s="3268" t="s">
        <v>4412</v>
      </c>
      <c r="G704" s="3267"/>
      <c r="H704" s="3267" t="s">
        <v>4724</v>
      </c>
      <c r="I704" s="3267" t="s">
        <v>7938</v>
      </c>
      <c r="J704" s="3269"/>
      <c r="K704" s="3267" t="s">
        <v>7939</v>
      </c>
      <c r="L704" s="3267">
        <v>64.209999999999994</v>
      </c>
      <c r="M704" s="3267">
        <v>5</v>
      </c>
      <c r="N704" s="3267" t="s">
        <v>3122</v>
      </c>
      <c r="O704" s="3267"/>
      <c r="P704" s="3267" t="s">
        <v>2963</v>
      </c>
      <c r="Q704" s="3271">
        <v>520000</v>
      </c>
      <c r="R704" s="3267">
        <v>8098</v>
      </c>
      <c r="S704" s="3272">
        <v>39.22</v>
      </c>
      <c r="T704" s="3273">
        <v>392200</v>
      </c>
      <c r="U704" s="3267">
        <v>6109</v>
      </c>
      <c r="V704" s="3289">
        <v>0.2</v>
      </c>
      <c r="W704" s="3272">
        <v>31.37</v>
      </c>
      <c r="X704" s="3275">
        <v>313700</v>
      </c>
      <c r="Y704" s="3267">
        <v>2006</v>
      </c>
      <c r="Z704" s="3276">
        <v>8</v>
      </c>
      <c r="AA704" s="3276">
        <v>4</v>
      </c>
      <c r="AB704" s="3267">
        <v>1175</v>
      </c>
      <c r="AC704" s="3267" t="s">
        <v>2980</v>
      </c>
      <c r="AD704" s="3267">
        <v>91302006071808</v>
      </c>
      <c r="AE704" s="3267" t="s">
        <v>3487</v>
      </c>
      <c r="AF704" s="3267" t="s">
        <v>2966</v>
      </c>
      <c r="AG704" s="3267" t="s">
        <v>2967</v>
      </c>
      <c r="AH704" s="3267" t="s">
        <v>2968</v>
      </c>
      <c r="AI704" s="3270" t="s">
        <v>2992</v>
      </c>
      <c r="AJ704" s="3284"/>
      <c r="AK704" s="3278">
        <v>8</v>
      </c>
      <c r="AL704" s="3276">
        <v>40</v>
      </c>
      <c r="AM704" s="3267" t="s">
        <v>7940</v>
      </c>
      <c r="AN704" s="3279" t="s">
        <v>3114</v>
      </c>
      <c r="AO704" s="3276" t="s">
        <v>2968</v>
      </c>
      <c r="AP704" s="3276" t="s">
        <v>3487</v>
      </c>
      <c r="AQ704" s="3267" t="s">
        <v>3228</v>
      </c>
      <c r="AR704" s="3276">
        <v>2006</v>
      </c>
      <c r="AS704" s="3276">
        <v>8</v>
      </c>
      <c r="AT704" s="3276">
        <v>4</v>
      </c>
      <c r="AU704" s="3276"/>
      <c r="AV704" s="3276" t="s">
        <v>2968</v>
      </c>
      <c r="AW704" s="3276" t="s">
        <v>3171</v>
      </c>
      <c r="AX704" s="3276"/>
      <c r="AY704" s="3291"/>
      <c r="AZ704" s="3267"/>
      <c r="BA704" s="3276"/>
      <c r="BB704" s="3291"/>
      <c r="BC704" s="3276"/>
      <c r="BD704" s="3292"/>
      <c r="BE704" s="3276"/>
      <c r="BF704" s="3281"/>
      <c r="BG704" s="3307">
        <v>38927</v>
      </c>
      <c r="BH704" s="3276" t="s">
        <v>2998</v>
      </c>
      <c r="BI704" s="3267" t="s">
        <v>3487</v>
      </c>
      <c r="BJ704" s="3307">
        <v>38929</v>
      </c>
      <c r="BK704" s="3283"/>
      <c r="BL704" s="3267" t="s">
        <v>2998</v>
      </c>
      <c r="BM704" s="3276"/>
      <c r="BN704" s="3276"/>
      <c r="BO704" s="3276"/>
      <c r="BP704" s="3276"/>
      <c r="BQ704" s="3276" t="e">
        <v>#DIV/0!</v>
      </c>
      <c r="BR704" s="3276" t="e">
        <v>#DIV/0!</v>
      </c>
      <c r="BS704" s="3285"/>
      <c r="BT704" s="3285"/>
      <c r="BU704" s="3285"/>
    </row>
    <row r="705" spans="1:238" hidden="1">
      <c r="A705" s="3267" t="s">
        <v>7941</v>
      </c>
      <c r="B705" s="3267" t="s">
        <v>7942</v>
      </c>
      <c r="C705" s="3269" t="s">
        <v>7943</v>
      </c>
      <c r="D705" s="3267">
        <v>13701180524</v>
      </c>
      <c r="E705" s="3267" t="s">
        <v>2985</v>
      </c>
      <c r="F705" s="3267" t="s">
        <v>3648</v>
      </c>
      <c r="G705" s="3267"/>
      <c r="H705" s="3267" t="s">
        <v>3182</v>
      </c>
      <c r="I705" s="3267"/>
      <c r="J705" s="3267">
        <v>1307</v>
      </c>
      <c r="K705" s="3267" t="s">
        <v>7944</v>
      </c>
      <c r="L705" s="3267">
        <v>59.57</v>
      </c>
      <c r="M705" s="3267">
        <v>13</v>
      </c>
      <c r="N705" s="3267" t="s">
        <v>3098</v>
      </c>
      <c r="O705" s="3267"/>
      <c r="P705" s="3267" t="s">
        <v>2963</v>
      </c>
      <c r="Q705" s="3267">
        <v>380000</v>
      </c>
      <c r="R705" s="3288">
        <v>6379</v>
      </c>
      <c r="S705" s="3272">
        <v>36.659999999999997</v>
      </c>
      <c r="T705" s="3273">
        <v>366600</v>
      </c>
      <c r="U705" s="3267">
        <v>6155</v>
      </c>
      <c r="V705" s="3289">
        <v>0.2</v>
      </c>
      <c r="W705" s="3272">
        <v>29.32</v>
      </c>
      <c r="X705" s="3273">
        <v>293200</v>
      </c>
      <c r="Y705" s="3267">
        <v>2006</v>
      </c>
      <c r="Z705" s="3267">
        <v>8</v>
      </c>
      <c r="AA705" s="3267">
        <v>17</v>
      </c>
      <c r="AB705" s="3267">
        <v>1095</v>
      </c>
      <c r="AC705" s="3267" t="s">
        <v>2980</v>
      </c>
      <c r="AD705" s="3267">
        <v>91302006071832</v>
      </c>
      <c r="AE705" s="3267" t="s">
        <v>3396</v>
      </c>
      <c r="AF705" s="3267" t="s">
        <v>2966</v>
      </c>
      <c r="AG705" s="3267" t="s">
        <v>2967</v>
      </c>
      <c r="AH705" s="3267"/>
      <c r="AI705" s="3267" t="s">
        <v>2992</v>
      </c>
      <c r="AJ705" s="3267"/>
      <c r="AK705" s="3267" t="s">
        <v>4256</v>
      </c>
      <c r="AL705" s="3267">
        <v>82253558</v>
      </c>
      <c r="AM705" s="3267" t="s">
        <v>2968</v>
      </c>
      <c r="AN705" s="3267" t="s">
        <v>3131</v>
      </c>
      <c r="AO705" s="3267"/>
      <c r="AP705" s="3267" t="s">
        <v>3396</v>
      </c>
      <c r="AQ705" s="3267" t="s">
        <v>3228</v>
      </c>
      <c r="AR705" s="3267"/>
      <c r="AS705" s="3267"/>
      <c r="AT705" s="3267"/>
      <c r="AU705" s="3267"/>
      <c r="AV705" s="3267"/>
      <c r="AW705" s="3267" t="s">
        <v>3112</v>
      </c>
      <c r="AX705" s="3267"/>
      <c r="AY705" s="3267"/>
      <c r="AZ705" s="3267" t="s">
        <v>7944</v>
      </c>
      <c r="BA705" s="3267"/>
      <c r="BB705" s="3267"/>
      <c r="BC705" s="3267"/>
      <c r="BD705" s="3267"/>
      <c r="BE705" s="3267">
        <v>13611228502</v>
      </c>
      <c r="BF705" s="3267"/>
      <c r="BG705" s="3284">
        <v>38789</v>
      </c>
      <c r="BH705" s="3267"/>
      <c r="BI705" s="3267" t="s">
        <v>3396</v>
      </c>
      <c r="BJ705" s="3284">
        <v>38929</v>
      </c>
      <c r="BK705" s="3267"/>
      <c r="BL705" s="3267" t="s">
        <v>2998</v>
      </c>
      <c r="BM705" s="3267" t="s">
        <v>2879</v>
      </c>
      <c r="BN705" s="3267" t="s">
        <v>2999</v>
      </c>
      <c r="BO705" s="3267" t="s">
        <v>7151</v>
      </c>
      <c r="BP705" s="3267"/>
      <c r="BQ705" s="3276" t="e">
        <v>#DIV/0!</v>
      </c>
      <c r="BR705" s="3276" t="e">
        <v>#DIV/0!</v>
      </c>
      <c r="BS705" s="3285"/>
      <c r="BT705" s="3285"/>
      <c r="BU705" s="3285"/>
    </row>
    <row r="706" spans="1:238" hidden="1">
      <c r="A706" s="3267" t="s">
        <v>7945</v>
      </c>
      <c r="B706" s="3268" t="s">
        <v>7946</v>
      </c>
      <c r="C706" s="3269" t="s">
        <v>7947</v>
      </c>
      <c r="D706" s="3268">
        <v>13070197450</v>
      </c>
      <c r="E706" s="3268" t="s">
        <v>2985</v>
      </c>
      <c r="F706" s="3268" t="s">
        <v>3224</v>
      </c>
      <c r="G706" s="3268"/>
      <c r="H706" s="3268" t="s">
        <v>3712</v>
      </c>
      <c r="I706" s="3268"/>
      <c r="J706" s="3268" t="s">
        <v>4026</v>
      </c>
      <c r="K706" s="3268" t="s">
        <v>7948</v>
      </c>
      <c r="L706" s="3270">
        <v>79.92</v>
      </c>
      <c r="M706" s="3270">
        <v>12</v>
      </c>
      <c r="N706" s="3267" t="s">
        <v>3122</v>
      </c>
      <c r="O706" s="3270">
        <v>63.74</v>
      </c>
      <c r="P706" s="3268" t="s">
        <v>2963</v>
      </c>
      <c r="Q706" s="3271">
        <v>360000</v>
      </c>
      <c r="R706" s="3267">
        <v>4505</v>
      </c>
      <c r="S706" s="3272">
        <v>34.36</v>
      </c>
      <c r="T706" s="3273">
        <v>343600</v>
      </c>
      <c r="U706" s="3267">
        <v>4300</v>
      </c>
      <c r="V706" s="3274">
        <v>0.2</v>
      </c>
      <c r="W706" s="3272">
        <v>27.48</v>
      </c>
      <c r="X706" s="3275">
        <v>274800</v>
      </c>
      <c r="Y706" s="3276">
        <v>2006</v>
      </c>
      <c r="Z706" s="3267">
        <v>8</v>
      </c>
      <c r="AA706" s="3276">
        <v>11</v>
      </c>
      <c r="AB706" s="3267">
        <v>1030</v>
      </c>
      <c r="AC706" s="3267" t="s">
        <v>2980</v>
      </c>
      <c r="AD706" s="3280" t="s">
        <v>7949</v>
      </c>
      <c r="AE706" s="3268" t="s">
        <v>3180</v>
      </c>
      <c r="AF706" s="3268" t="s">
        <v>2966</v>
      </c>
      <c r="AG706" s="3268" t="s">
        <v>2967</v>
      </c>
      <c r="AH706" s="3268"/>
      <c r="AI706" s="3267" t="s">
        <v>2992</v>
      </c>
      <c r="AJ706" s="3290"/>
      <c r="AK706" s="3278" t="s">
        <v>4256</v>
      </c>
      <c r="AL706" s="3276">
        <v>54</v>
      </c>
      <c r="AM706" s="3276"/>
      <c r="AN706" s="3279" t="s">
        <v>3140</v>
      </c>
      <c r="AO706" s="3276"/>
      <c r="AP706" s="3276" t="s">
        <v>3180</v>
      </c>
      <c r="AQ706" s="3267" t="s">
        <v>3228</v>
      </c>
      <c r="AR706" s="3267">
        <v>2006</v>
      </c>
      <c r="AS706" s="3267">
        <v>8</v>
      </c>
      <c r="AT706" s="3267">
        <v>3</v>
      </c>
      <c r="AU706" s="3267"/>
      <c r="AV706" s="3277"/>
      <c r="AW706" s="3268" t="s">
        <v>3171</v>
      </c>
      <c r="AX706" s="3268"/>
      <c r="AY706" s="3268"/>
      <c r="AZ706" s="3268" t="s">
        <v>7950</v>
      </c>
      <c r="BA706" s="3268"/>
      <c r="BB706" s="3280"/>
      <c r="BC706" s="3268"/>
      <c r="BD706" s="3268"/>
      <c r="BE706" s="3268"/>
      <c r="BF706" s="3281"/>
      <c r="BG706" s="3290">
        <v>38901</v>
      </c>
      <c r="BH706" s="3268"/>
      <c r="BI706" s="3279" t="s">
        <v>3180</v>
      </c>
      <c r="BJ706" s="3283">
        <v>38930</v>
      </c>
      <c r="BK706" s="3284"/>
      <c r="BL706" s="3267" t="s">
        <v>2998</v>
      </c>
      <c r="BM706" s="3267" t="s">
        <v>2879</v>
      </c>
      <c r="BN706" s="3267" t="s">
        <v>2999</v>
      </c>
      <c r="BO706" s="3267" t="s">
        <v>3146</v>
      </c>
      <c r="BP706" s="3276"/>
      <c r="BQ706" s="3276">
        <v>5392</v>
      </c>
      <c r="BR706" s="3276">
        <v>5648</v>
      </c>
      <c r="BS706" s="3285"/>
      <c r="BT706" s="3285"/>
      <c r="BU706" s="3285"/>
    </row>
    <row r="707" spans="1:238" hidden="1">
      <c r="A707" s="3267" t="s">
        <v>7951</v>
      </c>
      <c r="B707" s="3267" t="s">
        <v>7952</v>
      </c>
      <c r="C707" s="3269" t="s">
        <v>7953</v>
      </c>
      <c r="D707" s="3269" t="s">
        <v>7954</v>
      </c>
      <c r="E707" s="3268" t="s">
        <v>2985</v>
      </c>
      <c r="F707" s="3268" t="s">
        <v>3864</v>
      </c>
      <c r="G707" s="3267"/>
      <c r="H707" s="3267" t="s">
        <v>3865</v>
      </c>
      <c r="I707" s="3268"/>
      <c r="J707" s="3267" t="s">
        <v>7955</v>
      </c>
      <c r="K707" s="3267" t="s">
        <v>7956</v>
      </c>
      <c r="L707" s="3267">
        <v>92.83</v>
      </c>
      <c r="M707" s="3267">
        <v>27</v>
      </c>
      <c r="N707" s="3267" t="s">
        <v>3122</v>
      </c>
      <c r="O707" s="3267">
        <v>76.42</v>
      </c>
      <c r="P707" s="3267" t="s">
        <v>2963</v>
      </c>
      <c r="Q707" s="3271">
        <v>480000</v>
      </c>
      <c r="R707" s="3267">
        <v>5171</v>
      </c>
      <c r="S707" s="3272">
        <v>54.76</v>
      </c>
      <c r="T707" s="3273">
        <v>547600</v>
      </c>
      <c r="U707" s="3267">
        <v>5900</v>
      </c>
      <c r="V707" s="3289">
        <v>0.3</v>
      </c>
      <c r="W707" s="3272">
        <v>38.33</v>
      </c>
      <c r="X707" s="3275">
        <v>383300</v>
      </c>
      <c r="Y707" s="3276">
        <v>2006</v>
      </c>
      <c r="Z707" s="3276">
        <v>8</v>
      </c>
      <c r="AA707" s="3276">
        <v>25</v>
      </c>
      <c r="AB707" s="3267">
        <v>1500</v>
      </c>
      <c r="AC707" s="3267" t="s">
        <v>2980</v>
      </c>
      <c r="AD707" s="3280" t="s">
        <v>7957</v>
      </c>
      <c r="AE707" s="3279" t="s">
        <v>3180</v>
      </c>
      <c r="AF707" s="3268" t="s">
        <v>2966</v>
      </c>
      <c r="AG707" s="3279" t="s">
        <v>2967</v>
      </c>
      <c r="AH707" s="3267" t="s">
        <v>7958</v>
      </c>
      <c r="AI707" s="3267" t="s">
        <v>2992</v>
      </c>
      <c r="AJ707" s="3284"/>
      <c r="AK707" s="3278" t="s">
        <v>4256</v>
      </c>
      <c r="AL707" s="3276">
        <v>55</v>
      </c>
      <c r="AM707" s="3276" t="s">
        <v>7959</v>
      </c>
      <c r="AN707" s="3279" t="s">
        <v>2994</v>
      </c>
      <c r="AO707" s="3267"/>
      <c r="AP707" s="3279" t="s">
        <v>3180</v>
      </c>
      <c r="AQ707" s="3267" t="s">
        <v>3228</v>
      </c>
      <c r="AR707" s="3276">
        <v>2006</v>
      </c>
      <c r="AS707" s="3276">
        <v>8</v>
      </c>
      <c r="AT707" s="3276">
        <v>3</v>
      </c>
      <c r="AU707" s="3276"/>
      <c r="AV707" s="3276"/>
      <c r="AW707" s="3276" t="s">
        <v>2997</v>
      </c>
      <c r="AX707" s="3276"/>
      <c r="AY707" s="3291"/>
      <c r="AZ707" s="3267" t="s">
        <v>7960</v>
      </c>
      <c r="BA707" s="3296"/>
      <c r="BB707" s="3297"/>
      <c r="BC707" s="3296"/>
      <c r="BD707" s="3298"/>
      <c r="BE707" s="3276"/>
      <c r="BF707" s="3281"/>
      <c r="BG707" s="3293">
        <v>38906</v>
      </c>
      <c r="BH707" s="3267"/>
      <c r="BI707" s="3314" t="s">
        <v>3180</v>
      </c>
      <c r="BJ707" s="3283">
        <v>38930</v>
      </c>
      <c r="BK707" s="3283"/>
      <c r="BL707" s="3267" t="s">
        <v>2998</v>
      </c>
      <c r="BM707" s="3276" t="s">
        <v>3128</v>
      </c>
      <c r="BN707" s="3276" t="s">
        <v>2999</v>
      </c>
      <c r="BO707" s="3276" t="s">
        <v>3146</v>
      </c>
      <c r="BP707" s="3276"/>
      <c r="BQ707" s="3276" t="e">
        <v>#DIV/0!</v>
      </c>
      <c r="BR707" s="3276" t="e">
        <v>#DIV/0!</v>
      </c>
      <c r="BS707" s="3285"/>
      <c r="BT707" s="3285"/>
      <c r="BU707" s="3285"/>
    </row>
    <row r="708" spans="1:238" hidden="1">
      <c r="A708" s="3267" t="s">
        <v>7961</v>
      </c>
      <c r="B708" s="3267" t="s">
        <v>7962</v>
      </c>
      <c r="C708" s="3269" t="s">
        <v>7963</v>
      </c>
      <c r="D708" s="3268">
        <v>13311312953</v>
      </c>
      <c r="E708" s="3267" t="s">
        <v>2985</v>
      </c>
      <c r="F708" s="3267" t="s">
        <v>3648</v>
      </c>
      <c r="G708" s="3267"/>
      <c r="H708" s="3270" t="s">
        <v>3144</v>
      </c>
      <c r="I708" s="3267"/>
      <c r="J708" s="3270" t="s">
        <v>7964</v>
      </c>
      <c r="K708" s="3267" t="s">
        <v>7965</v>
      </c>
      <c r="L708" s="3267">
        <v>61.35</v>
      </c>
      <c r="M708" s="3270">
        <v>5</v>
      </c>
      <c r="N708" s="3267" t="s">
        <v>3122</v>
      </c>
      <c r="O708" s="3267"/>
      <c r="P708" s="3267" t="s">
        <v>2963</v>
      </c>
      <c r="Q708" s="3267">
        <v>470000</v>
      </c>
      <c r="R708" s="3267">
        <v>7661</v>
      </c>
      <c r="S708" s="3272">
        <v>38.07</v>
      </c>
      <c r="T708" s="3273">
        <v>380700</v>
      </c>
      <c r="U708" s="3267">
        <v>6207</v>
      </c>
      <c r="V708" s="3289">
        <v>0.2</v>
      </c>
      <c r="W708" s="3272">
        <v>30.45</v>
      </c>
      <c r="X708" s="3275">
        <v>304500</v>
      </c>
      <c r="Y708" s="3276">
        <v>2006</v>
      </c>
      <c r="Z708" s="3276">
        <v>8</v>
      </c>
      <c r="AA708" s="3276">
        <v>23</v>
      </c>
      <c r="AB708" s="3267">
        <v>1140</v>
      </c>
      <c r="AC708" s="3267" t="s">
        <v>2980</v>
      </c>
      <c r="AD708" s="3269" t="s">
        <v>7966</v>
      </c>
      <c r="AE708" s="3276" t="s">
        <v>3069</v>
      </c>
      <c r="AF708" s="3269" t="s">
        <v>2966</v>
      </c>
      <c r="AG708" s="3267" t="s">
        <v>2967</v>
      </c>
      <c r="AH708" s="3267"/>
      <c r="AI708" s="3279" t="s">
        <v>2992</v>
      </c>
      <c r="AJ708" s="3284"/>
      <c r="AK708" s="3278" t="s">
        <v>4256</v>
      </c>
      <c r="AL708" s="3276" t="s">
        <v>6011</v>
      </c>
      <c r="AM708" s="3267" t="s">
        <v>7967</v>
      </c>
      <c r="AN708" s="3267" t="s">
        <v>2994</v>
      </c>
      <c r="AO708" s="3276"/>
      <c r="AP708" s="3276" t="s">
        <v>3069</v>
      </c>
      <c r="AQ708" s="3267" t="s">
        <v>3228</v>
      </c>
      <c r="AR708" s="3267">
        <v>2006</v>
      </c>
      <c r="AS708" s="3267">
        <v>8</v>
      </c>
      <c r="AT708" s="3267">
        <v>23</v>
      </c>
      <c r="AU708" s="3267"/>
      <c r="AV708" s="3267"/>
      <c r="AW708" s="3276" t="s">
        <v>3171</v>
      </c>
      <c r="AX708" s="3267"/>
      <c r="AY708" s="3291"/>
      <c r="AZ708" s="3267" t="s">
        <v>7965</v>
      </c>
      <c r="BA708" s="3267"/>
      <c r="BB708" s="3267"/>
      <c r="BC708" s="3267"/>
      <c r="BD708" s="3267"/>
      <c r="BE708" s="3267"/>
      <c r="BF708" s="3281"/>
      <c r="BG708" s="3284">
        <v>38926</v>
      </c>
      <c r="BH708" s="3267"/>
      <c r="BI708" s="3267" t="s">
        <v>3069</v>
      </c>
      <c r="BJ708" s="3299">
        <v>38930</v>
      </c>
      <c r="BK708" s="3284"/>
      <c r="BL708" s="3267" t="s">
        <v>2998</v>
      </c>
      <c r="BM708" s="3270" t="s">
        <v>2879</v>
      </c>
      <c r="BN708" s="3270" t="s">
        <v>3111</v>
      </c>
      <c r="BO708" s="3276" t="s">
        <v>3146</v>
      </c>
      <c r="BP708" s="3276"/>
      <c r="BQ708" s="3343" t="e">
        <v>#DIV/0!</v>
      </c>
      <c r="BR708" s="3343" t="e">
        <v>#DIV/0!</v>
      </c>
      <c r="BS708" s="3285"/>
      <c r="BT708" s="3285"/>
      <c r="BU708" s="3285"/>
    </row>
    <row r="709" spans="1:238" hidden="1">
      <c r="A709" s="3267" t="s">
        <v>7968</v>
      </c>
      <c r="B709" s="3267" t="s">
        <v>7969</v>
      </c>
      <c r="C709" s="3269" t="s">
        <v>7970</v>
      </c>
      <c r="D709" s="3269">
        <v>60886096</v>
      </c>
      <c r="E709" s="3268" t="s">
        <v>2985</v>
      </c>
      <c r="F709" s="3268" t="s">
        <v>4736</v>
      </c>
      <c r="G709" s="3267"/>
      <c r="H709" s="3267" t="s">
        <v>3178</v>
      </c>
      <c r="I709" s="3268" t="s">
        <v>3586</v>
      </c>
      <c r="J709" s="3267" t="s">
        <v>3437</v>
      </c>
      <c r="K709" s="3267" t="s">
        <v>7971</v>
      </c>
      <c r="L709" s="3267">
        <v>60.57</v>
      </c>
      <c r="M709" s="3267">
        <v>4</v>
      </c>
      <c r="N709" s="3267" t="s">
        <v>3122</v>
      </c>
      <c r="O709" s="3267"/>
      <c r="P709" s="3267" t="s">
        <v>2963</v>
      </c>
      <c r="Q709" s="3271">
        <v>300000</v>
      </c>
      <c r="R709" s="3288">
        <v>4953</v>
      </c>
      <c r="S709" s="3272">
        <v>24.42</v>
      </c>
      <c r="T709" s="3273">
        <v>244200</v>
      </c>
      <c r="U709" s="3267">
        <v>4032</v>
      </c>
      <c r="V709" s="3289">
        <v>0.2</v>
      </c>
      <c r="W709" s="3272">
        <v>19.53</v>
      </c>
      <c r="X709" s="3273">
        <v>195300</v>
      </c>
      <c r="Y709" s="3267">
        <v>2006</v>
      </c>
      <c r="Z709" s="3276">
        <v>8</v>
      </c>
      <c r="AA709" s="3276">
        <v>18</v>
      </c>
      <c r="AB709" s="3267">
        <v>730</v>
      </c>
      <c r="AC709" s="3267" t="s">
        <v>2980</v>
      </c>
      <c r="AD709" s="3269" t="s">
        <v>7972</v>
      </c>
      <c r="AE709" s="3276" t="s">
        <v>3344</v>
      </c>
      <c r="AF709" s="3268" t="s">
        <v>2966</v>
      </c>
      <c r="AG709" s="3279" t="s">
        <v>2967</v>
      </c>
      <c r="AH709" s="3267"/>
      <c r="AI709" s="3279" t="s">
        <v>2992</v>
      </c>
      <c r="AJ709" s="3284"/>
      <c r="AK709" s="3278">
        <v>8</v>
      </c>
      <c r="AL709" s="3276">
        <v>37</v>
      </c>
      <c r="AM709" s="3267"/>
      <c r="AN709" s="3279" t="s">
        <v>3114</v>
      </c>
      <c r="AO709" s="3267"/>
      <c r="AP709" s="3279" t="s">
        <v>3305</v>
      </c>
      <c r="AQ709" s="3267" t="s">
        <v>3228</v>
      </c>
      <c r="AR709" s="3276"/>
      <c r="AS709" s="3276"/>
      <c r="AT709" s="3276"/>
      <c r="AU709" s="3276"/>
      <c r="AV709" s="3276"/>
      <c r="AW709" s="3276" t="s">
        <v>3119</v>
      </c>
      <c r="AX709" s="3276"/>
      <c r="AY709" s="3291"/>
      <c r="AZ709" s="3267" t="s">
        <v>7971</v>
      </c>
      <c r="BA709" s="3296"/>
      <c r="BB709" s="3297"/>
      <c r="BC709" s="3296"/>
      <c r="BD709" s="3298"/>
      <c r="BE709" s="3276"/>
      <c r="BF709" s="3281"/>
      <c r="BG709" s="3293">
        <v>38919</v>
      </c>
      <c r="BH709" s="3267" t="s">
        <v>2998</v>
      </c>
      <c r="BI709" s="3314" t="s">
        <v>3305</v>
      </c>
      <c r="BJ709" s="3283">
        <v>38930</v>
      </c>
      <c r="BK709" s="3283"/>
      <c r="BL709" s="3267" t="s">
        <v>3249</v>
      </c>
      <c r="BM709" s="3276" t="s">
        <v>2879</v>
      </c>
      <c r="BN709" s="3276" t="s">
        <v>2999</v>
      </c>
      <c r="BO709" s="3276" t="s">
        <v>3000</v>
      </c>
      <c r="BP709" s="3276"/>
      <c r="BQ709" s="3276" t="e">
        <v>#DIV/0!</v>
      </c>
      <c r="BR709" s="3276" t="e">
        <v>#DIV/0!</v>
      </c>
      <c r="BS709" s="3285"/>
      <c r="BT709" s="3285"/>
      <c r="BU709" s="3285"/>
    </row>
    <row r="710" spans="1:238">
      <c r="A710" s="3267" t="s">
        <v>7973</v>
      </c>
      <c r="B710" s="3267" t="s">
        <v>7974</v>
      </c>
      <c r="C710" s="3269" t="s">
        <v>7975</v>
      </c>
      <c r="D710" s="3269" t="s">
        <v>7976</v>
      </c>
      <c r="E710" s="3268" t="s">
        <v>2985</v>
      </c>
      <c r="F710" s="3268" t="s">
        <v>7837</v>
      </c>
      <c r="G710" s="3267"/>
      <c r="H710" s="3267" t="s">
        <v>3159</v>
      </c>
      <c r="I710" s="3268" t="s">
        <v>4347</v>
      </c>
      <c r="J710" s="3267" t="s">
        <v>3165</v>
      </c>
      <c r="K710" s="3267" t="s">
        <v>7977</v>
      </c>
      <c r="L710" s="3267">
        <v>80.97</v>
      </c>
      <c r="M710" s="3267">
        <v>6</v>
      </c>
      <c r="N710" s="3267" t="s">
        <v>7978</v>
      </c>
      <c r="O710" s="3267"/>
      <c r="P710" s="3267" t="s">
        <v>2963</v>
      </c>
      <c r="Q710" s="3271">
        <v>620000</v>
      </c>
      <c r="R710" s="3288">
        <v>7657</v>
      </c>
      <c r="S710" s="3272">
        <v>53.78</v>
      </c>
      <c r="T710" s="3273">
        <v>537800</v>
      </c>
      <c r="U710" s="3267">
        <v>6642</v>
      </c>
      <c r="V710" s="3274">
        <v>0.2</v>
      </c>
      <c r="W710" s="3272">
        <v>43.02</v>
      </c>
      <c r="X710" s="3273">
        <v>430200</v>
      </c>
      <c r="Y710" s="3267">
        <v>2006</v>
      </c>
      <c r="Z710" s="3276">
        <v>8</v>
      </c>
      <c r="AA710" s="3276">
        <v>11</v>
      </c>
      <c r="AB710" s="3267">
        <v>1500</v>
      </c>
      <c r="AC710" s="3267" t="s">
        <v>2980</v>
      </c>
      <c r="AD710" s="3269" t="s">
        <v>7979</v>
      </c>
      <c r="AE710" s="3279" t="s">
        <v>3344</v>
      </c>
      <c r="AF710" s="3268" t="s">
        <v>2966</v>
      </c>
      <c r="AG710" s="3279" t="s">
        <v>2967</v>
      </c>
      <c r="AH710" s="3267"/>
      <c r="AI710" s="3279" t="s">
        <v>2992</v>
      </c>
      <c r="AJ710" s="3284"/>
      <c r="AK710" s="3278">
        <v>8</v>
      </c>
      <c r="AL710" s="3276">
        <v>37</v>
      </c>
      <c r="AM710" s="3276"/>
      <c r="AN710" s="3279" t="s">
        <v>3140</v>
      </c>
      <c r="AO710" s="3267"/>
      <c r="AP710" s="3279" t="s">
        <v>3305</v>
      </c>
      <c r="AQ710" s="3267" t="s">
        <v>3228</v>
      </c>
      <c r="AR710" s="3276"/>
      <c r="AS710" s="3276"/>
      <c r="AT710" s="3276"/>
      <c r="AU710" s="3276"/>
      <c r="AV710" s="3276"/>
      <c r="AW710" s="3276" t="s">
        <v>3119</v>
      </c>
      <c r="AX710" s="3276"/>
      <c r="AY710" s="3291"/>
      <c r="AZ710" s="3267" t="s">
        <v>7977</v>
      </c>
      <c r="BA710" s="3296"/>
      <c r="BB710" s="3297"/>
      <c r="BC710" s="3296"/>
      <c r="BD710" s="3298"/>
      <c r="BE710" s="3276" t="s">
        <v>7980</v>
      </c>
      <c r="BF710" s="3281"/>
      <c r="BG710" s="3293">
        <v>38928</v>
      </c>
      <c r="BH710" s="3267" t="s">
        <v>2998</v>
      </c>
      <c r="BI710" s="3314" t="s">
        <v>3305</v>
      </c>
      <c r="BJ710" s="3283">
        <v>38933</v>
      </c>
      <c r="BK710" s="3283"/>
      <c r="BL710" s="3267" t="s">
        <v>3249</v>
      </c>
      <c r="BM710" s="3276" t="s">
        <v>2879</v>
      </c>
      <c r="BN710" s="3276" t="s">
        <v>2999</v>
      </c>
      <c r="BO710" s="3276" t="s">
        <v>3000</v>
      </c>
      <c r="BP710" s="3276"/>
      <c r="BQ710" s="3276" t="e">
        <v>#DIV/0!</v>
      </c>
      <c r="BR710" s="3276" t="e">
        <v>#DIV/0!</v>
      </c>
      <c r="BS710" s="3285"/>
      <c r="BT710" s="3285"/>
      <c r="BU710" s="3285"/>
    </row>
    <row r="711" spans="1:238" hidden="1">
      <c r="A711" s="3267" t="s">
        <v>7981</v>
      </c>
      <c r="B711" s="3267" t="s">
        <v>7982</v>
      </c>
      <c r="C711" s="3269" t="s">
        <v>7983</v>
      </c>
      <c r="D711" s="3267">
        <v>13552053521</v>
      </c>
      <c r="E711" s="3267" t="s">
        <v>2985</v>
      </c>
      <c r="F711" s="3267" t="s">
        <v>7984</v>
      </c>
      <c r="G711" s="3267"/>
      <c r="H711" s="3267" t="s">
        <v>3182</v>
      </c>
      <c r="I711" s="3267" t="s">
        <v>3608</v>
      </c>
      <c r="J711" s="3267" t="s">
        <v>3126</v>
      </c>
      <c r="K711" s="3267" t="s">
        <v>7985</v>
      </c>
      <c r="L711" s="3267">
        <v>53.03</v>
      </c>
      <c r="M711" s="3267">
        <v>6</v>
      </c>
      <c r="N711" s="3267" t="s">
        <v>3152</v>
      </c>
      <c r="O711" s="3267"/>
      <c r="P711" s="3267" t="s">
        <v>2963</v>
      </c>
      <c r="Q711" s="3267">
        <v>150000</v>
      </c>
      <c r="R711" s="3288">
        <v>2829</v>
      </c>
      <c r="S711" s="3272">
        <v>17.97</v>
      </c>
      <c r="T711" s="3273">
        <v>179700</v>
      </c>
      <c r="U711" s="3267">
        <v>3390</v>
      </c>
      <c r="V711" s="3289">
        <v>0.2</v>
      </c>
      <c r="W711" s="3272">
        <v>14.37</v>
      </c>
      <c r="X711" s="3273">
        <v>143700</v>
      </c>
      <c r="Y711" s="3267">
        <v>2006</v>
      </c>
      <c r="Z711" s="3267">
        <v>8</v>
      </c>
      <c r="AA711" s="3267">
        <v>15</v>
      </c>
      <c r="AB711" s="3267">
        <v>535</v>
      </c>
      <c r="AC711" s="3267" t="s">
        <v>2980</v>
      </c>
      <c r="AD711" s="3280" t="s">
        <v>7986</v>
      </c>
      <c r="AE711" s="3267" t="s">
        <v>3180</v>
      </c>
      <c r="AF711" s="3267" t="s">
        <v>2966</v>
      </c>
      <c r="AG711" s="3267" t="s">
        <v>2967</v>
      </c>
      <c r="AH711" s="3267"/>
      <c r="AI711" s="3279" t="s">
        <v>2992</v>
      </c>
      <c r="AJ711" s="3267"/>
      <c r="AK711" s="3267" t="s">
        <v>4256</v>
      </c>
      <c r="AL711" s="3267">
        <v>25</v>
      </c>
      <c r="AM711" s="3267"/>
      <c r="AN711" s="3267" t="s">
        <v>3114</v>
      </c>
      <c r="AO711" s="3267"/>
      <c r="AP711" s="3267" t="s">
        <v>3180</v>
      </c>
      <c r="AQ711" s="3267" t="s">
        <v>3228</v>
      </c>
      <c r="AR711" s="3267">
        <v>2006</v>
      </c>
      <c r="AS711" s="3267">
        <v>8</v>
      </c>
      <c r="AT711" s="3267">
        <v>7</v>
      </c>
      <c r="AU711" s="3267"/>
      <c r="AV711" s="3267"/>
      <c r="AW711" s="3267" t="s">
        <v>3119</v>
      </c>
      <c r="AX711" s="3267"/>
      <c r="AY711" s="3267"/>
      <c r="AZ711" s="3267" t="s">
        <v>7985</v>
      </c>
      <c r="BA711" s="3267"/>
      <c r="BB711" s="3267"/>
      <c r="BC711" s="3267"/>
      <c r="BD711" s="3267"/>
      <c r="BE711" s="3267"/>
      <c r="BF711" s="3267"/>
      <c r="BG711" s="3284">
        <v>38931</v>
      </c>
      <c r="BH711" s="3267"/>
      <c r="BI711" s="3267" t="s">
        <v>3180</v>
      </c>
      <c r="BJ711" s="3284">
        <v>38933</v>
      </c>
      <c r="BK711" s="3267"/>
      <c r="BL711" s="3267" t="s">
        <v>2998</v>
      </c>
      <c r="BM711" s="3267" t="s">
        <v>3128</v>
      </c>
      <c r="BN711" s="3267" t="s">
        <v>2999</v>
      </c>
      <c r="BO711" s="3267" t="s">
        <v>3146</v>
      </c>
      <c r="BP711" s="3267"/>
      <c r="BQ711" s="3276" t="e">
        <v>#DIV/0!</v>
      </c>
      <c r="BR711" s="3276" t="e">
        <v>#DIV/0!</v>
      </c>
      <c r="BS711" s="3285"/>
      <c r="BT711" s="3285"/>
      <c r="BU711" s="3285"/>
    </row>
    <row r="712" spans="1:238" hidden="1">
      <c r="A712" s="3267" t="s">
        <v>7987</v>
      </c>
      <c r="B712" s="3267" t="s">
        <v>7988</v>
      </c>
      <c r="C712" s="3269" t="s">
        <v>7989</v>
      </c>
      <c r="D712" s="3269" t="s">
        <v>7990</v>
      </c>
      <c r="E712" s="3268" t="s">
        <v>2985</v>
      </c>
      <c r="F712" s="3268" t="s">
        <v>6396</v>
      </c>
      <c r="G712" s="3267"/>
      <c r="H712" s="3267" t="s">
        <v>3999</v>
      </c>
      <c r="I712" s="3268"/>
      <c r="J712" s="3268" t="s">
        <v>7991</v>
      </c>
      <c r="K712" s="3267" t="s">
        <v>7992</v>
      </c>
      <c r="L712" s="3267">
        <v>88.7</v>
      </c>
      <c r="M712" s="3267">
        <v>14</v>
      </c>
      <c r="N712" s="3267" t="s">
        <v>3122</v>
      </c>
      <c r="O712" s="3267"/>
      <c r="P712" s="3267" t="s">
        <v>2963</v>
      </c>
      <c r="Q712" s="3271">
        <v>690000</v>
      </c>
      <c r="R712" s="3267">
        <v>7779</v>
      </c>
      <c r="S712" s="3272">
        <v>61.24</v>
      </c>
      <c r="T712" s="3273">
        <v>612400</v>
      </c>
      <c r="U712" s="3267">
        <v>6905</v>
      </c>
      <c r="V712" s="3289">
        <v>0.2</v>
      </c>
      <c r="W712" s="3272">
        <v>48.99</v>
      </c>
      <c r="X712" s="3275">
        <v>489900</v>
      </c>
      <c r="Y712" s="3276">
        <v>2006</v>
      </c>
      <c r="Z712" s="3276">
        <v>8</v>
      </c>
      <c r="AA712" s="3276">
        <v>21</v>
      </c>
      <c r="AB712" s="3267">
        <v>1500</v>
      </c>
      <c r="AC712" s="3267" t="s">
        <v>2980</v>
      </c>
      <c r="AD712" s="3366">
        <v>91302006080250</v>
      </c>
      <c r="AE712" s="3279" t="s">
        <v>2991</v>
      </c>
      <c r="AF712" s="3268"/>
      <c r="AG712" s="3279" t="s">
        <v>2967</v>
      </c>
      <c r="AH712" s="3267"/>
      <c r="AI712" s="3279" t="s">
        <v>2992</v>
      </c>
      <c r="AJ712" s="3284"/>
      <c r="AK712" s="3278">
        <v>8</v>
      </c>
      <c r="AL712" s="3276">
        <v>53</v>
      </c>
      <c r="AM712" s="3276"/>
      <c r="AN712" s="3279" t="s">
        <v>2994</v>
      </c>
      <c r="AO712" s="3267"/>
      <c r="AP712" s="3279" t="s">
        <v>2991</v>
      </c>
      <c r="AQ712" s="3267" t="s">
        <v>3228</v>
      </c>
      <c r="AR712" s="3276">
        <v>2006</v>
      </c>
      <c r="AS712" s="3276">
        <v>8</v>
      </c>
      <c r="AT712" s="3276">
        <v>21</v>
      </c>
      <c r="AU712" s="3276"/>
      <c r="AV712" s="3276"/>
      <c r="AW712" s="3276" t="s">
        <v>2997</v>
      </c>
      <c r="AX712" s="3276"/>
      <c r="AY712" s="3291"/>
      <c r="AZ712" s="3267" t="s">
        <v>7992</v>
      </c>
      <c r="BA712" s="3296"/>
      <c r="BB712" s="3297"/>
      <c r="BC712" s="3296"/>
      <c r="BD712" s="3298"/>
      <c r="BE712" s="3276"/>
      <c r="BF712" s="3281"/>
      <c r="BG712" s="3293">
        <v>38929</v>
      </c>
      <c r="BH712" s="3267"/>
      <c r="BI712" s="3267" t="s">
        <v>2991</v>
      </c>
      <c r="BJ712" s="3299">
        <v>38933</v>
      </c>
      <c r="BK712" s="3283" t="s">
        <v>2968</v>
      </c>
      <c r="BL712" s="3267"/>
      <c r="BM712" s="3276" t="s">
        <v>2879</v>
      </c>
      <c r="BN712" s="3276" t="s">
        <v>2999</v>
      </c>
      <c r="BO712" s="3276" t="s">
        <v>3146</v>
      </c>
      <c r="BP712" s="3276"/>
      <c r="BQ712" s="3276" t="e">
        <v>#DIV/0!</v>
      </c>
      <c r="BR712" s="3276" t="e">
        <v>#DIV/0!</v>
      </c>
      <c r="BS712" s="3285"/>
      <c r="BT712" s="3285"/>
      <c r="BU712" s="3285"/>
      <c r="BW712" s="3262" t="s">
        <v>3262</v>
      </c>
      <c r="BX712" s="3262" t="s">
        <v>3262</v>
      </c>
      <c r="BY712" s="3262" t="s">
        <v>3262</v>
      </c>
      <c r="BZ712" s="3262" t="s">
        <v>3262</v>
      </c>
      <c r="CA712" s="3262" t="s">
        <v>3262</v>
      </c>
      <c r="CB712" s="3262" t="s">
        <v>3262</v>
      </c>
      <c r="CC712" s="3262" t="s">
        <v>3262</v>
      </c>
      <c r="CD712" s="3262" t="s">
        <v>3262</v>
      </c>
      <c r="CE712" s="3262" t="s">
        <v>3262</v>
      </c>
      <c r="CF712" s="3262" t="s">
        <v>3262</v>
      </c>
      <c r="CG712" s="3262" t="s">
        <v>3262</v>
      </c>
      <c r="CH712" s="3262" t="s">
        <v>3262</v>
      </c>
      <c r="CI712" s="3262" t="s">
        <v>3262</v>
      </c>
      <c r="CJ712" s="3262" t="s">
        <v>3262</v>
      </c>
      <c r="CK712" s="3262" t="s">
        <v>3262</v>
      </c>
      <c r="CL712" s="3262" t="s">
        <v>3262</v>
      </c>
      <c r="CM712" s="3262" t="s">
        <v>3262</v>
      </c>
      <c r="CN712" s="3262" t="s">
        <v>3262</v>
      </c>
      <c r="CO712" s="3262" t="s">
        <v>3262</v>
      </c>
      <c r="CP712" s="3262" t="s">
        <v>3262</v>
      </c>
      <c r="CQ712" s="3262" t="s">
        <v>3262</v>
      </c>
      <c r="CR712" s="3262" t="s">
        <v>3262</v>
      </c>
      <c r="CS712" s="3262" t="s">
        <v>3262</v>
      </c>
      <c r="CT712" s="3262" t="s">
        <v>3262</v>
      </c>
      <c r="CU712" s="3262" t="s">
        <v>3262</v>
      </c>
      <c r="CV712" s="3262" t="s">
        <v>3262</v>
      </c>
      <c r="CW712" s="3262" t="s">
        <v>3262</v>
      </c>
      <c r="CX712" s="3262" t="s">
        <v>3262</v>
      </c>
      <c r="CY712" s="3262" t="s">
        <v>3262</v>
      </c>
      <c r="CZ712" s="3262" t="s">
        <v>3262</v>
      </c>
      <c r="DA712" s="3262" t="s">
        <v>3262</v>
      </c>
      <c r="DB712" s="3262" t="s">
        <v>3262</v>
      </c>
      <c r="DC712" s="3262" t="s">
        <v>3262</v>
      </c>
      <c r="DD712" s="3262" t="s">
        <v>3262</v>
      </c>
      <c r="DE712" s="3262" t="s">
        <v>3262</v>
      </c>
      <c r="DF712" s="3262" t="s">
        <v>3262</v>
      </c>
      <c r="DG712" s="3262" t="s">
        <v>3262</v>
      </c>
      <c r="DH712" s="3262" t="s">
        <v>3262</v>
      </c>
      <c r="DI712" s="3262" t="s">
        <v>3262</v>
      </c>
      <c r="DJ712" s="3262" t="s">
        <v>3262</v>
      </c>
      <c r="DK712" s="3262" t="s">
        <v>3262</v>
      </c>
      <c r="DL712" s="3262" t="s">
        <v>3262</v>
      </c>
      <c r="DM712" s="3262" t="s">
        <v>3262</v>
      </c>
      <c r="DN712" s="3262" t="s">
        <v>3262</v>
      </c>
      <c r="DO712" s="3262" t="s">
        <v>3262</v>
      </c>
      <c r="DP712" s="3262" t="s">
        <v>3262</v>
      </c>
      <c r="DQ712" s="3262" t="s">
        <v>3262</v>
      </c>
      <c r="DR712" s="3262" t="s">
        <v>3262</v>
      </c>
      <c r="DS712" s="3262" t="s">
        <v>3262</v>
      </c>
      <c r="DT712" s="3262" t="s">
        <v>3262</v>
      </c>
      <c r="DU712" s="3262" t="s">
        <v>3262</v>
      </c>
      <c r="DV712" s="3262" t="s">
        <v>3262</v>
      </c>
      <c r="DW712" s="3262" t="s">
        <v>3262</v>
      </c>
      <c r="DX712" s="3262" t="s">
        <v>3262</v>
      </c>
      <c r="DY712" s="3262" t="s">
        <v>3262</v>
      </c>
      <c r="DZ712" s="3262" t="s">
        <v>3262</v>
      </c>
      <c r="EA712" s="3262" t="s">
        <v>3262</v>
      </c>
      <c r="EB712" s="3262" t="s">
        <v>3262</v>
      </c>
      <c r="EC712" s="3262" t="s">
        <v>3262</v>
      </c>
      <c r="ED712" s="3262" t="s">
        <v>3262</v>
      </c>
      <c r="EE712" s="3262" t="s">
        <v>3262</v>
      </c>
      <c r="EF712" s="3262" t="s">
        <v>3262</v>
      </c>
      <c r="EG712" s="3262" t="s">
        <v>3262</v>
      </c>
      <c r="EH712" s="3262" t="s">
        <v>3262</v>
      </c>
      <c r="EI712" s="3262" t="s">
        <v>3262</v>
      </c>
      <c r="EJ712" s="3262" t="s">
        <v>3262</v>
      </c>
      <c r="EK712" s="3262" t="s">
        <v>3262</v>
      </c>
      <c r="EL712" s="3262" t="s">
        <v>3262</v>
      </c>
      <c r="EM712" s="3262" t="s">
        <v>3262</v>
      </c>
      <c r="EN712" s="3262" t="s">
        <v>3262</v>
      </c>
      <c r="EO712" s="3262" t="s">
        <v>3262</v>
      </c>
      <c r="EP712" s="3262" t="s">
        <v>3262</v>
      </c>
      <c r="EQ712" s="3262" t="s">
        <v>3262</v>
      </c>
      <c r="ER712" s="3262" t="s">
        <v>3262</v>
      </c>
      <c r="ES712" s="3262" t="s">
        <v>3262</v>
      </c>
      <c r="ET712" s="3262" t="s">
        <v>3262</v>
      </c>
      <c r="EU712" s="3262" t="s">
        <v>3262</v>
      </c>
      <c r="EV712" s="3262" t="s">
        <v>3262</v>
      </c>
      <c r="EW712" s="3262" t="s">
        <v>3262</v>
      </c>
      <c r="EX712" s="3262" t="s">
        <v>3262</v>
      </c>
      <c r="EY712" s="3262" t="s">
        <v>3262</v>
      </c>
      <c r="EZ712" s="3262" t="s">
        <v>3262</v>
      </c>
      <c r="FA712" s="3262" t="s">
        <v>3262</v>
      </c>
      <c r="FB712" s="3262" t="s">
        <v>3262</v>
      </c>
      <c r="FC712" s="3262" t="s">
        <v>3262</v>
      </c>
      <c r="FD712" s="3262" t="s">
        <v>3262</v>
      </c>
      <c r="FE712" s="3262" t="s">
        <v>3262</v>
      </c>
      <c r="FF712" s="3262" t="s">
        <v>3262</v>
      </c>
      <c r="FG712" s="3262" t="s">
        <v>3262</v>
      </c>
      <c r="FH712" s="3262" t="s">
        <v>3262</v>
      </c>
      <c r="FI712" s="3262" t="s">
        <v>3262</v>
      </c>
      <c r="FJ712" s="3262" t="s">
        <v>3262</v>
      </c>
      <c r="FK712" s="3262" t="s">
        <v>3262</v>
      </c>
      <c r="FL712" s="3262" t="s">
        <v>3262</v>
      </c>
      <c r="FM712" s="3262" t="s">
        <v>3262</v>
      </c>
      <c r="FN712" s="3262" t="s">
        <v>3262</v>
      </c>
      <c r="FO712" s="3262" t="s">
        <v>3262</v>
      </c>
      <c r="FP712" s="3262" t="s">
        <v>3262</v>
      </c>
      <c r="FQ712" s="3262" t="s">
        <v>3262</v>
      </c>
      <c r="FR712" s="3262" t="s">
        <v>3262</v>
      </c>
      <c r="FS712" s="3262" t="s">
        <v>3262</v>
      </c>
      <c r="FT712" s="3262" t="s">
        <v>3262</v>
      </c>
      <c r="FU712" s="3262" t="s">
        <v>3262</v>
      </c>
      <c r="FV712" s="3262" t="s">
        <v>3262</v>
      </c>
      <c r="FW712" s="3262" t="s">
        <v>3262</v>
      </c>
      <c r="FX712" s="3262" t="s">
        <v>3262</v>
      </c>
      <c r="FY712" s="3262" t="s">
        <v>3262</v>
      </c>
      <c r="FZ712" s="3262" t="s">
        <v>3262</v>
      </c>
      <c r="GA712" s="3262" t="s">
        <v>3262</v>
      </c>
      <c r="GB712" s="3262" t="s">
        <v>3262</v>
      </c>
      <c r="GC712" s="3262" t="s">
        <v>3262</v>
      </c>
      <c r="GD712" s="3262" t="s">
        <v>3262</v>
      </c>
      <c r="GE712" s="3262" t="s">
        <v>3262</v>
      </c>
      <c r="GF712" s="3262" t="s">
        <v>3262</v>
      </c>
      <c r="GG712" s="3262" t="s">
        <v>3262</v>
      </c>
      <c r="GH712" s="3262" t="s">
        <v>3262</v>
      </c>
      <c r="GI712" s="3262" t="s">
        <v>3262</v>
      </c>
      <c r="GJ712" s="3262" t="s">
        <v>3262</v>
      </c>
      <c r="GK712" s="3262" t="s">
        <v>3262</v>
      </c>
      <c r="GL712" s="3262" t="s">
        <v>3262</v>
      </c>
      <c r="GM712" s="3262" t="s">
        <v>3262</v>
      </c>
      <c r="GN712" s="3262" t="s">
        <v>3262</v>
      </c>
      <c r="GO712" s="3262" t="s">
        <v>3262</v>
      </c>
      <c r="GP712" s="3262" t="s">
        <v>3262</v>
      </c>
      <c r="GQ712" s="3262" t="s">
        <v>3262</v>
      </c>
      <c r="GR712" s="3262" t="s">
        <v>3262</v>
      </c>
      <c r="GS712" s="3262" t="s">
        <v>3262</v>
      </c>
      <c r="GT712" s="3262" t="s">
        <v>3262</v>
      </c>
      <c r="GU712" s="3262" t="s">
        <v>3262</v>
      </c>
      <c r="GV712" s="3262" t="s">
        <v>3262</v>
      </c>
      <c r="GW712" s="3262" t="s">
        <v>3262</v>
      </c>
      <c r="GX712" s="3262" t="s">
        <v>3262</v>
      </c>
      <c r="GY712" s="3262" t="s">
        <v>3262</v>
      </c>
      <c r="GZ712" s="3262" t="s">
        <v>3262</v>
      </c>
      <c r="HA712" s="3262" t="s">
        <v>3262</v>
      </c>
      <c r="HB712" s="3262" t="s">
        <v>3262</v>
      </c>
      <c r="HC712" s="3262" t="s">
        <v>3262</v>
      </c>
      <c r="HD712" s="3262" t="s">
        <v>3262</v>
      </c>
      <c r="HE712" s="3262" t="s">
        <v>3262</v>
      </c>
      <c r="HF712" s="3262" t="s">
        <v>3262</v>
      </c>
      <c r="HG712" s="3262" t="s">
        <v>3262</v>
      </c>
      <c r="HH712" s="3262" t="s">
        <v>3262</v>
      </c>
      <c r="HI712" s="3262" t="s">
        <v>3262</v>
      </c>
      <c r="HJ712" s="3262" t="s">
        <v>3262</v>
      </c>
      <c r="HK712" s="3262" t="s">
        <v>3262</v>
      </c>
      <c r="HL712" s="3262" t="s">
        <v>3262</v>
      </c>
      <c r="HM712" s="3262" t="s">
        <v>3262</v>
      </c>
      <c r="HN712" s="3262" t="s">
        <v>3262</v>
      </c>
      <c r="HO712" s="3262" t="s">
        <v>3262</v>
      </c>
      <c r="HP712" s="3262" t="s">
        <v>3262</v>
      </c>
      <c r="HQ712" s="3262" t="s">
        <v>3262</v>
      </c>
      <c r="HR712" s="3262" t="s">
        <v>3262</v>
      </c>
      <c r="HS712" s="3262" t="s">
        <v>3262</v>
      </c>
      <c r="HT712" s="3262" t="s">
        <v>3262</v>
      </c>
      <c r="HU712" s="3262" t="s">
        <v>3262</v>
      </c>
      <c r="HV712" s="3262" t="s">
        <v>3262</v>
      </c>
      <c r="HW712" s="3262" t="s">
        <v>3262</v>
      </c>
      <c r="HX712" s="3262" t="s">
        <v>3262</v>
      </c>
      <c r="HY712" s="3262" t="s">
        <v>3262</v>
      </c>
      <c r="HZ712" s="3262" t="s">
        <v>3262</v>
      </c>
      <c r="IA712" s="3262" t="s">
        <v>3262</v>
      </c>
      <c r="IB712" s="3262" t="s">
        <v>3262</v>
      </c>
      <c r="IC712" s="3262" t="s">
        <v>3262</v>
      </c>
      <c r="ID712" s="3262" t="s">
        <v>3262</v>
      </c>
    </row>
    <row r="713" spans="1:238" hidden="1">
      <c r="A713" s="3267" t="s">
        <v>7993</v>
      </c>
      <c r="B713" s="3267" t="s">
        <v>7994</v>
      </c>
      <c r="C713" s="3269" t="s">
        <v>7995</v>
      </c>
      <c r="D713" s="3269" t="s">
        <v>7996</v>
      </c>
      <c r="E713" s="3268" t="s">
        <v>2985</v>
      </c>
      <c r="F713" s="3268" t="s">
        <v>5363</v>
      </c>
      <c r="G713" s="3267"/>
      <c r="H713" s="3267" t="s">
        <v>3159</v>
      </c>
      <c r="I713" s="3268" t="s">
        <v>3608</v>
      </c>
      <c r="J713" s="3268" t="s">
        <v>7997</v>
      </c>
      <c r="K713" s="3267" t="s">
        <v>7998</v>
      </c>
      <c r="L713" s="3267">
        <v>50.32</v>
      </c>
      <c r="M713" s="3267">
        <v>3</v>
      </c>
      <c r="N713" s="3267" t="s">
        <v>3122</v>
      </c>
      <c r="O713" s="3267"/>
      <c r="P713" s="3267" t="s">
        <v>2963</v>
      </c>
      <c r="Q713" s="3271">
        <v>445000</v>
      </c>
      <c r="R713" s="3267">
        <v>8843</v>
      </c>
      <c r="S713" s="3272">
        <v>38.24</v>
      </c>
      <c r="T713" s="3273">
        <v>382400</v>
      </c>
      <c r="U713" s="3267">
        <v>7600</v>
      </c>
      <c r="V713" s="3289">
        <v>0.2</v>
      </c>
      <c r="W713" s="3272">
        <v>30.59</v>
      </c>
      <c r="X713" s="3275">
        <v>305900</v>
      </c>
      <c r="Y713" s="3276">
        <v>2006</v>
      </c>
      <c r="Z713" s="3276">
        <v>8</v>
      </c>
      <c r="AA713" s="3276">
        <v>15</v>
      </c>
      <c r="AB713" s="3267">
        <v>1145</v>
      </c>
      <c r="AC713" s="3267" t="s">
        <v>2980</v>
      </c>
      <c r="AD713" s="3366">
        <v>91302006080253</v>
      </c>
      <c r="AE713" s="3279" t="s">
        <v>2991</v>
      </c>
      <c r="AF713" s="3268"/>
      <c r="AG713" s="3279" t="s">
        <v>2967</v>
      </c>
      <c r="AH713" s="3267"/>
      <c r="AI713" s="3279" t="s">
        <v>2992</v>
      </c>
      <c r="AJ713" s="3284"/>
      <c r="AK713" s="3278">
        <v>8</v>
      </c>
      <c r="AL713" s="3276">
        <v>28</v>
      </c>
      <c r="AM713" s="3276"/>
      <c r="AN713" s="3279" t="s">
        <v>3114</v>
      </c>
      <c r="AO713" s="3267"/>
      <c r="AP713" s="3279" t="s">
        <v>2991</v>
      </c>
      <c r="AQ713" s="3267" t="s">
        <v>3228</v>
      </c>
      <c r="AR713" s="3276">
        <v>2006</v>
      </c>
      <c r="AS713" s="3276">
        <v>8</v>
      </c>
      <c r="AT713" s="3276">
        <v>15</v>
      </c>
      <c r="AU713" s="3276"/>
      <c r="AV713" s="3276"/>
      <c r="AW713" s="3276" t="s">
        <v>2997</v>
      </c>
      <c r="AX713" s="3276"/>
      <c r="AY713" s="3291"/>
      <c r="AZ713" s="3267" t="s">
        <v>7998</v>
      </c>
      <c r="BA713" s="3296"/>
      <c r="BB713" s="3297"/>
      <c r="BC713" s="3296"/>
      <c r="BD713" s="3298"/>
      <c r="BE713" s="3276"/>
      <c r="BF713" s="3281"/>
      <c r="BG713" s="3293">
        <v>38931</v>
      </c>
      <c r="BH713" s="3267"/>
      <c r="BI713" s="3267" t="s">
        <v>2991</v>
      </c>
      <c r="BJ713" s="3299">
        <v>38933</v>
      </c>
      <c r="BK713" s="3283" t="s">
        <v>2968</v>
      </c>
      <c r="BL713" s="3267"/>
      <c r="BM713" s="3276" t="s">
        <v>2879</v>
      </c>
      <c r="BN713" s="3276" t="s">
        <v>2999</v>
      </c>
      <c r="BO713" s="3276" t="s">
        <v>3146</v>
      </c>
      <c r="BP713" s="3276"/>
      <c r="BQ713" s="3276" t="e">
        <v>#DIV/0!</v>
      </c>
      <c r="BR713" s="3276" t="e">
        <v>#DIV/0!</v>
      </c>
      <c r="BS713" s="3285"/>
      <c r="BT713" s="3285"/>
      <c r="BU713" s="3285"/>
      <c r="BW713" s="3262" t="s">
        <v>3262</v>
      </c>
      <c r="BX713" s="3262" t="s">
        <v>3262</v>
      </c>
      <c r="BY713" s="3262" t="s">
        <v>3262</v>
      </c>
      <c r="BZ713" s="3262" t="s">
        <v>3262</v>
      </c>
      <c r="CA713" s="3262" t="s">
        <v>3262</v>
      </c>
      <c r="CB713" s="3262" t="s">
        <v>3262</v>
      </c>
      <c r="CC713" s="3262" t="s">
        <v>3262</v>
      </c>
      <c r="CD713" s="3262" t="s">
        <v>3262</v>
      </c>
      <c r="CE713" s="3262" t="s">
        <v>3262</v>
      </c>
      <c r="CF713" s="3262" t="s">
        <v>3262</v>
      </c>
      <c r="CG713" s="3262" t="s">
        <v>3262</v>
      </c>
      <c r="CH713" s="3262" t="s">
        <v>3262</v>
      </c>
      <c r="CI713" s="3262" t="s">
        <v>3262</v>
      </c>
      <c r="CJ713" s="3262" t="s">
        <v>3262</v>
      </c>
      <c r="CK713" s="3262" t="s">
        <v>3262</v>
      </c>
      <c r="CL713" s="3262" t="s">
        <v>3262</v>
      </c>
      <c r="CM713" s="3262" t="s">
        <v>3262</v>
      </c>
      <c r="CN713" s="3262" t="s">
        <v>3262</v>
      </c>
      <c r="CO713" s="3262" t="s">
        <v>3262</v>
      </c>
      <c r="CP713" s="3262" t="s">
        <v>3262</v>
      </c>
      <c r="CQ713" s="3262" t="s">
        <v>3262</v>
      </c>
      <c r="CR713" s="3262" t="s">
        <v>3262</v>
      </c>
      <c r="CS713" s="3262" t="s">
        <v>3262</v>
      </c>
      <c r="CT713" s="3262" t="s">
        <v>3262</v>
      </c>
      <c r="CU713" s="3262" t="s">
        <v>3262</v>
      </c>
      <c r="CV713" s="3262" t="s">
        <v>3262</v>
      </c>
      <c r="CW713" s="3262" t="s">
        <v>3262</v>
      </c>
      <c r="CX713" s="3262" t="s">
        <v>3262</v>
      </c>
      <c r="CY713" s="3262" t="s">
        <v>3262</v>
      </c>
      <c r="CZ713" s="3262" t="s">
        <v>3262</v>
      </c>
      <c r="DA713" s="3262" t="s">
        <v>3262</v>
      </c>
      <c r="DB713" s="3262" t="s">
        <v>3262</v>
      </c>
      <c r="DC713" s="3262" t="s">
        <v>3262</v>
      </c>
      <c r="DD713" s="3262" t="s">
        <v>3262</v>
      </c>
      <c r="DE713" s="3262" t="s">
        <v>3262</v>
      </c>
      <c r="DF713" s="3262" t="s">
        <v>3262</v>
      </c>
      <c r="DG713" s="3262" t="s">
        <v>3262</v>
      </c>
      <c r="DH713" s="3262" t="s">
        <v>3262</v>
      </c>
      <c r="DI713" s="3262" t="s">
        <v>3262</v>
      </c>
      <c r="DJ713" s="3262" t="s">
        <v>3262</v>
      </c>
      <c r="DK713" s="3262" t="s">
        <v>3262</v>
      </c>
      <c r="DL713" s="3262" t="s">
        <v>3262</v>
      </c>
      <c r="DM713" s="3262" t="s">
        <v>3262</v>
      </c>
      <c r="DN713" s="3262" t="s">
        <v>3262</v>
      </c>
      <c r="DO713" s="3262" t="s">
        <v>3262</v>
      </c>
      <c r="DP713" s="3262" t="s">
        <v>3262</v>
      </c>
      <c r="DQ713" s="3262" t="s">
        <v>3262</v>
      </c>
      <c r="DR713" s="3262" t="s">
        <v>3262</v>
      </c>
      <c r="DS713" s="3262" t="s">
        <v>3262</v>
      </c>
      <c r="DT713" s="3262" t="s">
        <v>3262</v>
      </c>
      <c r="DU713" s="3262" t="s">
        <v>3262</v>
      </c>
      <c r="DV713" s="3262" t="s">
        <v>3262</v>
      </c>
      <c r="DW713" s="3262" t="s">
        <v>3262</v>
      </c>
      <c r="DX713" s="3262" t="s">
        <v>3262</v>
      </c>
      <c r="DY713" s="3262" t="s">
        <v>3262</v>
      </c>
      <c r="DZ713" s="3262" t="s">
        <v>3262</v>
      </c>
      <c r="EA713" s="3262" t="s">
        <v>3262</v>
      </c>
      <c r="EB713" s="3262" t="s">
        <v>3262</v>
      </c>
      <c r="EC713" s="3262" t="s">
        <v>3262</v>
      </c>
      <c r="ED713" s="3262" t="s">
        <v>3262</v>
      </c>
      <c r="EE713" s="3262" t="s">
        <v>3262</v>
      </c>
      <c r="EF713" s="3262" t="s">
        <v>3262</v>
      </c>
      <c r="EG713" s="3262" t="s">
        <v>3262</v>
      </c>
      <c r="EH713" s="3262" t="s">
        <v>3262</v>
      </c>
      <c r="EI713" s="3262" t="s">
        <v>3262</v>
      </c>
      <c r="EJ713" s="3262" t="s">
        <v>3262</v>
      </c>
      <c r="EK713" s="3262" t="s">
        <v>3262</v>
      </c>
      <c r="EL713" s="3262" t="s">
        <v>3262</v>
      </c>
      <c r="EM713" s="3262" t="s">
        <v>3262</v>
      </c>
      <c r="EN713" s="3262" t="s">
        <v>3262</v>
      </c>
      <c r="EO713" s="3262" t="s">
        <v>3262</v>
      </c>
      <c r="EP713" s="3262" t="s">
        <v>3262</v>
      </c>
      <c r="EQ713" s="3262" t="s">
        <v>3262</v>
      </c>
      <c r="ER713" s="3262" t="s">
        <v>3262</v>
      </c>
      <c r="ES713" s="3262" t="s">
        <v>3262</v>
      </c>
      <c r="ET713" s="3262" t="s">
        <v>3262</v>
      </c>
      <c r="EU713" s="3262" t="s">
        <v>3262</v>
      </c>
      <c r="EV713" s="3262" t="s">
        <v>3262</v>
      </c>
      <c r="EW713" s="3262" t="s">
        <v>3262</v>
      </c>
      <c r="EX713" s="3262" t="s">
        <v>3262</v>
      </c>
      <c r="EY713" s="3262" t="s">
        <v>3262</v>
      </c>
      <c r="EZ713" s="3262" t="s">
        <v>3262</v>
      </c>
      <c r="FA713" s="3262" t="s">
        <v>3262</v>
      </c>
      <c r="FB713" s="3262" t="s">
        <v>3262</v>
      </c>
      <c r="FC713" s="3262" t="s">
        <v>3262</v>
      </c>
      <c r="FD713" s="3262" t="s">
        <v>3262</v>
      </c>
      <c r="FE713" s="3262" t="s">
        <v>3262</v>
      </c>
      <c r="FF713" s="3262" t="s">
        <v>3262</v>
      </c>
      <c r="FG713" s="3262" t="s">
        <v>3262</v>
      </c>
      <c r="FH713" s="3262" t="s">
        <v>3262</v>
      </c>
      <c r="FI713" s="3262" t="s">
        <v>3262</v>
      </c>
      <c r="FJ713" s="3262" t="s">
        <v>3262</v>
      </c>
      <c r="FK713" s="3262" t="s">
        <v>3262</v>
      </c>
      <c r="FL713" s="3262" t="s">
        <v>3262</v>
      </c>
      <c r="FM713" s="3262" t="s">
        <v>3262</v>
      </c>
      <c r="FN713" s="3262" t="s">
        <v>3262</v>
      </c>
      <c r="FO713" s="3262" t="s">
        <v>3262</v>
      </c>
      <c r="FP713" s="3262" t="s">
        <v>3262</v>
      </c>
      <c r="FQ713" s="3262" t="s">
        <v>3262</v>
      </c>
      <c r="FR713" s="3262" t="s">
        <v>3262</v>
      </c>
      <c r="FS713" s="3262" t="s">
        <v>3262</v>
      </c>
      <c r="FT713" s="3262" t="s">
        <v>3262</v>
      </c>
      <c r="FU713" s="3262" t="s">
        <v>3262</v>
      </c>
      <c r="FV713" s="3262" t="s">
        <v>3262</v>
      </c>
      <c r="FW713" s="3262" t="s">
        <v>3262</v>
      </c>
      <c r="FX713" s="3262" t="s">
        <v>3262</v>
      </c>
      <c r="FY713" s="3262" t="s">
        <v>3262</v>
      </c>
      <c r="FZ713" s="3262" t="s">
        <v>3262</v>
      </c>
      <c r="GA713" s="3262" t="s">
        <v>3262</v>
      </c>
      <c r="GB713" s="3262" t="s">
        <v>3262</v>
      </c>
      <c r="GC713" s="3262" t="s">
        <v>3262</v>
      </c>
      <c r="GD713" s="3262" t="s">
        <v>3262</v>
      </c>
      <c r="GE713" s="3262" t="s">
        <v>3262</v>
      </c>
      <c r="GF713" s="3262" t="s">
        <v>3262</v>
      </c>
      <c r="GG713" s="3262" t="s">
        <v>3262</v>
      </c>
      <c r="GH713" s="3262" t="s">
        <v>3262</v>
      </c>
      <c r="GI713" s="3262" t="s">
        <v>3262</v>
      </c>
      <c r="GJ713" s="3262" t="s">
        <v>3262</v>
      </c>
      <c r="GK713" s="3262" t="s">
        <v>3262</v>
      </c>
      <c r="GL713" s="3262" t="s">
        <v>3262</v>
      </c>
      <c r="GM713" s="3262" t="s">
        <v>3262</v>
      </c>
      <c r="GN713" s="3262" t="s">
        <v>3262</v>
      </c>
      <c r="GO713" s="3262" t="s">
        <v>3262</v>
      </c>
      <c r="GP713" s="3262" t="s">
        <v>3262</v>
      </c>
      <c r="GQ713" s="3262" t="s">
        <v>3262</v>
      </c>
      <c r="GR713" s="3262" t="s">
        <v>3262</v>
      </c>
      <c r="GS713" s="3262" t="s">
        <v>3262</v>
      </c>
      <c r="GT713" s="3262" t="s">
        <v>3262</v>
      </c>
      <c r="GU713" s="3262" t="s">
        <v>3262</v>
      </c>
      <c r="GV713" s="3262" t="s">
        <v>3262</v>
      </c>
      <c r="GW713" s="3262" t="s">
        <v>3262</v>
      </c>
      <c r="GX713" s="3262" t="s">
        <v>3262</v>
      </c>
      <c r="GY713" s="3262" t="s">
        <v>3262</v>
      </c>
      <c r="GZ713" s="3262" t="s">
        <v>3262</v>
      </c>
      <c r="HA713" s="3262" t="s">
        <v>3262</v>
      </c>
      <c r="HB713" s="3262" t="s">
        <v>3262</v>
      </c>
      <c r="HC713" s="3262" t="s">
        <v>3262</v>
      </c>
      <c r="HD713" s="3262" t="s">
        <v>3262</v>
      </c>
      <c r="HE713" s="3262" t="s">
        <v>3262</v>
      </c>
      <c r="HF713" s="3262" t="s">
        <v>3262</v>
      </c>
      <c r="HG713" s="3262" t="s">
        <v>3262</v>
      </c>
      <c r="HH713" s="3262" t="s">
        <v>3262</v>
      </c>
      <c r="HI713" s="3262" t="s">
        <v>3262</v>
      </c>
      <c r="HJ713" s="3262" t="s">
        <v>3262</v>
      </c>
      <c r="HK713" s="3262" t="s">
        <v>3262</v>
      </c>
      <c r="HL713" s="3262" t="s">
        <v>3262</v>
      </c>
      <c r="HM713" s="3262" t="s">
        <v>3262</v>
      </c>
      <c r="HN713" s="3262" t="s">
        <v>3262</v>
      </c>
      <c r="HO713" s="3262" t="s">
        <v>3262</v>
      </c>
      <c r="HP713" s="3262" t="s">
        <v>3262</v>
      </c>
      <c r="HQ713" s="3262" t="s">
        <v>3262</v>
      </c>
      <c r="HR713" s="3262" t="s">
        <v>3262</v>
      </c>
      <c r="HS713" s="3262" t="s">
        <v>3262</v>
      </c>
      <c r="HT713" s="3262" t="s">
        <v>3262</v>
      </c>
      <c r="HU713" s="3262" t="s">
        <v>3262</v>
      </c>
      <c r="HV713" s="3262" t="s">
        <v>3262</v>
      </c>
      <c r="HW713" s="3262" t="s">
        <v>3262</v>
      </c>
      <c r="HX713" s="3262" t="s">
        <v>3262</v>
      </c>
      <c r="HY713" s="3262" t="s">
        <v>3262</v>
      </c>
      <c r="HZ713" s="3262" t="s">
        <v>3262</v>
      </c>
      <c r="IA713" s="3262" t="s">
        <v>3262</v>
      </c>
      <c r="IB713" s="3262" t="s">
        <v>3262</v>
      </c>
      <c r="IC713" s="3262" t="s">
        <v>3262</v>
      </c>
      <c r="ID713" s="3262" t="s">
        <v>3262</v>
      </c>
    </row>
    <row r="714" spans="1:238" hidden="1">
      <c r="A714" s="3267" t="s">
        <v>7999</v>
      </c>
      <c r="B714" s="3267" t="s">
        <v>8000</v>
      </c>
      <c r="C714" s="3269" t="s">
        <v>8001</v>
      </c>
      <c r="D714" s="3269" t="s">
        <v>8002</v>
      </c>
      <c r="E714" s="3268" t="s">
        <v>2985</v>
      </c>
      <c r="F714" s="3268" t="s">
        <v>3864</v>
      </c>
      <c r="G714" s="3267"/>
      <c r="H714" s="3267" t="s">
        <v>6364</v>
      </c>
      <c r="I714" s="3268"/>
      <c r="J714" s="3267">
        <v>305</v>
      </c>
      <c r="K714" s="3267" t="s">
        <v>8003</v>
      </c>
      <c r="L714" s="3267">
        <v>78.98</v>
      </c>
      <c r="M714" s="3267">
        <v>3</v>
      </c>
      <c r="N714" s="3267" t="s">
        <v>3122</v>
      </c>
      <c r="O714" s="3267"/>
      <c r="P714" s="3267" t="s">
        <v>2963</v>
      </c>
      <c r="Q714" s="3271">
        <v>380000</v>
      </c>
      <c r="R714" s="3267">
        <v>4811</v>
      </c>
      <c r="S714" s="3272">
        <v>42.68</v>
      </c>
      <c r="T714" s="3273">
        <v>426800</v>
      </c>
      <c r="U714" s="3267">
        <v>5405</v>
      </c>
      <c r="V714" s="3289">
        <v>0.2</v>
      </c>
      <c r="W714" s="3272">
        <v>34.14</v>
      </c>
      <c r="X714" s="3275">
        <v>341400</v>
      </c>
      <c r="Y714" s="3276">
        <v>2006</v>
      </c>
      <c r="Z714" s="3276">
        <v>8</v>
      </c>
      <c r="AA714" s="3276">
        <v>31</v>
      </c>
      <c r="AB714" s="3267">
        <v>1280</v>
      </c>
      <c r="AC714" s="3267" t="s">
        <v>2980</v>
      </c>
      <c r="AD714" s="3366">
        <v>91302006080284</v>
      </c>
      <c r="AE714" s="3279" t="s">
        <v>2991</v>
      </c>
      <c r="AF714" s="3268"/>
      <c r="AG714" s="3279" t="s">
        <v>2967</v>
      </c>
      <c r="AH714" s="3267"/>
      <c r="AI714" s="3279" t="s">
        <v>2992</v>
      </c>
      <c r="AJ714" s="3284"/>
      <c r="AK714" s="3278" t="s">
        <v>4256</v>
      </c>
      <c r="AL714" s="3276">
        <v>54</v>
      </c>
      <c r="AM714" s="3276" t="s">
        <v>2968</v>
      </c>
      <c r="AN714" s="3279" t="s">
        <v>3099</v>
      </c>
      <c r="AO714" s="3267"/>
      <c r="AP714" s="3279" t="s">
        <v>2991</v>
      </c>
      <c r="AQ714" s="3267" t="s">
        <v>3228</v>
      </c>
      <c r="AR714" s="3267">
        <v>2006</v>
      </c>
      <c r="AS714" s="3267">
        <v>8</v>
      </c>
      <c r="AT714" s="3267">
        <v>31</v>
      </c>
      <c r="AU714" s="3276"/>
      <c r="AV714" s="3276"/>
      <c r="AW714" s="3276" t="s">
        <v>2997</v>
      </c>
      <c r="AX714" s="3276"/>
      <c r="AY714" s="3291"/>
      <c r="AZ714" s="3267" t="s">
        <v>8003</v>
      </c>
      <c r="BA714" s="3296"/>
      <c r="BB714" s="3297"/>
      <c r="BC714" s="3296"/>
      <c r="BD714" s="3298"/>
      <c r="BE714" s="3276"/>
      <c r="BF714" s="3281"/>
      <c r="BG714" s="3293">
        <v>38923</v>
      </c>
      <c r="BH714" s="3267"/>
      <c r="BI714" s="3314" t="s">
        <v>2991</v>
      </c>
      <c r="BJ714" s="3283">
        <v>38933</v>
      </c>
      <c r="BK714" s="3283"/>
      <c r="BL714" s="3267" t="s">
        <v>2998</v>
      </c>
      <c r="BM714" s="3276" t="s">
        <v>3128</v>
      </c>
      <c r="BN714" s="3276" t="s">
        <v>2999</v>
      </c>
      <c r="BO714" s="3276" t="s">
        <v>3146</v>
      </c>
      <c r="BP714" s="3276"/>
      <c r="BQ714" s="3276">
        <v>7148</v>
      </c>
      <c r="BR714" s="3276">
        <v>7268</v>
      </c>
      <c r="BS714" s="3285"/>
      <c r="BT714" s="3285"/>
      <c r="BU714" s="3285"/>
    </row>
    <row r="715" spans="1:238" hidden="1">
      <c r="A715" s="3267" t="s">
        <v>8004</v>
      </c>
      <c r="B715" s="3267" t="s">
        <v>8000</v>
      </c>
      <c r="C715" s="3269" t="s">
        <v>8001</v>
      </c>
      <c r="D715" s="3269" t="s">
        <v>8002</v>
      </c>
      <c r="E715" s="3268" t="s">
        <v>2985</v>
      </c>
      <c r="F715" s="3268" t="s">
        <v>3864</v>
      </c>
      <c r="G715" s="3267"/>
      <c r="H715" s="3267" t="s">
        <v>6364</v>
      </c>
      <c r="I715" s="3268"/>
      <c r="J715" s="3267">
        <v>305</v>
      </c>
      <c r="K715" s="3267" t="s">
        <v>8003</v>
      </c>
      <c r="L715" s="3267">
        <v>78.98</v>
      </c>
      <c r="M715" s="3267">
        <v>3</v>
      </c>
      <c r="N715" s="3267" t="s">
        <v>3122</v>
      </c>
      <c r="O715" s="3267"/>
      <c r="P715" s="3267" t="s">
        <v>2963</v>
      </c>
      <c r="Q715" s="3271">
        <v>380000</v>
      </c>
      <c r="R715" s="3267">
        <v>4811</v>
      </c>
      <c r="S715" s="3272">
        <v>42.68</v>
      </c>
      <c r="T715" s="3273">
        <v>426800</v>
      </c>
      <c r="U715" s="3267">
        <v>5405</v>
      </c>
      <c r="V715" s="3289">
        <v>0.2</v>
      </c>
      <c r="W715" s="3272">
        <v>34.14</v>
      </c>
      <c r="X715" s="3275">
        <v>341400</v>
      </c>
      <c r="Y715" s="3276">
        <v>2006</v>
      </c>
      <c r="Z715" s="3276">
        <v>9</v>
      </c>
      <c r="AA715" s="3276">
        <v>7</v>
      </c>
      <c r="AB715" s="3267">
        <v>1280</v>
      </c>
      <c r="AC715" s="3267" t="s">
        <v>2980</v>
      </c>
      <c r="AD715" s="3366">
        <v>91302006080284</v>
      </c>
      <c r="AE715" s="3279" t="s">
        <v>2991</v>
      </c>
      <c r="AF715" s="3268"/>
      <c r="AG715" s="3279" t="s">
        <v>2967</v>
      </c>
      <c r="AH715" s="3267"/>
      <c r="AI715" s="3279" t="s">
        <v>2992</v>
      </c>
      <c r="AJ715" s="3284"/>
      <c r="AK715" s="3278">
        <v>9</v>
      </c>
      <c r="AL715" s="3276">
        <v>54</v>
      </c>
      <c r="AM715" s="3276" t="s">
        <v>2968</v>
      </c>
      <c r="AN715" s="3279" t="s">
        <v>3140</v>
      </c>
      <c r="AO715" s="3267"/>
      <c r="AP715" s="3279" t="s">
        <v>2991</v>
      </c>
      <c r="AQ715" s="3267" t="s">
        <v>3228</v>
      </c>
      <c r="AR715" s="3267">
        <v>2006</v>
      </c>
      <c r="AS715" s="3267">
        <v>9</v>
      </c>
      <c r="AT715" s="3267">
        <v>7</v>
      </c>
      <c r="AU715" s="3276"/>
      <c r="AV715" s="3276"/>
      <c r="AW715" s="3276" t="s">
        <v>2997</v>
      </c>
      <c r="AX715" s="3276"/>
      <c r="AY715" s="3291"/>
      <c r="AZ715" s="3267" t="s">
        <v>8003</v>
      </c>
      <c r="BA715" s="3296"/>
      <c r="BB715" s="3297"/>
      <c r="BC715" s="3296"/>
      <c r="BD715" s="3298"/>
      <c r="BE715" s="3276"/>
      <c r="BF715" s="3281"/>
      <c r="BG715" s="3293">
        <v>38923</v>
      </c>
      <c r="BH715" s="3267"/>
      <c r="BI715" s="3314" t="s">
        <v>2991</v>
      </c>
      <c r="BJ715" s="3283">
        <v>38966</v>
      </c>
      <c r="BK715" s="3283"/>
      <c r="BL715" s="3267" t="s">
        <v>2998</v>
      </c>
      <c r="BM715" s="3276" t="s">
        <v>3128</v>
      </c>
      <c r="BN715" s="3276" t="s">
        <v>2999</v>
      </c>
      <c r="BO715" s="3276" t="s">
        <v>3146</v>
      </c>
      <c r="BP715" s="3276"/>
      <c r="BQ715" s="3276">
        <v>7148</v>
      </c>
      <c r="BR715" s="3276">
        <v>7268</v>
      </c>
      <c r="BS715" s="3285"/>
      <c r="BT715" s="3285"/>
      <c r="BU715" s="3285"/>
    </row>
    <row r="716" spans="1:238" hidden="1">
      <c r="A716" s="3267" t="s">
        <v>8005</v>
      </c>
      <c r="B716" s="3267" t="s">
        <v>8006</v>
      </c>
      <c r="C716" s="3269" t="s">
        <v>8007</v>
      </c>
      <c r="D716" s="3269">
        <v>13810349731</v>
      </c>
      <c r="E716" s="3268" t="s">
        <v>2985</v>
      </c>
      <c r="F716" s="3268" t="s">
        <v>5896</v>
      </c>
      <c r="G716" s="3267"/>
      <c r="H716" s="3267" t="s">
        <v>3124</v>
      </c>
      <c r="I716" s="3268"/>
      <c r="J716" s="3267" t="s">
        <v>3226</v>
      </c>
      <c r="K716" s="3267" t="s">
        <v>8008</v>
      </c>
      <c r="L716" s="3267">
        <v>77.89</v>
      </c>
      <c r="M716" s="3267">
        <v>14</v>
      </c>
      <c r="N716" s="3267" t="s">
        <v>3125</v>
      </c>
      <c r="O716" s="3267"/>
      <c r="P716" s="3267" t="s">
        <v>2963</v>
      </c>
      <c r="Q716" s="3271">
        <v>720000</v>
      </c>
      <c r="R716" s="3288">
        <v>9244</v>
      </c>
      <c r="S716" s="3272">
        <v>55.2</v>
      </c>
      <c r="T716" s="3273">
        <v>552000</v>
      </c>
      <c r="U716" s="3267">
        <v>7087</v>
      </c>
      <c r="V716" s="3289">
        <v>0.2</v>
      </c>
      <c r="W716" s="3272">
        <v>44.16</v>
      </c>
      <c r="X716" s="3273">
        <v>441600</v>
      </c>
      <c r="Y716" s="3267">
        <v>2006</v>
      </c>
      <c r="Z716" s="3276">
        <v>8</v>
      </c>
      <c r="AA716" s="3276">
        <v>11</v>
      </c>
      <c r="AB716" s="3267">
        <v>1500</v>
      </c>
      <c r="AC716" s="3267" t="s">
        <v>2980</v>
      </c>
      <c r="AD716" s="3280" t="s">
        <v>8009</v>
      </c>
      <c r="AE716" s="3279" t="s">
        <v>3344</v>
      </c>
      <c r="AF716" s="3268" t="s">
        <v>2966</v>
      </c>
      <c r="AG716" s="3279" t="s">
        <v>2967</v>
      </c>
      <c r="AH716" s="3267"/>
      <c r="AI716" s="3279" t="s">
        <v>2992</v>
      </c>
      <c r="AJ716" s="3284"/>
      <c r="AK716" s="3278">
        <v>8</v>
      </c>
      <c r="AL716" s="3276">
        <v>52</v>
      </c>
      <c r="AM716" s="3267"/>
      <c r="AN716" s="3279" t="s">
        <v>3140</v>
      </c>
      <c r="AO716" s="3267"/>
      <c r="AP716" s="3279" t="s">
        <v>3305</v>
      </c>
      <c r="AQ716" s="3267" t="s">
        <v>3228</v>
      </c>
      <c r="AR716" s="3276"/>
      <c r="AS716" s="3276"/>
      <c r="AT716" s="3276"/>
      <c r="AU716" s="3276"/>
      <c r="AV716" s="3276"/>
      <c r="AW716" s="3276" t="s">
        <v>3119</v>
      </c>
      <c r="AX716" s="3276"/>
      <c r="AY716" s="3291"/>
      <c r="AZ716" s="3267" t="s">
        <v>8008</v>
      </c>
      <c r="BA716" s="3296"/>
      <c r="BB716" s="3297"/>
      <c r="BC716" s="3296"/>
      <c r="BD716" s="3298"/>
      <c r="BE716" s="3276">
        <v>13801285644</v>
      </c>
      <c r="BF716" s="3281"/>
      <c r="BG716" s="3293">
        <v>38931</v>
      </c>
      <c r="BH716" s="3267" t="s">
        <v>2998</v>
      </c>
      <c r="BI716" s="3314" t="s">
        <v>3305</v>
      </c>
      <c r="BJ716" s="3283">
        <v>38933</v>
      </c>
      <c r="BK716" s="3283"/>
      <c r="BL716" s="3267" t="s">
        <v>3249</v>
      </c>
      <c r="BM716" s="3276" t="s">
        <v>2879</v>
      </c>
      <c r="BN716" s="3276" t="s">
        <v>2999</v>
      </c>
      <c r="BO716" s="3276" t="s">
        <v>3000</v>
      </c>
      <c r="BP716" s="3276"/>
      <c r="BQ716" s="3276" t="e">
        <v>#DIV/0!</v>
      </c>
      <c r="BR716" s="3276" t="e">
        <v>#DIV/0!</v>
      </c>
      <c r="BS716" s="3285"/>
      <c r="BT716" s="3285"/>
      <c r="BU716" s="3285"/>
    </row>
    <row r="717" spans="1:238" hidden="1">
      <c r="A717" s="3267" t="s">
        <v>8010</v>
      </c>
      <c r="B717" s="3267" t="s">
        <v>8011</v>
      </c>
      <c r="C717" s="3269" t="s">
        <v>8012</v>
      </c>
      <c r="D717" s="3269" t="s">
        <v>8013</v>
      </c>
      <c r="E717" s="3267" t="s">
        <v>2985</v>
      </c>
      <c r="F717" s="3267" t="s">
        <v>6509</v>
      </c>
      <c r="G717" s="3267"/>
      <c r="H717" s="3267" t="s">
        <v>3964</v>
      </c>
      <c r="I717" s="3267"/>
      <c r="J717" s="3269" t="s">
        <v>5968</v>
      </c>
      <c r="K717" s="3267" t="s">
        <v>8014</v>
      </c>
      <c r="L717" s="3267">
        <v>89.14</v>
      </c>
      <c r="M717" s="3267">
        <v>9</v>
      </c>
      <c r="N717" s="3267" t="s">
        <v>3122</v>
      </c>
      <c r="O717" s="3267"/>
      <c r="P717" s="3267" t="s">
        <v>2963</v>
      </c>
      <c r="Q717" s="3271">
        <v>685000</v>
      </c>
      <c r="R717" s="3267">
        <v>7685</v>
      </c>
      <c r="S717" s="3272">
        <v>61.68</v>
      </c>
      <c r="T717" s="3273">
        <v>616800</v>
      </c>
      <c r="U717" s="3267">
        <v>6920</v>
      </c>
      <c r="V717" s="3289">
        <v>0.2</v>
      </c>
      <c r="W717" s="3272">
        <v>49.34</v>
      </c>
      <c r="X717" s="3275">
        <v>493400</v>
      </c>
      <c r="Y717" s="3276">
        <v>2006</v>
      </c>
      <c r="Z717" s="3276">
        <v>9</v>
      </c>
      <c r="AA717" s="3276">
        <v>4</v>
      </c>
      <c r="AB717" s="3267">
        <v>1500</v>
      </c>
      <c r="AC717" s="3267" t="s">
        <v>2980</v>
      </c>
      <c r="AD717" s="3269" t="s">
        <v>8015</v>
      </c>
      <c r="AE717" s="3267" t="s">
        <v>3069</v>
      </c>
      <c r="AF717" s="3267" t="s">
        <v>2966</v>
      </c>
      <c r="AG717" s="3267" t="s">
        <v>2967</v>
      </c>
      <c r="AH717" s="3267"/>
      <c r="AI717" s="3267" t="s">
        <v>2992</v>
      </c>
      <c r="AJ717" s="3284"/>
      <c r="AK717" s="3278" t="s">
        <v>3154</v>
      </c>
      <c r="AL717" s="3267" t="s">
        <v>5508</v>
      </c>
      <c r="AM717" s="3267" t="s">
        <v>8016</v>
      </c>
      <c r="AN717" s="3279" t="s">
        <v>3140</v>
      </c>
      <c r="AO717" s="3276"/>
      <c r="AP717" s="3267" t="s">
        <v>3069</v>
      </c>
      <c r="AQ717" s="3267" t="s">
        <v>3228</v>
      </c>
      <c r="AR717" s="3276">
        <v>2006</v>
      </c>
      <c r="AS717" s="3276">
        <v>9</v>
      </c>
      <c r="AT717" s="3276">
        <v>4</v>
      </c>
      <c r="AU717" s="3276"/>
      <c r="AV717" s="3276"/>
      <c r="AW717" s="3276" t="s">
        <v>2997</v>
      </c>
      <c r="AX717" s="3276"/>
      <c r="AY717" s="3291"/>
      <c r="AZ717" s="3276" t="s">
        <v>8014</v>
      </c>
      <c r="BA717" s="3276"/>
      <c r="BB717" s="3291"/>
      <c r="BC717" s="3276"/>
      <c r="BD717" s="3292"/>
      <c r="BE717" s="3276"/>
      <c r="BF717" s="3281"/>
      <c r="BG717" s="3299">
        <v>38929</v>
      </c>
      <c r="BH717" s="3276"/>
      <c r="BI717" s="3267" t="s">
        <v>3069</v>
      </c>
      <c r="BJ717" s="3299">
        <v>38937</v>
      </c>
      <c r="BK717" s="3283"/>
      <c r="BL717" s="3276" t="s">
        <v>2998</v>
      </c>
      <c r="BM717" s="3276" t="s">
        <v>2879</v>
      </c>
      <c r="BN717" s="3276" t="s">
        <v>2999</v>
      </c>
      <c r="BO717" s="3276" t="s">
        <v>3146</v>
      </c>
      <c r="BP717" s="3276"/>
      <c r="BQ717" s="3276"/>
      <c r="BR717" s="3276"/>
      <c r="BS717" s="3285"/>
      <c r="BT717" s="3285"/>
      <c r="BU717" s="3285"/>
    </row>
    <row r="718" spans="1:238" hidden="1">
      <c r="A718" s="3267" t="s">
        <v>8017</v>
      </c>
      <c r="B718" s="3267" t="s">
        <v>8018</v>
      </c>
      <c r="C718" s="3269" t="s">
        <v>8019</v>
      </c>
      <c r="D718" s="3269" t="s">
        <v>8020</v>
      </c>
      <c r="E718" s="3268" t="s">
        <v>2985</v>
      </c>
      <c r="F718" s="3268" t="s">
        <v>8021</v>
      </c>
      <c r="G718" s="3267"/>
      <c r="H718" s="3267" t="s">
        <v>8022</v>
      </c>
      <c r="I718" s="3268" t="s">
        <v>8023</v>
      </c>
      <c r="J718" s="3267" t="s">
        <v>8024</v>
      </c>
      <c r="K718" s="3267" t="s">
        <v>8018</v>
      </c>
      <c r="L718" s="3267">
        <v>66.849999999999994</v>
      </c>
      <c r="M718" s="3267" t="s">
        <v>3266</v>
      </c>
      <c r="N718" s="3267" t="s">
        <v>3125</v>
      </c>
      <c r="O718" s="3267"/>
      <c r="P718" s="3267" t="s">
        <v>2963</v>
      </c>
      <c r="Q718" s="3271">
        <v>401100</v>
      </c>
      <c r="R718" s="3267">
        <v>6000</v>
      </c>
      <c r="S718" s="3272">
        <v>45.66</v>
      </c>
      <c r="T718" s="3273">
        <v>456600</v>
      </c>
      <c r="U718" s="3267">
        <v>6831</v>
      </c>
      <c r="V718" s="3289">
        <v>0.2</v>
      </c>
      <c r="W718" s="3272">
        <v>36.520000000000003</v>
      </c>
      <c r="X718" s="3275">
        <v>365200</v>
      </c>
      <c r="Y718" s="3276">
        <v>2006</v>
      </c>
      <c r="Z718" s="3276">
        <v>9</v>
      </c>
      <c r="AA718" s="3276">
        <v>1</v>
      </c>
      <c r="AB718" s="3267">
        <v>1365</v>
      </c>
      <c r="AC718" s="3267" t="s">
        <v>2980</v>
      </c>
      <c r="AD718" s="3280" t="s">
        <v>8025</v>
      </c>
      <c r="AE718" s="3279" t="s">
        <v>3295</v>
      </c>
      <c r="AF718" s="3268" t="s">
        <v>2966</v>
      </c>
      <c r="AG718" s="3279" t="s">
        <v>2967</v>
      </c>
      <c r="AH718" s="3267"/>
      <c r="AI718" s="3279" t="s">
        <v>2992</v>
      </c>
      <c r="AJ718" s="3284"/>
      <c r="AK718" s="3278">
        <v>9</v>
      </c>
      <c r="AL718" s="3276">
        <v>40</v>
      </c>
      <c r="AM718" s="3267" t="s">
        <v>8026</v>
      </c>
      <c r="AN718" s="3279" t="s">
        <v>3131</v>
      </c>
      <c r="AO718" s="3267"/>
      <c r="AP718" s="3279" t="s">
        <v>3305</v>
      </c>
      <c r="AQ718" s="3267" t="s">
        <v>3228</v>
      </c>
      <c r="AR718" s="3276"/>
      <c r="AS718" s="3276"/>
      <c r="AT718" s="3276"/>
      <c r="AU718" s="3276"/>
      <c r="AV718" s="3276"/>
      <c r="AW718" s="3276" t="s">
        <v>3112</v>
      </c>
      <c r="AX718" s="3276"/>
      <c r="AY718" s="3291"/>
      <c r="AZ718" s="3267" t="s">
        <v>8027</v>
      </c>
      <c r="BA718" s="3296"/>
      <c r="BB718" s="3297"/>
      <c r="BC718" s="3296"/>
      <c r="BD718" s="3298"/>
      <c r="BE718" s="3276"/>
      <c r="BF718" s="3281"/>
      <c r="BG718" s="3293">
        <v>38918</v>
      </c>
      <c r="BH718" s="3267" t="s">
        <v>2998</v>
      </c>
      <c r="BI718" s="3314" t="s">
        <v>3305</v>
      </c>
      <c r="BJ718" s="3283">
        <v>38937</v>
      </c>
      <c r="BK718" s="3283"/>
      <c r="BL718" s="3267" t="s">
        <v>3249</v>
      </c>
      <c r="BM718" s="3276" t="s">
        <v>5388</v>
      </c>
      <c r="BN718" s="3276" t="s">
        <v>3111</v>
      </c>
      <c r="BO718" s="3276" t="s">
        <v>3000</v>
      </c>
      <c r="BP718" s="3276"/>
      <c r="BQ718" s="3276" t="e">
        <v>#DIV/0!</v>
      </c>
      <c r="BR718" s="3276" t="e">
        <v>#DIV/0!</v>
      </c>
      <c r="BS718" s="3285"/>
      <c r="BT718" s="3285"/>
      <c r="BU718" s="3285"/>
    </row>
    <row r="719" spans="1:238" hidden="1">
      <c r="A719" s="3267" t="s">
        <v>8028</v>
      </c>
      <c r="B719" s="3268" t="s">
        <v>8029</v>
      </c>
      <c r="C719" s="3269" t="s">
        <v>8030</v>
      </c>
      <c r="D719" s="3268">
        <v>13141402560</v>
      </c>
      <c r="E719" s="3268" t="s">
        <v>2985</v>
      </c>
      <c r="F719" s="3268" t="s">
        <v>4412</v>
      </c>
      <c r="G719" s="3268"/>
      <c r="H719" s="3268" t="s">
        <v>6596</v>
      </c>
      <c r="I719" s="3268"/>
      <c r="J719" s="3268" t="s">
        <v>8031</v>
      </c>
      <c r="K719" s="3267" t="s">
        <v>8029</v>
      </c>
      <c r="L719" s="3270">
        <v>67.41</v>
      </c>
      <c r="M719" s="3270">
        <v>13</v>
      </c>
      <c r="N719" s="3267" t="s">
        <v>3122</v>
      </c>
      <c r="O719" s="3270"/>
      <c r="P719" s="3268" t="s">
        <v>2963</v>
      </c>
      <c r="Q719" s="3271">
        <v>500000</v>
      </c>
      <c r="R719" s="3267">
        <v>7417</v>
      </c>
      <c r="S719" s="3272">
        <v>43.31</v>
      </c>
      <c r="T719" s="3273">
        <v>433100</v>
      </c>
      <c r="U719" s="3267">
        <v>6425</v>
      </c>
      <c r="V719" s="3274">
        <v>0.2</v>
      </c>
      <c r="W719" s="3272">
        <v>34.64</v>
      </c>
      <c r="X719" s="3275">
        <v>346400</v>
      </c>
      <c r="Y719" s="3267">
        <v>2006</v>
      </c>
      <c r="Z719" s="3267">
        <v>8</v>
      </c>
      <c r="AA719" s="3267">
        <v>23</v>
      </c>
      <c r="AB719" s="3267">
        <v>1295</v>
      </c>
      <c r="AC719" s="3267" t="s">
        <v>2980</v>
      </c>
      <c r="AD719" s="3373">
        <v>91302006080485</v>
      </c>
      <c r="AE719" s="3268" t="s">
        <v>3304</v>
      </c>
      <c r="AF719" s="3268" t="s">
        <v>2966</v>
      </c>
      <c r="AG719" s="3268" t="s">
        <v>2967</v>
      </c>
      <c r="AH719" s="3268"/>
      <c r="AI719" s="3267" t="s">
        <v>2992</v>
      </c>
      <c r="AJ719" s="3290"/>
      <c r="AK719" s="3278">
        <v>8</v>
      </c>
      <c r="AL719" s="3276">
        <v>54</v>
      </c>
      <c r="AM719" s="3276"/>
      <c r="AN719" s="3267" t="s">
        <v>2994</v>
      </c>
      <c r="AO719" s="3267"/>
      <c r="AP719" s="3267" t="s">
        <v>4532</v>
      </c>
      <c r="AQ719" s="3267" t="s">
        <v>3228</v>
      </c>
      <c r="AR719" s="3276">
        <v>2006</v>
      </c>
      <c r="AS719" s="3276">
        <v>8</v>
      </c>
      <c r="AT719" s="3267">
        <v>23</v>
      </c>
      <c r="AU719" s="3267"/>
      <c r="AV719" s="3267"/>
      <c r="AW719" s="3267" t="s">
        <v>2997</v>
      </c>
      <c r="AX719" s="3267"/>
      <c r="AY719" s="3269"/>
      <c r="AZ719" s="3268" t="s">
        <v>8032</v>
      </c>
      <c r="BA719" s="3268"/>
      <c r="BB719" s="3280"/>
      <c r="BC719" s="3268"/>
      <c r="BD719" s="3268"/>
      <c r="BE719" s="3268">
        <v>89870325</v>
      </c>
      <c r="BF719" s="3281"/>
      <c r="BG719" s="3290">
        <v>38930</v>
      </c>
      <c r="BH719" s="3267"/>
      <c r="BI719" s="3314" t="s">
        <v>4532</v>
      </c>
      <c r="BJ719" s="3299">
        <v>38937</v>
      </c>
      <c r="BK719" s="3284"/>
      <c r="BL719" s="3267" t="s">
        <v>2998</v>
      </c>
      <c r="BM719" s="3267" t="s">
        <v>2879</v>
      </c>
      <c r="BN719" s="3267" t="s">
        <v>2999</v>
      </c>
      <c r="BO719" s="3267" t="s">
        <v>3146</v>
      </c>
      <c r="BP719" s="3276"/>
      <c r="BQ719" s="3276" t="e">
        <v>#DIV/0!</v>
      </c>
      <c r="BR719" s="3276" t="e">
        <v>#DIV/0!</v>
      </c>
      <c r="BS719" s="3285"/>
      <c r="BT719" s="3285"/>
      <c r="BU719" s="3285"/>
    </row>
    <row r="720" spans="1:238" hidden="1">
      <c r="A720" s="3268" t="s">
        <v>8033</v>
      </c>
      <c r="B720" s="3268" t="s">
        <v>8034</v>
      </c>
      <c r="C720" s="3269" t="s">
        <v>8035</v>
      </c>
      <c r="D720" s="3268">
        <v>13910210262</v>
      </c>
      <c r="E720" s="3268" t="s">
        <v>2985</v>
      </c>
      <c r="F720" s="3267" t="s">
        <v>4501</v>
      </c>
      <c r="G720" s="3267"/>
      <c r="H720" s="3270" t="s">
        <v>3150</v>
      </c>
      <c r="I720" s="3268" t="s">
        <v>3318</v>
      </c>
      <c r="J720" s="3270" t="s">
        <v>8036</v>
      </c>
      <c r="K720" s="3267" t="s">
        <v>8037</v>
      </c>
      <c r="L720" s="3267">
        <v>64.209999999999994</v>
      </c>
      <c r="M720" s="3270">
        <v>12</v>
      </c>
      <c r="N720" s="3267" t="s">
        <v>3122</v>
      </c>
      <c r="O720" s="3267"/>
      <c r="P720" s="3267" t="s">
        <v>2963</v>
      </c>
      <c r="Q720" s="3271">
        <v>540000</v>
      </c>
      <c r="R720" s="3267">
        <v>8410</v>
      </c>
      <c r="S720" s="3272">
        <v>45.18</v>
      </c>
      <c r="T720" s="3273">
        <v>451800</v>
      </c>
      <c r="U720" s="3267">
        <v>7037</v>
      </c>
      <c r="V720" s="3289">
        <v>0.2</v>
      </c>
      <c r="W720" s="3272">
        <v>36.14</v>
      </c>
      <c r="X720" s="3275">
        <v>361400</v>
      </c>
      <c r="Y720" s="3276">
        <v>2006</v>
      </c>
      <c r="Z720" s="3276">
        <v>8</v>
      </c>
      <c r="AA720" s="3267">
        <v>21</v>
      </c>
      <c r="AB720" s="3267">
        <v>1355</v>
      </c>
      <c r="AC720" s="3267" t="s">
        <v>2980</v>
      </c>
      <c r="AD720" s="3269" t="s">
        <v>8038</v>
      </c>
      <c r="AE720" s="3268" t="s">
        <v>3238</v>
      </c>
      <c r="AF720" s="3268" t="s">
        <v>2966</v>
      </c>
      <c r="AG720" s="3279" t="s">
        <v>2967</v>
      </c>
      <c r="AH720" s="3267" t="s">
        <v>2968</v>
      </c>
      <c r="AI720" s="3268" t="s">
        <v>2992</v>
      </c>
      <c r="AJ720" s="3284"/>
      <c r="AK720" s="3278">
        <v>8</v>
      </c>
      <c r="AL720" s="3276">
        <v>41</v>
      </c>
      <c r="AM720" s="3279" t="s">
        <v>8039</v>
      </c>
      <c r="AN720" s="3279" t="s">
        <v>2994</v>
      </c>
      <c r="AO720" s="3268"/>
      <c r="AP720" s="3276" t="s">
        <v>3238</v>
      </c>
      <c r="AQ720" s="3267" t="s">
        <v>3228</v>
      </c>
      <c r="AR720" s="3267"/>
      <c r="AS720" s="3267"/>
      <c r="AT720" s="3267"/>
      <c r="AU720" s="3267"/>
      <c r="AV720" s="3267" t="s">
        <v>2968</v>
      </c>
      <c r="AW720" s="3267" t="s">
        <v>3171</v>
      </c>
      <c r="AX720" s="3267"/>
      <c r="AY720" s="3269"/>
      <c r="AZ720" s="3267" t="s">
        <v>8037</v>
      </c>
      <c r="BA720" s="3267"/>
      <c r="BB720" s="3269"/>
      <c r="BC720" s="3267"/>
      <c r="BD720" s="3267"/>
      <c r="BE720" s="3276">
        <v>13321150166</v>
      </c>
      <c r="BF720" s="3305"/>
      <c r="BG720" s="3284">
        <v>38937</v>
      </c>
      <c r="BH720" s="3356"/>
      <c r="BI720" s="3268" t="s">
        <v>3238</v>
      </c>
      <c r="BJ720" s="3283">
        <v>38939</v>
      </c>
      <c r="BK720" s="3303"/>
      <c r="BL720" s="3267" t="s">
        <v>2998</v>
      </c>
      <c r="BM720" s="3276" t="s">
        <v>3345</v>
      </c>
      <c r="BN720" s="3276" t="s">
        <v>2999</v>
      </c>
      <c r="BO720" s="3276" t="s">
        <v>3446</v>
      </c>
      <c r="BP720" s="3276"/>
      <c r="BQ720" s="3276" t="e">
        <v>#DIV/0!</v>
      </c>
      <c r="BR720" s="3276" t="e">
        <v>#DIV/0!</v>
      </c>
      <c r="BS720" s="3285"/>
      <c r="BT720" s="3285"/>
      <c r="BU720" s="3285"/>
    </row>
    <row r="721" spans="1:249" hidden="1">
      <c r="A721" s="3267" t="s">
        <v>8040</v>
      </c>
      <c r="B721" s="3267" t="s">
        <v>8041</v>
      </c>
      <c r="C721" s="3269" t="s">
        <v>8042</v>
      </c>
      <c r="D721" s="3269" t="s">
        <v>8043</v>
      </c>
      <c r="E721" s="3268" t="s">
        <v>2985</v>
      </c>
      <c r="F721" s="3268" t="s">
        <v>6925</v>
      </c>
      <c r="G721" s="3267"/>
      <c r="H721" s="3267" t="s">
        <v>4855</v>
      </c>
      <c r="I721" s="3268"/>
      <c r="J721" s="3267" t="s">
        <v>6336</v>
      </c>
      <c r="K721" s="3267" t="s">
        <v>8041</v>
      </c>
      <c r="L721" s="3267">
        <v>105.57</v>
      </c>
      <c r="M721" s="3267" t="s">
        <v>4029</v>
      </c>
      <c r="N721" s="3267" t="s">
        <v>3122</v>
      </c>
      <c r="O721" s="3267">
        <v>88.9</v>
      </c>
      <c r="P721" s="3267" t="s">
        <v>2963</v>
      </c>
      <c r="Q721" s="3271">
        <v>496179</v>
      </c>
      <c r="R721" s="3288">
        <v>4700</v>
      </c>
      <c r="S721" s="3272">
        <v>61.23</v>
      </c>
      <c r="T721" s="3273">
        <v>612300</v>
      </c>
      <c r="U721" s="3267">
        <v>5800</v>
      </c>
      <c r="V721" s="3289">
        <v>0.3</v>
      </c>
      <c r="W721" s="3272">
        <v>42.86</v>
      </c>
      <c r="X721" s="3273">
        <v>428600</v>
      </c>
      <c r="Y721" s="3267">
        <v>2006</v>
      </c>
      <c r="Z721" s="3276">
        <v>8</v>
      </c>
      <c r="AA721" s="3276">
        <v>29</v>
      </c>
      <c r="AB721" s="3267">
        <v>1500</v>
      </c>
      <c r="AC721" s="3267" t="s">
        <v>2980</v>
      </c>
      <c r="AD721" s="3269" t="s">
        <v>8044</v>
      </c>
      <c r="AE721" s="3279" t="s">
        <v>3245</v>
      </c>
      <c r="AF721" s="3268" t="s">
        <v>2966</v>
      </c>
      <c r="AG721" s="3279" t="s">
        <v>2967</v>
      </c>
      <c r="AH721" s="3267"/>
      <c r="AI721" s="3279" t="s">
        <v>2992</v>
      </c>
      <c r="AJ721" s="3284"/>
      <c r="AK721" s="3278">
        <v>8</v>
      </c>
      <c r="AL721" s="3276">
        <v>56</v>
      </c>
      <c r="AM721" s="3267" t="s">
        <v>8045</v>
      </c>
      <c r="AN721" s="3279" t="s">
        <v>3099</v>
      </c>
      <c r="AO721" s="3267"/>
      <c r="AP721" s="3279" t="s">
        <v>3305</v>
      </c>
      <c r="AQ721" s="3267" t="s">
        <v>3228</v>
      </c>
      <c r="AR721" s="3276"/>
      <c r="AS721" s="3276"/>
      <c r="AT721" s="3276"/>
      <c r="AU721" s="3276"/>
      <c r="AV721" s="3276"/>
      <c r="AW721" s="3276" t="s">
        <v>3112</v>
      </c>
      <c r="AX721" s="3276"/>
      <c r="AY721" s="3291"/>
      <c r="AZ721" s="3267" t="s">
        <v>8046</v>
      </c>
      <c r="BA721" s="3296"/>
      <c r="BB721" s="3297"/>
      <c r="BC721" s="3296"/>
      <c r="BD721" s="3298"/>
      <c r="BE721" s="3276">
        <v>13601398463</v>
      </c>
      <c r="BF721" s="3281"/>
      <c r="BG721" s="3293">
        <v>38924</v>
      </c>
      <c r="BH721" s="3267" t="s">
        <v>2998</v>
      </c>
      <c r="BI721" s="3314" t="s">
        <v>3305</v>
      </c>
      <c r="BJ721" s="3283">
        <v>38940</v>
      </c>
      <c r="BK721" s="3283"/>
      <c r="BL721" s="3267" t="s">
        <v>3249</v>
      </c>
      <c r="BM721" s="3276" t="s">
        <v>2879</v>
      </c>
      <c r="BN721" s="3276" t="s">
        <v>2999</v>
      </c>
      <c r="BO721" s="3276" t="s">
        <v>3000</v>
      </c>
      <c r="BP721" s="3276"/>
      <c r="BQ721" s="3276">
        <v>6888</v>
      </c>
      <c r="BR721" s="3276">
        <v>5581</v>
      </c>
      <c r="BS721" s="3285"/>
      <c r="BT721" s="3285"/>
      <c r="BU721" s="3285"/>
    </row>
    <row r="722" spans="1:249" hidden="1">
      <c r="A722" s="3268" t="s">
        <v>8047</v>
      </c>
      <c r="B722" s="3267" t="s">
        <v>8048</v>
      </c>
      <c r="C722" s="3269" t="s">
        <v>8049</v>
      </c>
      <c r="D722" s="3268">
        <v>13681367892</v>
      </c>
      <c r="E722" s="3267" t="s">
        <v>2985</v>
      </c>
      <c r="F722" s="3267" t="s">
        <v>8050</v>
      </c>
      <c r="G722" s="3267"/>
      <c r="H722" s="3270" t="s">
        <v>3402</v>
      </c>
      <c r="I722" s="3268" t="s">
        <v>3458</v>
      </c>
      <c r="J722" s="3270" t="s">
        <v>3713</v>
      </c>
      <c r="K722" s="3268" t="s">
        <v>8051</v>
      </c>
      <c r="L722" s="3286">
        <v>76.66</v>
      </c>
      <c r="M722" s="3270">
        <v>2</v>
      </c>
      <c r="N722" s="3268" t="s">
        <v>3125</v>
      </c>
      <c r="O722" s="3267"/>
      <c r="P722" s="3267" t="s">
        <v>2963</v>
      </c>
      <c r="Q722" s="3287">
        <v>650000</v>
      </c>
      <c r="R722" s="3288">
        <v>8479</v>
      </c>
      <c r="S722" s="3272">
        <v>56.42</v>
      </c>
      <c r="T722" s="3273">
        <v>564200</v>
      </c>
      <c r="U722" s="3267">
        <v>7361</v>
      </c>
      <c r="V722" s="3289">
        <v>0.2</v>
      </c>
      <c r="W722" s="3272">
        <v>45.13</v>
      </c>
      <c r="X722" s="3273">
        <v>451300</v>
      </c>
      <c r="Y722" s="3267">
        <v>2006</v>
      </c>
      <c r="Z722" s="3267">
        <v>8</v>
      </c>
      <c r="AA722" s="3276">
        <v>17</v>
      </c>
      <c r="AB722" s="3267">
        <v>1500</v>
      </c>
      <c r="AC722" s="3267" t="s">
        <v>2980</v>
      </c>
      <c r="AD722" s="3269" t="s">
        <v>8052</v>
      </c>
      <c r="AE722" s="3268" t="s">
        <v>3238</v>
      </c>
      <c r="AF722" s="3267" t="s">
        <v>2966</v>
      </c>
      <c r="AG722" s="3267" t="s">
        <v>2967</v>
      </c>
      <c r="AH722" s="3268"/>
      <c r="AI722" s="3279" t="s">
        <v>2992</v>
      </c>
      <c r="AJ722" s="3270"/>
      <c r="AK722" s="3278">
        <v>8</v>
      </c>
      <c r="AL722" s="3267">
        <v>30</v>
      </c>
      <c r="AM722" s="3267" t="s">
        <v>8053</v>
      </c>
      <c r="AN722" s="3279" t="s">
        <v>3114</v>
      </c>
      <c r="AO722" s="3268"/>
      <c r="AP722" s="3276" t="s">
        <v>3238</v>
      </c>
      <c r="AQ722" s="3267" t="s">
        <v>3228</v>
      </c>
      <c r="AR722" s="3267"/>
      <c r="AS722" s="3267"/>
      <c r="AT722" s="3267"/>
      <c r="AU722" s="3267"/>
      <c r="AV722" s="3267"/>
      <c r="AW722" s="3267" t="s">
        <v>3171</v>
      </c>
      <c r="AX722" s="3267"/>
      <c r="AY722" s="3279"/>
      <c r="AZ722" s="3267" t="s">
        <v>8051</v>
      </c>
      <c r="BA722" s="3267"/>
      <c r="BB722" s="3267"/>
      <c r="BC722" s="3267"/>
      <c r="BD722" s="3267"/>
      <c r="BE722" s="3267">
        <v>13501303465</v>
      </c>
      <c r="BF722" s="3267"/>
      <c r="BG722" s="3290">
        <v>38926</v>
      </c>
      <c r="BH722" s="3276"/>
      <c r="BI722" s="3267" t="s">
        <v>3238</v>
      </c>
      <c r="BJ722" s="3299">
        <v>38940</v>
      </c>
      <c r="BK722" s="3284"/>
      <c r="BL722" s="3267" t="s">
        <v>2998</v>
      </c>
      <c r="BM722" s="3276" t="s">
        <v>3345</v>
      </c>
      <c r="BN722" s="3276" t="s">
        <v>2999</v>
      </c>
      <c r="BO722" s="3276" t="s">
        <v>3446</v>
      </c>
      <c r="BP722" s="3267"/>
      <c r="BQ722" s="3276" t="e">
        <v>#DIV/0!</v>
      </c>
      <c r="BR722" s="3276" t="e">
        <v>#DIV/0!</v>
      </c>
      <c r="BS722" s="3285"/>
      <c r="BT722" s="3285"/>
      <c r="BU722" s="3285"/>
    </row>
    <row r="723" spans="1:249" hidden="1">
      <c r="A723" s="3267" t="s">
        <v>8054</v>
      </c>
      <c r="B723" s="3267" t="s">
        <v>8055</v>
      </c>
      <c r="C723" s="3269" t="s">
        <v>8056</v>
      </c>
      <c r="D723" s="3269" t="s">
        <v>8057</v>
      </c>
      <c r="E723" s="3267" t="s">
        <v>2985</v>
      </c>
      <c r="F723" s="3244" t="s">
        <v>8058</v>
      </c>
      <c r="G723" s="3267"/>
      <c r="H723" s="3267" t="s">
        <v>3668</v>
      </c>
      <c r="I723" s="3267" t="s">
        <v>3586</v>
      </c>
      <c r="J723" s="3269" t="s">
        <v>3126</v>
      </c>
      <c r="K723" s="3267" t="s">
        <v>8059</v>
      </c>
      <c r="L723" s="3267">
        <v>90.24</v>
      </c>
      <c r="M723" s="3267">
        <v>6</v>
      </c>
      <c r="N723" s="3267" t="s">
        <v>3122</v>
      </c>
      <c r="O723" s="3267">
        <v>79.73</v>
      </c>
      <c r="P723" s="3267" t="s">
        <v>2963</v>
      </c>
      <c r="Q723" s="3271">
        <v>450000</v>
      </c>
      <c r="R723" s="3267">
        <v>4987</v>
      </c>
      <c r="S723" s="3272">
        <v>29.86</v>
      </c>
      <c r="T723" s="3273">
        <v>298600</v>
      </c>
      <c r="U723" s="3267">
        <v>3310</v>
      </c>
      <c r="V723" s="3289">
        <v>0.3</v>
      </c>
      <c r="W723" s="3272">
        <v>20.9</v>
      </c>
      <c r="X723" s="3275">
        <v>209000</v>
      </c>
      <c r="Y723" s="3276">
        <v>2006</v>
      </c>
      <c r="Z723" s="3276">
        <v>8</v>
      </c>
      <c r="AA723" s="3276">
        <v>18</v>
      </c>
      <c r="AB723" s="3267">
        <v>895</v>
      </c>
      <c r="AC723" s="3267" t="s">
        <v>2980</v>
      </c>
      <c r="AD723" s="3267">
        <v>91302006080750</v>
      </c>
      <c r="AE723" s="3267" t="s">
        <v>3396</v>
      </c>
      <c r="AF723" s="3267" t="s">
        <v>2966</v>
      </c>
      <c r="AG723" s="3279" t="s">
        <v>8060</v>
      </c>
      <c r="AH723" s="3267"/>
      <c r="AI723" s="3267" t="s">
        <v>2992</v>
      </c>
      <c r="AJ723" s="3284"/>
      <c r="AK723" s="3278">
        <v>8</v>
      </c>
      <c r="AL723" s="3267">
        <v>67641700</v>
      </c>
      <c r="AM723" s="3276"/>
      <c r="AN723" s="3267" t="s">
        <v>3114</v>
      </c>
      <c r="AO723" s="3276"/>
      <c r="AP723" s="3267" t="s">
        <v>3396</v>
      </c>
      <c r="AQ723" s="3267" t="s">
        <v>3228</v>
      </c>
      <c r="AR723" s="3276"/>
      <c r="AS723" s="3276"/>
      <c r="AT723" s="3276"/>
      <c r="AU723" s="3276"/>
      <c r="AV723" s="3276"/>
      <c r="AW723" s="3276" t="s">
        <v>2997</v>
      </c>
      <c r="AX723" s="3276"/>
      <c r="AY723" s="3291"/>
      <c r="AZ723" s="3276" t="s">
        <v>8059</v>
      </c>
      <c r="BA723" s="3276"/>
      <c r="BB723" s="3291"/>
      <c r="BC723" s="3276"/>
      <c r="BD723" s="3292"/>
      <c r="BE723" s="3276"/>
      <c r="BF723" s="3281"/>
      <c r="BG723" s="3299">
        <v>38936</v>
      </c>
      <c r="BH723" s="3276"/>
      <c r="BI723" s="3276" t="s">
        <v>3396</v>
      </c>
      <c r="BJ723" s="3283">
        <v>38943</v>
      </c>
      <c r="BK723" s="3299"/>
      <c r="BL723" s="3267" t="s">
        <v>2998</v>
      </c>
      <c r="BM723" s="3267" t="s">
        <v>2879</v>
      </c>
      <c r="BN723" s="3276" t="s">
        <v>2999</v>
      </c>
      <c r="BO723" s="3276" t="s">
        <v>8061</v>
      </c>
      <c r="BP723" s="3276"/>
      <c r="BQ723" s="3276">
        <v>3745</v>
      </c>
      <c r="BR723" s="3276">
        <v>5644</v>
      </c>
      <c r="BS723" s="3285"/>
      <c r="BT723" s="3285"/>
      <c r="BU723" s="3285"/>
    </row>
    <row r="724" spans="1:249" hidden="1">
      <c r="A724" s="3267" t="s">
        <v>8062</v>
      </c>
      <c r="B724" s="3267" t="s">
        <v>8063</v>
      </c>
      <c r="C724" s="3269" t="s">
        <v>8064</v>
      </c>
      <c r="D724" s="3269" t="s">
        <v>8065</v>
      </c>
      <c r="E724" s="3268" t="s">
        <v>2985</v>
      </c>
      <c r="F724" s="3268" t="s">
        <v>8066</v>
      </c>
      <c r="G724" s="3267"/>
      <c r="H724" s="3267"/>
      <c r="I724" s="3268"/>
      <c r="J724" s="3267" t="s">
        <v>8067</v>
      </c>
      <c r="K724" s="3267" t="s">
        <v>8068</v>
      </c>
      <c r="L724" s="3267">
        <v>114.93</v>
      </c>
      <c r="M724" s="3270">
        <v>2</v>
      </c>
      <c r="N724" s="3267" t="s">
        <v>3125</v>
      </c>
      <c r="O724" s="3267">
        <v>95.49</v>
      </c>
      <c r="P724" s="3267" t="s">
        <v>2963</v>
      </c>
      <c r="Q724" s="3271">
        <v>689580</v>
      </c>
      <c r="R724" s="3267">
        <v>6000</v>
      </c>
      <c r="S724" s="3272">
        <v>72.58</v>
      </c>
      <c r="T724" s="3273">
        <v>725800</v>
      </c>
      <c r="U724" s="3267">
        <v>6316</v>
      </c>
      <c r="V724" s="3274">
        <v>0.3</v>
      </c>
      <c r="W724" s="3272">
        <v>50.8</v>
      </c>
      <c r="X724" s="3275">
        <v>508000</v>
      </c>
      <c r="Y724" s="3276">
        <v>2006</v>
      </c>
      <c r="Z724" s="3276">
        <v>8</v>
      </c>
      <c r="AA724" s="3276">
        <v>23</v>
      </c>
      <c r="AB724" s="3267">
        <v>1500</v>
      </c>
      <c r="AC724" s="3267" t="s">
        <v>2980</v>
      </c>
      <c r="AD724" s="3269" t="s">
        <v>8069</v>
      </c>
      <c r="AE724" s="3279" t="s">
        <v>3344</v>
      </c>
      <c r="AF724" s="3267" t="s">
        <v>2966</v>
      </c>
      <c r="AG724" s="3279" t="s">
        <v>2967</v>
      </c>
      <c r="AH724" s="3267"/>
      <c r="AI724" s="3279" t="s">
        <v>2992</v>
      </c>
      <c r="AJ724" s="3284"/>
      <c r="AK724" s="3278">
        <v>8</v>
      </c>
      <c r="AL724" s="3276">
        <v>57</v>
      </c>
      <c r="AM724" s="3276"/>
      <c r="AN724" s="3279" t="s">
        <v>2994</v>
      </c>
      <c r="AO724" s="3267"/>
      <c r="AP724" s="3279" t="s">
        <v>3305</v>
      </c>
      <c r="AQ724" s="3267" t="s">
        <v>3228</v>
      </c>
      <c r="AR724" s="3276"/>
      <c r="AS724" s="3276"/>
      <c r="AT724" s="3276"/>
      <c r="AU724" s="3276"/>
      <c r="AV724" s="3276"/>
      <c r="AW724" s="3276" t="s">
        <v>3119</v>
      </c>
      <c r="AX724" s="3276"/>
      <c r="AY724" s="3291"/>
      <c r="AZ724" s="3267" t="s">
        <v>8068</v>
      </c>
      <c r="BA724" s="3296"/>
      <c r="BB724" s="3297"/>
      <c r="BC724" s="3296"/>
      <c r="BD724" s="3298"/>
      <c r="BE724" s="3276" t="s">
        <v>8070</v>
      </c>
      <c r="BF724" s="3281"/>
      <c r="BG724" s="3293">
        <v>38923</v>
      </c>
      <c r="BH724" s="3267" t="s">
        <v>2998</v>
      </c>
      <c r="BI724" s="3314" t="s">
        <v>3305</v>
      </c>
      <c r="BJ724" s="3283">
        <v>38943</v>
      </c>
      <c r="BK724" s="3283"/>
      <c r="BL724" s="3267" t="s">
        <v>3249</v>
      </c>
      <c r="BM724" s="3276" t="s">
        <v>2879</v>
      </c>
      <c r="BN724" s="3276" t="s">
        <v>2999</v>
      </c>
      <c r="BO724" s="3276" t="s">
        <v>3146</v>
      </c>
      <c r="BP724" s="3276"/>
      <c r="BQ724" s="3276">
        <v>7601</v>
      </c>
      <c r="BR724" s="3276">
        <v>7221</v>
      </c>
      <c r="BS724" s="3285"/>
      <c r="BT724" s="3285"/>
      <c r="BU724" s="3285"/>
    </row>
    <row r="725" spans="1:249" hidden="1">
      <c r="A725" s="3268" t="s">
        <v>8071</v>
      </c>
      <c r="B725" s="3267" t="s">
        <v>8072</v>
      </c>
      <c r="C725" s="3269" t="s">
        <v>8073</v>
      </c>
      <c r="D725" s="3267">
        <v>87327503</v>
      </c>
      <c r="E725" s="3267" t="s">
        <v>2985</v>
      </c>
      <c r="F725" s="3267" t="s">
        <v>8074</v>
      </c>
      <c r="G725" s="3267"/>
      <c r="H725" s="3267" t="s">
        <v>3178</v>
      </c>
      <c r="I725" s="3267" t="s">
        <v>3608</v>
      </c>
      <c r="J725" s="3267">
        <v>403</v>
      </c>
      <c r="K725" s="3267" t="s">
        <v>8075</v>
      </c>
      <c r="L725" s="3267">
        <v>56.15</v>
      </c>
      <c r="M725" s="3267">
        <v>4</v>
      </c>
      <c r="N725" s="3267" t="s">
        <v>3122</v>
      </c>
      <c r="O725" s="3267"/>
      <c r="P725" s="3267" t="s">
        <v>2963</v>
      </c>
      <c r="Q725" s="3267">
        <v>475000</v>
      </c>
      <c r="R725" s="3288">
        <v>8459</v>
      </c>
      <c r="S725" s="3272">
        <v>41.5</v>
      </c>
      <c r="T725" s="3273">
        <v>415000</v>
      </c>
      <c r="U725" s="3267">
        <v>7391</v>
      </c>
      <c r="V725" s="3289">
        <v>0.2</v>
      </c>
      <c r="W725" s="3272">
        <v>33.200000000000003</v>
      </c>
      <c r="X725" s="3273">
        <v>332000</v>
      </c>
      <c r="Y725" s="3267">
        <v>2006</v>
      </c>
      <c r="Z725" s="3267">
        <v>8</v>
      </c>
      <c r="AA725" s="3276">
        <v>22</v>
      </c>
      <c r="AB725" s="3270">
        <v>1245</v>
      </c>
      <c r="AC725" s="3267" t="s">
        <v>2980</v>
      </c>
      <c r="AD725" s="3304">
        <v>91302006080838</v>
      </c>
      <c r="AE725" s="3268" t="s">
        <v>3304</v>
      </c>
      <c r="AF725" s="3267" t="s">
        <v>2966</v>
      </c>
      <c r="AG725" s="3267" t="s">
        <v>2967</v>
      </c>
      <c r="AH725" s="3267"/>
      <c r="AI725" s="3267" t="s">
        <v>2992</v>
      </c>
      <c r="AJ725" s="3267"/>
      <c r="AK725" s="3278">
        <v>8</v>
      </c>
      <c r="AL725" s="3267">
        <v>25</v>
      </c>
      <c r="AM725" s="3267"/>
      <c r="AN725" s="3267" t="s">
        <v>2994</v>
      </c>
      <c r="AO725" s="3267"/>
      <c r="AP725" s="3279" t="s">
        <v>3537</v>
      </c>
      <c r="AQ725" s="3267" t="s">
        <v>3228</v>
      </c>
      <c r="AR725" s="3267"/>
      <c r="AS725" s="3267"/>
      <c r="AT725" s="3267"/>
      <c r="AU725" s="3267"/>
      <c r="AV725" s="3267"/>
      <c r="AW725" s="3267" t="s">
        <v>3119</v>
      </c>
      <c r="AX725" s="3267"/>
      <c r="AY725" s="3267"/>
      <c r="AZ725" s="3267" t="s">
        <v>8075</v>
      </c>
      <c r="BA725" s="3267"/>
      <c r="BB725" s="3267"/>
      <c r="BC725" s="3267"/>
      <c r="BD725" s="3267"/>
      <c r="BE725" s="3267">
        <v>13391882640</v>
      </c>
      <c r="BF725" s="3267"/>
      <c r="BG725" s="3284">
        <v>38943</v>
      </c>
      <c r="BH725" s="3267" t="s">
        <v>2998</v>
      </c>
      <c r="BI725" s="3268" t="s">
        <v>3537</v>
      </c>
      <c r="BJ725" s="3284">
        <v>38944</v>
      </c>
      <c r="BK725" s="3267"/>
      <c r="BL725" s="3267" t="s">
        <v>2998</v>
      </c>
      <c r="BM725" s="3267" t="s">
        <v>2879</v>
      </c>
      <c r="BN725" s="3267" t="s">
        <v>3111</v>
      </c>
      <c r="BO725" s="3267" t="s">
        <v>3146</v>
      </c>
      <c r="BP725" s="3267"/>
      <c r="BQ725" s="3276" t="e">
        <v>#DIV/0!</v>
      </c>
      <c r="BR725" s="3276" t="e">
        <v>#DIV/0!</v>
      </c>
      <c r="BS725" s="3285"/>
      <c r="BT725" s="3285"/>
      <c r="BU725" s="3285"/>
    </row>
    <row r="726" spans="1:249" hidden="1">
      <c r="A726" s="3267" t="s">
        <v>8076</v>
      </c>
      <c r="B726" s="3267" t="s">
        <v>8077</v>
      </c>
      <c r="C726" s="3269" t="s">
        <v>8078</v>
      </c>
      <c r="D726" s="3269" t="s">
        <v>8079</v>
      </c>
      <c r="E726" s="3268" t="s">
        <v>2985</v>
      </c>
      <c r="F726" s="3268" t="s">
        <v>6363</v>
      </c>
      <c r="G726" s="3267"/>
      <c r="H726" s="3267" t="s">
        <v>8080</v>
      </c>
      <c r="I726" s="3268" t="s">
        <v>3264</v>
      </c>
      <c r="J726" s="3267" t="s">
        <v>3165</v>
      </c>
      <c r="K726" s="3267" t="s">
        <v>8081</v>
      </c>
      <c r="L726" s="3267">
        <v>60.49</v>
      </c>
      <c r="M726" s="3267">
        <v>6</v>
      </c>
      <c r="N726" s="3267" t="s">
        <v>3122</v>
      </c>
      <c r="O726" s="3267"/>
      <c r="P726" s="3267" t="s">
        <v>2963</v>
      </c>
      <c r="Q726" s="3271">
        <v>519000</v>
      </c>
      <c r="R726" s="3288">
        <v>8580</v>
      </c>
      <c r="S726" s="3272">
        <v>40.770000000000003</v>
      </c>
      <c r="T726" s="3273">
        <v>407700</v>
      </c>
      <c r="U726" s="3267">
        <v>6741</v>
      </c>
      <c r="V726" s="3289">
        <v>0.2</v>
      </c>
      <c r="W726" s="3272">
        <v>32.61</v>
      </c>
      <c r="X726" s="3273">
        <v>326100</v>
      </c>
      <c r="Y726" s="3267">
        <v>2006</v>
      </c>
      <c r="Z726" s="3276">
        <v>9</v>
      </c>
      <c r="AA726" s="3276">
        <v>4</v>
      </c>
      <c r="AB726" s="3267">
        <v>1220</v>
      </c>
      <c r="AC726" s="3267" t="s">
        <v>2980</v>
      </c>
      <c r="AD726" s="3269" t="s">
        <v>8082</v>
      </c>
      <c r="AE726" s="3279" t="s">
        <v>3344</v>
      </c>
      <c r="AF726" s="3268" t="s">
        <v>2966</v>
      </c>
      <c r="AG726" s="3279" t="s">
        <v>2967</v>
      </c>
      <c r="AH726" s="3267"/>
      <c r="AI726" s="3279" t="s">
        <v>2992</v>
      </c>
      <c r="AJ726" s="3284"/>
      <c r="AK726" s="3278">
        <v>9</v>
      </c>
      <c r="AL726" s="3276">
        <v>34</v>
      </c>
      <c r="AM726" s="3267"/>
      <c r="AN726" s="3279" t="s">
        <v>3140</v>
      </c>
      <c r="AO726" s="3267"/>
      <c r="AP726" s="3279" t="s">
        <v>3305</v>
      </c>
      <c r="AQ726" s="3267" t="s">
        <v>3228</v>
      </c>
      <c r="AR726" s="3276"/>
      <c r="AS726" s="3276"/>
      <c r="AT726" s="3276"/>
      <c r="AU726" s="3276"/>
      <c r="AV726" s="3276"/>
      <c r="AW726" s="3276" t="s">
        <v>3119</v>
      </c>
      <c r="AX726" s="3276"/>
      <c r="AY726" s="3291"/>
      <c r="AZ726" s="3267" t="s">
        <v>8081</v>
      </c>
      <c r="BA726" s="3296"/>
      <c r="BB726" s="3297"/>
      <c r="BC726" s="3296"/>
      <c r="BD726" s="3298"/>
      <c r="BE726" s="3276">
        <v>13439971036</v>
      </c>
      <c r="BF726" s="3281"/>
      <c r="BG726" s="3293">
        <v>38932</v>
      </c>
      <c r="BH726" s="3354" t="s">
        <v>2998</v>
      </c>
      <c r="BI726" s="3314" t="s">
        <v>3305</v>
      </c>
      <c r="BJ726" s="3283">
        <v>38945</v>
      </c>
      <c r="BK726" s="3283"/>
      <c r="BL726" s="3267" t="s">
        <v>3249</v>
      </c>
      <c r="BM726" s="3276" t="s">
        <v>2879</v>
      </c>
      <c r="BN726" s="3276" t="s">
        <v>2999</v>
      </c>
      <c r="BO726" s="3276" t="s">
        <v>3146</v>
      </c>
      <c r="BP726" s="3276"/>
      <c r="BQ726" s="3276" t="e">
        <v>#DIV/0!</v>
      </c>
      <c r="BR726" s="3276" t="e">
        <v>#DIV/0!</v>
      </c>
      <c r="BS726" s="3285"/>
      <c r="BT726" s="3285"/>
      <c r="BU726" s="3285"/>
    </row>
    <row r="727" spans="1:249" hidden="1">
      <c r="A727" s="3267" t="s">
        <v>8083</v>
      </c>
      <c r="B727" s="3267" t="s">
        <v>8084</v>
      </c>
      <c r="C727" s="3269" t="s">
        <v>8085</v>
      </c>
      <c r="D727" s="3269" t="s">
        <v>8086</v>
      </c>
      <c r="E727" s="3268" t="s">
        <v>2985</v>
      </c>
      <c r="F727" s="3268" t="s">
        <v>6636</v>
      </c>
      <c r="G727" s="3267"/>
      <c r="H727" s="3267" t="s">
        <v>8087</v>
      </c>
      <c r="I727" s="3268" t="s">
        <v>3608</v>
      </c>
      <c r="J727" s="3267" t="s">
        <v>8088</v>
      </c>
      <c r="K727" s="3267" t="s">
        <v>8089</v>
      </c>
      <c r="L727" s="3267">
        <v>77.23</v>
      </c>
      <c r="M727" s="3267">
        <v>5</v>
      </c>
      <c r="N727" s="3267" t="s">
        <v>3122</v>
      </c>
      <c r="O727" s="3267"/>
      <c r="P727" s="3267" t="s">
        <v>2963</v>
      </c>
      <c r="Q727" s="3271">
        <v>430000</v>
      </c>
      <c r="R727" s="3288">
        <v>5568</v>
      </c>
      <c r="S727" s="3272">
        <v>46.61</v>
      </c>
      <c r="T727" s="3273">
        <v>466100</v>
      </c>
      <c r="U727" s="3267">
        <v>6036</v>
      </c>
      <c r="V727" s="3289">
        <v>0.2</v>
      </c>
      <c r="W727" s="3272">
        <v>37.28</v>
      </c>
      <c r="X727" s="3273">
        <v>372800</v>
      </c>
      <c r="Y727" s="3267">
        <v>2006</v>
      </c>
      <c r="Z727" s="3276">
        <v>8</v>
      </c>
      <c r="AA727" s="3276">
        <v>17</v>
      </c>
      <c r="AB727" s="3267">
        <v>1395</v>
      </c>
      <c r="AC727" s="3267" t="s">
        <v>2980</v>
      </c>
      <c r="AD727" s="3269" t="s">
        <v>8090</v>
      </c>
      <c r="AE727" s="3279" t="s">
        <v>3245</v>
      </c>
      <c r="AF727" s="3268" t="s">
        <v>2966</v>
      </c>
      <c r="AG727" s="3267" t="s">
        <v>2967</v>
      </c>
      <c r="AH727" s="3267" t="s">
        <v>8091</v>
      </c>
      <c r="AI727" s="3279" t="s">
        <v>2992</v>
      </c>
      <c r="AJ727" s="3284"/>
      <c r="AK727" s="3278">
        <v>8</v>
      </c>
      <c r="AL727" s="3276">
        <v>41</v>
      </c>
      <c r="AM727" s="3267"/>
      <c r="AN727" s="3279" t="s">
        <v>3114</v>
      </c>
      <c r="AO727" s="3267" t="s">
        <v>2968</v>
      </c>
      <c r="AP727" s="3279" t="s">
        <v>3305</v>
      </c>
      <c r="AQ727" s="3276" t="s">
        <v>3113</v>
      </c>
      <c r="AR727" s="3276"/>
      <c r="AS727" s="3276"/>
      <c r="AT727" s="3276"/>
      <c r="AU727" s="3276"/>
      <c r="AV727" s="3276"/>
      <c r="AW727" s="3276" t="s">
        <v>3119</v>
      </c>
      <c r="AX727" s="3276"/>
      <c r="AY727" s="3291"/>
      <c r="AZ727" s="3267" t="s">
        <v>8089</v>
      </c>
      <c r="BA727" s="3296"/>
      <c r="BB727" s="3297"/>
      <c r="BC727" s="3296"/>
      <c r="BD727" s="3298"/>
      <c r="BE727" s="3276">
        <v>13504090433</v>
      </c>
      <c r="BF727" s="3281"/>
      <c r="BG727" s="3293">
        <v>38943</v>
      </c>
      <c r="BH727" s="3354" t="s">
        <v>2998</v>
      </c>
      <c r="BI727" s="3314" t="s">
        <v>3305</v>
      </c>
      <c r="BJ727" s="3283">
        <v>38945</v>
      </c>
      <c r="BK727" s="3283"/>
      <c r="BL727" s="3267" t="s">
        <v>3249</v>
      </c>
      <c r="BM727" s="3276" t="s">
        <v>2879</v>
      </c>
      <c r="BN727" s="3276" t="s">
        <v>2999</v>
      </c>
      <c r="BO727" s="3276" t="s">
        <v>3146</v>
      </c>
      <c r="BP727" s="3276"/>
      <c r="BQ727" s="3276" t="e">
        <v>#DIV/0!</v>
      </c>
      <c r="BR727" s="3276" t="e">
        <v>#DIV/0!</v>
      </c>
      <c r="BS727" s="3285"/>
      <c r="BT727" s="3285"/>
      <c r="BU727" s="3285"/>
    </row>
    <row r="728" spans="1:249" hidden="1">
      <c r="A728" s="3268" t="s">
        <v>8092</v>
      </c>
      <c r="B728" s="3267" t="s">
        <v>8093</v>
      </c>
      <c r="C728" s="3269" t="s">
        <v>8094</v>
      </c>
      <c r="D728" s="3269" t="s">
        <v>8095</v>
      </c>
      <c r="E728" s="3267" t="s">
        <v>2985</v>
      </c>
      <c r="F728" s="3244" t="s">
        <v>3985</v>
      </c>
      <c r="G728" s="3267"/>
      <c r="H728" s="3267" t="s">
        <v>8096</v>
      </c>
      <c r="I728" s="3267"/>
      <c r="J728" s="3269" t="s">
        <v>5469</v>
      </c>
      <c r="K728" s="3267" t="s">
        <v>6247</v>
      </c>
      <c r="L728" s="3267">
        <v>49.15</v>
      </c>
      <c r="M728" s="3267">
        <v>5</v>
      </c>
      <c r="N728" s="3268" t="s">
        <v>3152</v>
      </c>
      <c r="O728" s="3267">
        <v>39.11</v>
      </c>
      <c r="P728" s="3267" t="s">
        <v>2963</v>
      </c>
      <c r="Q728" s="3271">
        <v>315000</v>
      </c>
      <c r="R728" s="3267">
        <v>6409</v>
      </c>
      <c r="S728" s="3272">
        <v>31.25</v>
      </c>
      <c r="T728" s="3273">
        <v>312500</v>
      </c>
      <c r="U728" s="3267">
        <v>6360</v>
      </c>
      <c r="V728" s="3289">
        <v>0.2</v>
      </c>
      <c r="W728" s="3272">
        <v>25</v>
      </c>
      <c r="X728" s="3275">
        <v>250000</v>
      </c>
      <c r="Y728" s="3267">
        <v>2006</v>
      </c>
      <c r="Z728" s="3276">
        <v>9</v>
      </c>
      <c r="AA728" s="3276">
        <v>6</v>
      </c>
      <c r="AB728" s="3267">
        <v>935</v>
      </c>
      <c r="AC728" s="3267" t="s">
        <v>2980</v>
      </c>
      <c r="AD728" s="3269" t="s">
        <v>8097</v>
      </c>
      <c r="AE728" s="3279" t="s">
        <v>3180</v>
      </c>
      <c r="AF728" s="3267" t="s">
        <v>2966</v>
      </c>
      <c r="AG728" s="3267" t="s">
        <v>2967</v>
      </c>
      <c r="AH728" s="3267"/>
      <c r="AI728" s="3279" t="s">
        <v>2992</v>
      </c>
      <c r="AJ728" s="3284"/>
      <c r="AK728" s="3278" t="s">
        <v>3154</v>
      </c>
      <c r="AL728" s="3276">
        <v>57</v>
      </c>
      <c r="AM728" s="3276"/>
      <c r="AN728" s="3279" t="s">
        <v>3131</v>
      </c>
      <c r="AO728" s="3276"/>
      <c r="AP728" s="3279" t="s">
        <v>3180</v>
      </c>
      <c r="AQ728" s="3267" t="s">
        <v>3228</v>
      </c>
      <c r="AR728" s="3276">
        <v>2006</v>
      </c>
      <c r="AS728" s="3276">
        <v>8</v>
      </c>
      <c r="AT728" s="3276">
        <v>21</v>
      </c>
      <c r="AU728" s="3276"/>
      <c r="AV728" s="3276"/>
      <c r="AW728" s="3276" t="s">
        <v>3119</v>
      </c>
      <c r="AX728" s="3276"/>
      <c r="AY728" s="3291"/>
      <c r="AZ728" s="3276" t="s">
        <v>6247</v>
      </c>
      <c r="BA728" s="3276"/>
      <c r="BB728" s="3291"/>
      <c r="BC728" s="3276"/>
      <c r="BD728" s="3292"/>
      <c r="BE728" s="3276"/>
      <c r="BF728" s="3281"/>
      <c r="BG728" s="3293">
        <v>38937</v>
      </c>
      <c r="BH728" s="3267"/>
      <c r="BI728" s="3314" t="s">
        <v>3180</v>
      </c>
      <c r="BJ728" s="3293">
        <v>38945</v>
      </c>
      <c r="BK728" s="3283"/>
      <c r="BL728" s="3267" t="s">
        <v>2998</v>
      </c>
      <c r="BM728" s="3267" t="s">
        <v>2879</v>
      </c>
      <c r="BN728" s="3276" t="s">
        <v>2999</v>
      </c>
      <c r="BO728" s="3267" t="s">
        <v>3146</v>
      </c>
      <c r="BP728" s="3276"/>
      <c r="BQ728" s="3276">
        <v>7993</v>
      </c>
      <c r="BR728" s="3276">
        <v>8054</v>
      </c>
      <c r="BS728" s="3285"/>
      <c r="BT728" s="3285"/>
      <c r="BU728" s="3285"/>
    </row>
    <row r="729" spans="1:249" hidden="1">
      <c r="A729" s="3267" t="s">
        <v>8098</v>
      </c>
      <c r="B729" s="3267" t="s">
        <v>8099</v>
      </c>
      <c r="C729" s="3269" t="s">
        <v>8100</v>
      </c>
      <c r="D729" s="3269" t="s">
        <v>8101</v>
      </c>
      <c r="E729" s="3268" t="s">
        <v>2985</v>
      </c>
      <c r="F729" s="3268" t="s">
        <v>3279</v>
      </c>
      <c r="G729" s="3267"/>
      <c r="H729" s="3267" t="s">
        <v>5490</v>
      </c>
      <c r="I729" s="3268"/>
      <c r="J729" s="3267" t="s">
        <v>6713</v>
      </c>
      <c r="K729" s="3267" t="s">
        <v>8099</v>
      </c>
      <c r="L729" s="3267">
        <v>76.88</v>
      </c>
      <c r="M729" s="3267">
        <v>13</v>
      </c>
      <c r="N729" s="3267" t="s">
        <v>3152</v>
      </c>
      <c r="O729" s="3267">
        <v>61.73</v>
      </c>
      <c r="P729" s="3267" t="s">
        <v>2963</v>
      </c>
      <c r="Q729" s="3271">
        <v>520000</v>
      </c>
      <c r="R729" s="3288">
        <v>6764</v>
      </c>
      <c r="S729" s="3272">
        <v>48.78</v>
      </c>
      <c r="T729" s="3273">
        <v>487800</v>
      </c>
      <c r="U729" s="3267">
        <v>6345</v>
      </c>
      <c r="V729" s="3289">
        <v>0.2</v>
      </c>
      <c r="W729" s="3272">
        <v>39.020000000000003</v>
      </c>
      <c r="X729" s="3273">
        <v>390200</v>
      </c>
      <c r="Y729" s="3267">
        <v>2006</v>
      </c>
      <c r="Z729" s="3276">
        <v>9</v>
      </c>
      <c r="AA729" s="3276">
        <v>6</v>
      </c>
      <c r="AB729" s="3267">
        <v>1460</v>
      </c>
      <c r="AC729" s="3267" t="s">
        <v>2980</v>
      </c>
      <c r="AD729" s="3269" t="s">
        <v>8102</v>
      </c>
      <c r="AE729" s="3276" t="s">
        <v>3245</v>
      </c>
      <c r="AF729" s="3268" t="s">
        <v>2966</v>
      </c>
      <c r="AG729" s="3279" t="s">
        <v>2967</v>
      </c>
      <c r="AH729" s="3267"/>
      <c r="AI729" s="3279" t="s">
        <v>2992</v>
      </c>
      <c r="AJ729" s="3284"/>
      <c r="AK729" s="3278" t="s">
        <v>3154</v>
      </c>
      <c r="AL729" s="3276">
        <v>54</v>
      </c>
      <c r="AM729" s="3267" t="s">
        <v>8103</v>
      </c>
      <c r="AN729" s="3279" t="s">
        <v>3140</v>
      </c>
      <c r="AO729" s="3267" t="s">
        <v>2968</v>
      </c>
      <c r="AP729" s="3279" t="s">
        <v>4230</v>
      </c>
      <c r="AQ729" s="3267" t="s">
        <v>3228</v>
      </c>
      <c r="AR729" s="3276"/>
      <c r="AS729" s="3276"/>
      <c r="AT729" s="3276"/>
      <c r="AU729" s="3276"/>
      <c r="AV729" s="3276"/>
      <c r="AW729" s="3276" t="s">
        <v>3112</v>
      </c>
      <c r="AX729" s="3276"/>
      <c r="AY729" s="3291"/>
      <c r="AZ729" s="3267" t="s">
        <v>8104</v>
      </c>
      <c r="BA729" s="3296"/>
      <c r="BB729" s="3297"/>
      <c r="BC729" s="3296"/>
      <c r="BD729" s="3298"/>
      <c r="BE729" s="3276">
        <v>13466361681</v>
      </c>
      <c r="BF729" s="3281"/>
      <c r="BG729" s="3293">
        <v>38945</v>
      </c>
      <c r="BH729" s="3267" t="s">
        <v>2998</v>
      </c>
      <c r="BI729" s="3314" t="s">
        <v>4230</v>
      </c>
      <c r="BJ729" s="3283">
        <v>38945</v>
      </c>
      <c r="BK729" s="3283"/>
      <c r="BL729" s="3267" t="s">
        <v>3249</v>
      </c>
      <c r="BM729" s="3276" t="s">
        <v>2879</v>
      </c>
      <c r="BN729" s="3276" t="s">
        <v>2999</v>
      </c>
      <c r="BO729" s="3276" t="s">
        <v>3000</v>
      </c>
      <c r="BP729" s="3276"/>
      <c r="BQ729" s="3276">
        <v>7902</v>
      </c>
      <c r="BR729" s="3276">
        <v>8424</v>
      </c>
      <c r="BS729" s="3285"/>
      <c r="BT729" s="3285"/>
      <c r="BU729" s="3285"/>
    </row>
    <row r="730" spans="1:249" hidden="1">
      <c r="A730" s="3267" t="s">
        <v>8105</v>
      </c>
      <c r="B730" s="3267" t="s">
        <v>8106</v>
      </c>
      <c r="C730" s="3269" t="s">
        <v>8107</v>
      </c>
      <c r="D730" s="3269">
        <v>13611155047</v>
      </c>
      <c r="E730" s="3268" t="s">
        <v>2985</v>
      </c>
      <c r="F730" s="3268" t="s">
        <v>3777</v>
      </c>
      <c r="G730" s="3267"/>
      <c r="H730" s="3267" t="s">
        <v>3118</v>
      </c>
      <c r="I730" s="3268" t="s">
        <v>2968</v>
      </c>
      <c r="J730" s="3267" t="s">
        <v>3126</v>
      </c>
      <c r="K730" s="3267" t="s">
        <v>8108</v>
      </c>
      <c r="L730" s="3267">
        <v>69.650000000000006</v>
      </c>
      <c r="M730" s="3267">
        <v>6</v>
      </c>
      <c r="N730" s="3267" t="s">
        <v>3125</v>
      </c>
      <c r="O730" s="3267"/>
      <c r="P730" s="3267" t="s">
        <v>2963</v>
      </c>
      <c r="Q730" s="3271">
        <v>515000</v>
      </c>
      <c r="R730" s="3288">
        <v>7394</v>
      </c>
      <c r="S730" s="3272">
        <v>41.65</v>
      </c>
      <c r="T730" s="3273">
        <v>416500</v>
      </c>
      <c r="U730" s="3267">
        <v>5980</v>
      </c>
      <c r="V730" s="3289">
        <v>0.2</v>
      </c>
      <c r="W730" s="3272">
        <v>33.32</v>
      </c>
      <c r="X730" s="3273">
        <v>333200</v>
      </c>
      <c r="Y730" s="3267">
        <v>2006</v>
      </c>
      <c r="Z730" s="3276">
        <v>9</v>
      </c>
      <c r="AA730" s="3276">
        <v>5</v>
      </c>
      <c r="AB730" s="3267">
        <v>1245</v>
      </c>
      <c r="AC730" s="3267" t="s">
        <v>2980</v>
      </c>
      <c r="AD730" s="3269" t="s">
        <v>8109</v>
      </c>
      <c r="AE730" s="3279" t="s">
        <v>3245</v>
      </c>
      <c r="AF730" s="3268" t="s">
        <v>2966</v>
      </c>
      <c r="AG730" s="3279" t="s">
        <v>2967</v>
      </c>
      <c r="AH730" s="3267"/>
      <c r="AI730" s="3279" t="s">
        <v>2992</v>
      </c>
      <c r="AJ730" s="3284"/>
      <c r="AK730" s="3278">
        <v>9</v>
      </c>
      <c r="AL730" s="3276">
        <v>48</v>
      </c>
      <c r="AM730" s="3267"/>
      <c r="AN730" s="3279" t="s">
        <v>3140</v>
      </c>
      <c r="AO730" s="3267"/>
      <c r="AP730" s="3279" t="s">
        <v>3305</v>
      </c>
      <c r="AQ730" s="3267" t="s">
        <v>3228</v>
      </c>
      <c r="AR730" s="3276"/>
      <c r="AS730" s="3276"/>
      <c r="AT730" s="3276"/>
      <c r="AU730" s="3276"/>
      <c r="AV730" s="3276"/>
      <c r="AW730" s="3276" t="s">
        <v>2997</v>
      </c>
      <c r="AX730" s="3276"/>
      <c r="AY730" s="3291"/>
      <c r="AZ730" s="3267" t="s">
        <v>8108</v>
      </c>
      <c r="BA730" s="3296"/>
      <c r="BB730" s="3297"/>
      <c r="BC730" s="3296"/>
      <c r="BD730" s="3298"/>
      <c r="BE730" s="3276"/>
      <c r="BF730" s="3281"/>
      <c r="BG730" s="3293">
        <v>38928</v>
      </c>
      <c r="BH730" s="3354" t="s">
        <v>2998</v>
      </c>
      <c r="BI730" s="3314" t="s">
        <v>3305</v>
      </c>
      <c r="BJ730" s="3283">
        <v>38946</v>
      </c>
      <c r="BK730" s="3283"/>
      <c r="BL730" s="3267" t="s">
        <v>3249</v>
      </c>
      <c r="BM730" s="3276" t="s">
        <v>2879</v>
      </c>
      <c r="BN730" s="3276" t="s">
        <v>2999</v>
      </c>
      <c r="BO730" s="3276" t="s">
        <v>3146</v>
      </c>
      <c r="BP730" s="3276"/>
      <c r="BQ730" s="3276" t="e">
        <v>#DIV/0!</v>
      </c>
      <c r="BR730" s="3276" t="e">
        <v>#DIV/0!</v>
      </c>
      <c r="BS730" s="3285"/>
      <c r="BT730" s="3285"/>
      <c r="BU730" s="3285"/>
    </row>
    <row r="731" spans="1:249">
      <c r="A731" s="3267" t="s">
        <v>8110</v>
      </c>
      <c r="B731" s="3267" t="s">
        <v>8111</v>
      </c>
      <c r="C731" s="3269" t="s">
        <v>8112</v>
      </c>
      <c r="D731" s="3269" t="s">
        <v>8113</v>
      </c>
      <c r="E731" s="3268" t="s">
        <v>2985</v>
      </c>
      <c r="F731" s="3268" t="s">
        <v>7739</v>
      </c>
      <c r="G731" s="3267"/>
      <c r="H731" s="3267" t="s">
        <v>3118</v>
      </c>
      <c r="I731" s="3268"/>
      <c r="J731" s="3267">
        <v>803</v>
      </c>
      <c r="K731" s="3267" t="s">
        <v>8114</v>
      </c>
      <c r="L731" s="3267">
        <v>157.77000000000001</v>
      </c>
      <c r="M731" s="3270">
        <v>7</v>
      </c>
      <c r="N731" s="3267" t="s">
        <v>3303</v>
      </c>
      <c r="O731" s="3267"/>
      <c r="P731" s="3267" t="s">
        <v>2963</v>
      </c>
      <c r="Q731" s="3271">
        <v>730000</v>
      </c>
      <c r="R731" s="3267">
        <v>4627</v>
      </c>
      <c r="S731" s="3272">
        <v>109.72</v>
      </c>
      <c r="T731" s="3273">
        <v>1097200</v>
      </c>
      <c r="U731" s="3267">
        <v>6955</v>
      </c>
      <c r="V731" s="3274">
        <v>0.3</v>
      </c>
      <c r="W731" s="3272">
        <v>76.8</v>
      </c>
      <c r="X731" s="3275">
        <v>768000</v>
      </c>
      <c r="Y731" s="3276">
        <v>2006</v>
      </c>
      <c r="Z731" s="3276">
        <v>8</v>
      </c>
      <c r="AA731" s="3276">
        <v>29</v>
      </c>
      <c r="AB731" s="3267">
        <v>1500</v>
      </c>
      <c r="AC731" s="3267" t="s">
        <v>2980</v>
      </c>
      <c r="AD731" s="3280" t="s">
        <v>8115</v>
      </c>
      <c r="AE731" s="3276" t="s">
        <v>3344</v>
      </c>
      <c r="AF731" s="3268" t="s">
        <v>2966</v>
      </c>
      <c r="AG731" s="3279" t="s">
        <v>2967</v>
      </c>
      <c r="AH731" s="3267"/>
      <c r="AI731" s="3279" t="s">
        <v>2992</v>
      </c>
      <c r="AJ731" s="3284"/>
      <c r="AK731" s="3278">
        <v>8</v>
      </c>
      <c r="AL731" s="3276">
        <v>57</v>
      </c>
      <c r="AM731" s="3267"/>
      <c r="AN731" s="3279" t="s">
        <v>3099</v>
      </c>
      <c r="AO731" s="3267"/>
      <c r="AP731" s="3279" t="s">
        <v>4230</v>
      </c>
      <c r="AQ731" s="3267" t="s">
        <v>3228</v>
      </c>
      <c r="AR731" s="3276"/>
      <c r="AS731" s="3276"/>
      <c r="AT731" s="3276"/>
      <c r="AU731" s="3276"/>
      <c r="AV731" s="3276"/>
      <c r="AW731" s="3276" t="s">
        <v>3119</v>
      </c>
      <c r="AX731" s="3276"/>
      <c r="AY731" s="3291"/>
      <c r="AZ731" s="3267" t="s">
        <v>8114</v>
      </c>
      <c r="BA731" s="3296"/>
      <c r="BB731" s="3297"/>
      <c r="BC731" s="3296"/>
      <c r="BD731" s="3298"/>
      <c r="BE731" s="3276">
        <v>13901127588</v>
      </c>
      <c r="BF731" s="3281"/>
      <c r="BG731" s="3293">
        <v>38943</v>
      </c>
      <c r="BH731" s="3267" t="s">
        <v>2998</v>
      </c>
      <c r="BI731" s="3314" t="s">
        <v>4230</v>
      </c>
      <c r="BJ731" s="3283">
        <v>38946</v>
      </c>
      <c r="BK731" s="3283"/>
      <c r="BL731" s="3267" t="s">
        <v>3249</v>
      </c>
      <c r="BM731" s="3276" t="s">
        <v>5388</v>
      </c>
      <c r="BN731" s="3276" t="s">
        <v>2999</v>
      </c>
      <c r="BO731" s="3276" t="s">
        <v>3146</v>
      </c>
      <c r="BP731" s="3276"/>
      <c r="BQ731" s="3276" t="e">
        <v>#DIV/0!</v>
      </c>
      <c r="BR731" s="3276" t="e">
        <v>#DIV/0!</v>
      </c>
      <c r="BS731" s="3285"/>
      <c r="BT731" s="3285"/>
      <c r="BU731" s="3285"/>
    </row>
    <row r="732" spans="1:249" hidden="1">
      <c r="A732" s="3267" t="s">
        <v>8116</v>
      </c>
      <c r="B732" s="3267" t="s">
        <v>8117</v>
      </c>
      <c r="C732" s="3269" t="s">
        <v>8118</v>
      </c>
      <c r="D732" s="3269" t="s">
        <v>8119</v>
      </c>
      <c r="E732" s="3268" t="s">
        <v>2985</v>
      </c>
      <c r="F732" s="3268" t="s">
        <v>3864</v>
      </c>
      <c r="G732" s="3267"/>
      <c r="H732" s="3267" t="s">
        <v>8120</v>
      </c>
      <c r="I732" s="3268"/>
      <c r="J732" s="3267" t="s">
        <v>8121</v>
      </c>
      <c r="K732" s="3267" t="s">
        <v>8122</v>
      </c>
      <c r="L732" s="3267">
        <v>83.57</v>
      </c>
      <c r="M732" s="3267">
        <v>27</v>
      </c>
      <c r="N732" s="3267" t="s">
        <v>3122</v>
      </c>
      <c r="O732" s="3267">
        <v>65.040000000000006</v>
      </c>
      <c r="P732" s="3267" t="s">
        <v>2963</v>
      </c>
      <c r="Q732" s="3271">
        <v>560000</v>
      </c>
      <c r="R732" s="3267">
        <v>6701</v>
      </c>
      <c r="S732" s="3272">
        <v>51.81</v>
      </c>
      <c r="T732" s="3273">
        <v>518100</v>
      </c>
      <c r="U732" s="3267">
        <v>6200</v>
      </c>
      <c r="V732" s="3289">
        <v>0.2</v>
      </c>
      <c r="W732" s="3272">
        <v>41.44</v>
      </c>
      <c r="X732" s="3275">
        <v>414400</v>
      </c>
      <c r="Y732" s="3276">
        <v>2006</v>
      </c>
      <c r="Z732" s="3276">
        <v>8</v>
      </c>
      <c r="AA732" s="3276">
        <v>31</v>
      </c>
      <c r="AB732" s="3267">
        <v>1500</v>
      </c>
      <c r="AC732" s="3267" t="s">
        <v>2980</v>
      </c>
      <c r="AD732" s="3269" t="s">
        <v>8123</v>
      </c>
      <c r="AE732" s="3279" t="s">
        <v>3180</v>
      </c>
      <c r="AF732" s="3268" t="s">
        <v>2966</v>
      </c>
      <c r="AG732" s="3279" t="s">
        <v>2967</v>
      </c>
      <c r="AH732" s="3267"/>
      <c r="AI732" s="3279" t="s">
        <v>2992</v>
      </c>
      <c r="AJ732" s="3284"/>
      <c r="AK732" s="3278" t="s">
        <v>4256</v>
      </c>
      <c r="AL732" s="3276">
        <v>54</v>
      </c>
      <c r="AM732" s="3276" t="s">
        <v>2968</v>
      </c>
      <c r="AN732" s="3279" t="s">
        <v>3099</v>
      </c>
      <c r="AO732" s="3267"/>
      <c r="AP732" s="3279" t="s">
        <v>3180</v>
      </c>
      <c r="AQ732" s="3267" t="s">
        <v>3228</v>
      </c>
      <c r="AR732" s="3276">
        <v>2006</v>
      </c>
      <c r="AS732" s="3276">
        <v>8</v>
      </c>
      <c r="AT732" s="3276">
        <v>21</v>
      </c>
      <c r="AU732" s="3276"/>
      <c r="AV732" s="3276"/>
      <c r="AW732" s="3276" t="s">
        <v>2997</v>
      </c>
      <c r="AX732" s="3276"/>
      <c r="AY732" s="3291"/>
      <c r="AZ732" s="3267" t="s">
        <v>8122</v>
      </c>
      <c r="BA732" s="3296"/>
      <c r="BB732" s="3297"/>
      <c r="BC732" s="3296"/>
      <c r="BD732" s="3298"/>
      <c r="BE732" s="3276"/>
      <c r="BF732" s="3281"/>
      <c r="BG732" s="3293">
        <v>38945</v>
      </c>
      <c r="BH732" s="3267"/>
      <c r="BI732" s="3314" t="s">
        <v>3180</v>
      </c>
      <c r="BJ732" s="3283">
        <v>38947</v>
      </c>
      <c r="BK732" s="3283"/>
      <c r="BL732" s="3267" t="s">
        <v>2998</v>
      </c>
      <c r="BM732" s="3276" t="s">
        <v>2879</v>
      </c>
      <c r="BN732" s="3276" t="s">
        <v>2999</v>
      </c>
      <c r="BO732" s="3276" t="s">
        <v>3146</v>
      </c>
      <c r="BP732" s="3276"/>
      <c r="BQ732" s="3276">
        <v>7966</v>
      </c>
      <c r="BR732" s="3276">
        <v>8610</v>
      </c>
      <c r="BS732" s="3285"/>
      <c r="BT732" s="3285"/>
      <c r="BU732" s="3285"/>
    </row>
    <row r="733" spans="1:249">
      <c r="A733" s="3267" t="s">
        <v>8124</v>
      </c>
      <c r="B733" s="3267" t="s">
        <v>8125</v>
      </c>
      <c r="C733" s="3269" t="s">
        <v>8126</v>
      </c>
      <c r="D733" s="3269" t="s">
        <v>8127</v>
      </c>
      <c r="E733" s="3268" t="s">
        <v>2985</v>
      </c>
      <c r="F733" s="3268" t="s">
        <v>3542</v>
      </c>
      <c r="G733" s="3267"/>
      <c r="H733" s="3267" t="s">
        <v>3194</v>
      </c>
      <c r="I733" s="3268"/>
      <c r="J733" s="3267" t="s">
        <v>6796</v>
      </c>
      <c r="K733" s="3267" t="s">
        <v>8128</v>
      </c>
      <c r="L733" s="3267">
        <v>78.430000000000007</v>
      </c>
      <c r="M733" s="3267">
        <v>14</v>
      </c>
      <c r="N733" s="3267" t="s">
        <v>7978</v>
      </c>
      <c r="O733" s="3267"/>
      <c r="P733" s="3267" t="s">
        <v>2963</v>
      </c>
      <c r="Q733" s="3271">
        <v>650000</v>
      </c>
      <c r="R733" s="3288">
        <v>8288</v>
      </c>
      <c r="S733" s="3272">
        <v>53.7</v>
      </c>
      <c r="T733" s="3273">
        <v>537000</v>
      </c>
      <c r="U733" s="3267">
        <v>6847</v>
      </c>
      <c r="V733" s="3289">
        <v>0.2</v>
      </c>
      <c r="W733" s="3272">
        <v>42.96</v>
      </c>
      <c r="X733" s="3273">
        <v>429600</v>
      </c>
      <c r="Y733" s="3267">
        <v>2006</v>
      </c>
      <c r="Z733" s="3276">
        <v>9</v>
      </c>
      <c r="AA733" s="3276">
        <v>18</v>
      </c>
      <c r="AB733" s="3267">
        <v>1500</v>
      </c>
      <c r="AC733" s="3267" t="s">
        <v>2980</v>
      </c>
      <c r="AD733" s="3280" t="s">
        <v>8129</v>
      </c>
      <c r="AE733" s="3279" t="s">
        <v>3344</v>
      </c>
      <c r="AF733" s="3268" t="s">
        <v>2966</v>
      </c>
      <c r="AG733" s="3279" t="s">
        <v>2967</v>
      </c>
      <c r="AH733" s="3267"/>
      <c r="AI733" s="3279" t="s">
        <v>2992</v>
      </c>
      <c r="AJ733" s="3284"/>
      <c r="AK733" s="3278">
        <v>9</v>
      </c>
      <c r="AL733" s="3276">
        <v>43</v>
      </c>
      <c r="AM733" s="3267"/>
      <c r="AN733" s="3279" t="s">
        <v>2994</v>
      </c>
      <c r="AO733" s="3267"/>
      <c r="AP733" s="3279" t="s">
        <v>3305</v>
      </c>
      <c r="AQ733" s="3267" t="s">
        <v>3228</v>
      </c>
      <c r="AR733" s="3276"/>
      <c r="AS733" s="3276"/>
      <c r="AT733" s="3276"/>
      <c r="AU733" s="3276"/>
      <c r="AV733" s="3276"/>
      <c r="AW733" s="3276" t="s">
        <v>3119</v>
      </c>
      <c r="AX733" s="3276"/>
      <c r="AY733" s="3291"/>
      <c r="AZ733" s="3267" t="s">
        <v>8128</v>
      </c>
      <c r="BA733" s="3296"/>
      <c r="BB733" s="3297"/>
      <c r="BC733" s="3296"/>
      <c r="BD733" s="3298"/>
      <c r="BE733" s="3276">
        <v>13601162141</v>
      </c>
      <c r="BF733" s="3281"/>
      <c r="BG733" s="3293">
        <v>38942</v>
      </c>
      <c r="BH733" s="3267" t="s">
        <v>2998</v>
      </c>
      <c r="BI733" s="3314" t="s">
        <v>3305</v>
      </c>
      <c r="BJ733" s="3283">
        <v>38947</v>
      </c>
      <c r="BK733" s="3283"/>
      <c r="BL733" s="3267" t="s">
        <v>3249</v>
      </c>
      <c r="BM733" s="3276" t="s">
        <v>2999</v>
      </c>
      <c r="BN733" s="3276" t="s">
        <v>2879</v>
      </c>
      <c r="BO733" s="3276" t="s">
        <v>3000</v>
      </c>
      <c r="BP733" s="3276"/>
      <c r="BQ733" s="3276" t="e">
        <v>#DIV/0!</v>
      </c>
      <c r="BR733" s="3276" t="e">
        <v>#DIV/0!</v>
      </c>
      <c r="BS733" s="3285"/>
      <c r="BT733" s="3285"/>
      <c r="BU733" s="3285"/>
    </row>
    <row r="734" spans="1:249">
      <c r="A734" s="3267" t="s">
        <v>8130</v>
      </c>
      <c r="B734" s="3267" t="s">
        <v>8131</v>
      </c>
      <c r="C734" s="3269" t="s">
        <v>8132</v>
      </c>
      <c r="D734" s="3269" t="s">
        <v>8133</v>
      </c>
      <c r="E734" s="3268" t="s">
        <v>2985</v>
      </c>
      <c r="F734" s="3268" t="s">
        <v>5306</v>
      </c>
      <c r="G734" s="3267"/>
      <c r="H734" s="3267" t="s">
        <v>3402</v>
      </c>
      <c r="I734" s="3268" t="s">
        <v>3608</v>
      </c>
      <c r="J734" s="3267" t="s">
        <v>3173</v>
      </c>
      <c r="K734" s="3267" t="s">
        <v>8131</v>
      </c>
      <c r="L734" s="3267">
        <v>93.6</v>
      </c>
      <c r="M734" s="3267">
        <v>2</v>
      </c>
      <c r="N734" s="3267" t="s">
        <v>3152</v>
      </c>
      <c r="O734" s="3267">
        <v>76.73</v>
      </c>
      <c r="P734" s="3267" t="s">
        <v>2963</v>
      </c>
      <c r="Q734" s="3271">
        <v>633000</v>
      </c>
      <c r="R734" s="3288">
        <v>6763</v>
      </c>
      <c r="S734" s="3272">
        <v>62.24</v>
      </c>
      <c r="T734" s="3273">
        <v>622400</v>
      </c>
      <c r="U734" s="3267">
        <v>6650</v>
      </c>
      <c r="V734" s="3274">
        <v>0.3</v>
      </c>
      <c r="W734" s="3272">
        <v>43.56</v>
      </c>
      <c r="X734" s="3273">
        <v>435600</v>
      </c>
      <c r="Y734" s="3267">
        <v>2006</v>
      </c>
      <c r="Z734" s="3276">
        <v>10</v>
      </c>
      <c r="AA734" s="3276">
        <v>27</v>
      </c>
      <c r="AB734" s="3267">
        <v>1500</v>
      </c>
      <c r="AC734" s="3267" t="s">
        <v>2980</v>
      </c>
      <c r="AD734" s="3269" t="s">
        <v>8134</v>
      </c>
      <c r="AE734" s="3279" t="s">
        <v>3344</v>
      </c>
      <c r="AF734" s="3268" t="s">
        <v>2966</v>
      </c>
      <c r="AG734" s="3279" t="s">
        <v>2967</v>
      </c>
      <c r="AH734" s="3267"/>
      <c r="AI734" s="3279" t="s">
        <v>2992</v>
      </c>
      <c r="AJ734" s="3284"/>
      <c r="AK734" s="3278" t="s">
        <v>3148</v>
      </c>
      <c r="AL734" s="3276">
        <v>56</v>
      </c>
      <c r="AM734" s="3267" t="s">
        <v>8135</v>
      </c>
      <c r="AN734" s="3279" t="s">
        <v>2994</v>
      </c>
      <c r="AO734" s="3267"/>
      <c r="AP734" s="3279" t="s">
        <v>5706</v>
      </c>
      <c r="AQ734" s="3267" t="s">
        <v>3228</v>
      </c>
      <c r="AR734" s="3276"/>
      <c r="AS734" s="3276"/>
      <c r="AT734" s="3276"/>
      <c r="AU734" s="3276"/>
      <c r="AV734" s="3276"/>
      <c r="AW734" s="3276" t="s">
        <v>3119</v>
      </c>
      <c r="AX734" s="3276"/>
      <c r="AY734" s="3291"/>
      <c r="AZ734" s="3267" t="s">
        <v>8136</v>
      </c>
      <c r="BA734" s="3296"/>
      <c r="BB734" s="3297"/>
      <c r="BC734" s="3296"/>
      <c r="BD734" s="3298"/>
      <c r="BE734" s="3276">
        <v>13801283163</v>
      </c>
      <c r="BF734" s="3281"/>
      <c r="BG734" s="3293">
        <v>38950</v>
      </c>
      <c r="BH734" s="3354" t="s">
        <v>2998</v>
      </c>
      <c r="BI734" s="3314" t="s">
        <v>5706</v>
      </c>
      <c r="BJ734" s="3283">
        <v>38950</v>
      </c>
      <c r="BK734" s="3283"/>
      <c r="BL734" s="3267" t="s">
        <v>3249</v>
      </c>
      <c r="BM734" s="3276" t="s">
        <v>2879</v>
      </c>
      <c r="BN734" s="3276" t="s">
        <v>2999</v>
      </c>
      <c r="BO734" s="3276" t="s">
        <v>3146</v>
      </c>
      <c r="BP734" s="3276"/>
      <c r="BQ734" s="3276">
        <v>8112</v>
      </c>
      <c r="BR734" s="3276">
        <v>8250</v>
      </c>
      <c r="BS734" s="3285"/>
      <c r="BT734" s="3285"/>
      <c r="BU734" s="3285"/>
    </row>
    <row r="735" spans="1:249" hidden="1">
      <c r="A735" s="3268" t="s">
        <v>8137</v>
      </c>
      <c r="B735" s="3268" t="s">
        <v>8138</v>
      </c>
      <c r="C735" s="3269" t="s">
        <v>8139</v>
      </c>
      <c r="D735" s="3268">
        <v>13621161096</v>
      </c>
      <c r="E735" s="3268" t="s">
        <v>2985</v>
      </c>
      <c r="F735" s="3268" t="s">
        <v>5117</v>
      </c>
      <c r="G735" s="3268"/>
      <c r="H735" s="3268" t="s">
        <v>3244</v>
      </c>
      <c r="I735" s="3268" t="s">
        <v>2968</v>
      </c>
      <c r="J735" s="3268" t="s">
        <v>8140</v>
      </c>
      <c r="K735" s="3268" t="s">
        <v>8141</v>
      </c>
      <c r="L735" s="3270">
        <v>51.95</v>
      </c>
      <c r="M735" s="3270">
        <v>9</v>
      </c>
      <c r="N735" s="3267" t="s">
        <v>3152</v>
      </c>
      <c r="O735" s="3270" t="s">
        <v>2968</v>
      </c>
      <c r="P735" s="3268" t="s">
        <v>2963</v>
      </c>
      <c r="Q735" s="3271">
        <v>420000</v>
      </c>
      <c r="R735" s="3267">
        <v>8085</v>
      </c>
      <c r="S735" s="3272">
        <v>35.880000000000003</v>
      </c>
      <c r="T735" s="3273">
        <v>358800</v>
      </c>
      <c r="U735" s="3267">
        <v>6907</v>
      </c>
      <c r="V735" s="3289">
        <v>0.2</v>
      </c>
      <c r="W735" s="3272">
        <v>28.7</v>
      </c>
      <c r="X735" s="3275">
        <v>287000</v>
      </c>
      <c r="Y735" s="3276">
        <v>2006</v>
      </c>
      <c r="Z735" s="3276">
        <v>8</v>
      </c>
      <c r="AA735" s="3276">
        <v>24</v>
      </c>
      <c r="AB735" s="3267">
        <v>1075</v>
      </c>
      <c r="AC735" s="3267" t="s">
        <v>2980</v>
      </c>
      <c r="AD735" s="3280" t="s">
        <v>8142</v>
      </c>
      <c r="AE735" s="3279" t="s">
        <v>3069</v>
      </c>
      <c r="AF735" s="3268" t="s">
        <v>2966</v>
      </c>
      <c r="AG735" s="3268" t="s">
        <v>2967</v>
      </c>
      <c r="AH735" s="3268"/>
      <c r="AI735" s="3279" t="s">
        <v>2992</v>
      </c>
      <c r="AJ735" s="3290"/>
      <c r="AK735" s="3278">
        <v>8</v>
      </c>
      <c r="AL735" s="3276" t="s">
        <v>5786</v>
      </c>
      <c r="AM735" s="3276"/>
      <c r="AN735" s="3279" t="s">
        <v>2994</v>
      </c>
      <c r="AO735" s="3267"/>
      <c r="AP735" s="3279" t="s">
        <v>3069</v>
      </c>
      <c r="AQ735" s="3267" t="s">
        <v>3228</v>
      </c>
      <c r="AR735" s="3267">
        <v>2006</v>
      </c>
      <c r="AS735" s="3267">
        <v>8</v>
      </c>
      <c r="AT735" s="3267">
        <v>24</v>
      </c>
      <c r="AU735" s="3267"/>
      <c r="AV735" s="3277"/>
      <c r="AW735" s="3276" t="s">
        <v>2997</v>
      </c>
      <c r="AX735" s="3276"/>
      <c r="AY735" s="3291" t="s">
        <v>2968</v>
      </c>
      <c r="AZ735" s="3267" t="s">
        <v>8141</v>
      </c>
      <c r="BA735" s="3296" t="s">
        <v>2968</v>
      </c>
      <c r="BB735" s="3297" t="s">
        <v>2968</v>
      </c>
      <c r="BC735" s="3296" t="s">
        <v>2968</v>
      </c>
      <c r="BD735" s="3298" t="s">
        <v>2968</v>
      </c>
      <c r="BE735" s="3276"/>
      <c r="BF735" s="3281" t="s">
        <v>2968</v>
      </c>
      <c r="BG735" s="3361">
        <v>38950</v>
      </c>
      <c r="BH735" s="3267"/>
      <c r="BI735" s="3314" t="s">
        <v>3069</v>
      </c>
      <c r="BJ735" s="3299">
        <v>38950</v>
      </c>
      <c r="BK735" s="3284"/>
      <c r="BL735" s="3267" t="s">
        <v>2998</v>
      </c>
      <c r="BM735" s="3267" t="s">
        <v>2879</v>
      </c>
      <c r="BN735" s="3267" t="s">
        <v>3111</v>
      </c>
      <c r="BO735" s="3267" t="s">
        <v>3146</v>
      </c>
      <c r="BP735" s="3276"/>
      <c r="BQ735" s="3276" t="e">
        <v>#VALUE!</v>
      </c>
      <c r="BR735" s="3276" t="e">
        <v>#VALUE!</v>
      </c>
      <c r="BS735" s="3285"/>
      <c r="BT735" s="3285"/>
      <c r="BU735" s="3285"/>
    </row>
    <row r="736" spans="1:249" hidden="1">
      <c r="A736" s="3267" t="s">
        <v>8143</v>
      </c>
      <c r="B736" s="3267" t="s">
        <v>8144</v>
      </c>
      <c r="C736" s="3269" t="s">
        <v>8145</v>
      </c>
      <c r="D736" s="3269" t="s">
        <v>8146</v>
      </c>
      <c r="E736" s="3267" t="s">
        <v>2985</v>
      </c>
      <c r="F736" s="3267" t="s">
        <v>8147</v>
      </c>
      <c r="G736" s="3267"/>
      <c r="H736" s="3267" t="s">
        <v>3124</v>
      </c>
      <c r="I736" s="3268" t="s">
        <v>3318</v>
      </c>
      <c r="J736" s="3268" t="s">
        <v>3123</v>
      </c>
      <c r="K736" s="3267" t="s">
        <v>8144</v>
      </c>
      <c r="L736" s="3267">
        <v>67.88</v>
      </c>
      <c r="M736" s="3267">
        <v>4</v>
      </c>
      <c r="N736" s="3267" t="s">
        <v>3098</v>
      </c>
      <c r="O736" s="3267"/>
      <c r="P736" s="3267" t="s">
        <v>2963</v>
      </c>
      <c r="Q736" s="3271">
        <v>410000</v>
      </c>
      <c r="R736" s="3267">
        <v>6040</v>
      </c>
      <c r="S736" s="3272">
        <v>33.549999999999997</v>
      </c>
      <c r="T736" s="3273">
        <v>335500</v>
      </c>
      <c r="U736" s="3267">
        <v>4943</v>
      </c>
      <c r="V736" s="3289">
        <v>0.2</v>
      </c>
      <c r="W736" s="3272">
        <v>26.84</v>
      </c>
      <c r="X736" s="3275">
        <v>268400</v>
      </c>
      <c r="Y736" s="3276">
        <v>2006</v>
      </c>
      <c r="Z736" s="3276">
        <v>10</v>
      </c>
      <c r="AA736" s="3276">
        <v>8</v>
      </c>
      <c r="AB736" s="3267">
        <v>1005</v>
      </c>
      <c r="AC736" s="3267" t="s">
        <v>2980</v>
      </c>
      <c r="AD736" s="3366">
        <v>91302006081119</v>
      </c>
      <c r="AE736" s="3279" t="s">
        <v>2991</v>
      </c>
      <c r="AF736" s="3268"/>
      <c r="AG736" s="3279" t="s">
        <v>2967</v>
      </c>
      <c r="AH736" s="3267"/>
      <c r="AI736" s="3279" t="s">
        <v>2992</v>
      </c>
      <c r="AJ736" s="3284"/>
      <c r="AK736" s="3278" t="s">
        <v>3148</v>
      </c>
      <c r="AL736" s="3276">
        <v>37</v>
      </c>
      <c r="AM736" s="3276" t="s">
        <v>8148</v>
      </c>
      <c r="AN736" s="3279" t="s">
        <v>3131</v>
      </c>
      <c r="AO736" s="3267"/>
      <c r="AP736" s="3279" t="s">
        <v>2991</v>
      </c>
      <c r="AQ736" s="3267" t="s">
        <v>3228</v>
      </c>
      <c r="AR736" s="3276">
        <v>2006</v>
      </c>
      <c r="AS736" s="3276">
        <v>10</v>
      </c>
      <c r="AT736" s="3276">
        <v>8</v>
      </c>
      <c r="AU736" s="3276"/>
      <c r="AV736" s="3276"/>
      <c r="AW736" s="3276" t="s">
        <v>2997</v>
      </c>
      <c r="AX736" s="3276"/>
      <c r="AY736" s="3291"/>
      <c r="AZ736" s="3267" t="s">
        <v>8149</v>
      </c>
      <c r="BA736" s="3296"/>
      <c r="BB736" s="3297"/>
      <c r="BC736" s="3296"/>
      <c r="BD736" s="3298"/>
      <c r="BE736" s="3276"/>
      <c r="BF736" s="3281"/>
      <c r="BG736" s="3293">
        <v>38946</v>
      </c>
      <c r="BH736" s="3267"/>
      <c r="BI736" s="3267" t="s">
        <v>2991</v>
      </c>
      <c r="BJ736" s="3299">
        <v>38950</v>
      </c>
      <c r="BK736" s="3283" t="s">
        <v>2968</v>
      </c>
      <c r="BL736" s="3267" t="s">
        <v>2998</v>
      </c>
      <c r="BM736" s="3276" t="s">
        <v>2879</v>
      </c>
      <c r="BN736" s="3276" t="s">
        <v>2999</v>
      </c>
      <c r="BO736" s="3276" t="s">
        <v>3146</v>
      </c>
      <c r="BP736" s="3276"/>
      <c r="BQ736" s="3276" t="e">
        <v>#DIV/0!</v>
      </c>
      <c r="BR736" s="3276" t="e">
        <v>#DIV/0!</v>
      </c>
      <c r="BS736" s="3285"/>
      <c r="BT736" s="3285"/>
      <c r="BU736" s="3285"/>
      <c r="BY736" s="3262" t="s">
        <v>3262</v>
      </c>
      <c r="BZ736" s="3262" t="s">
        <v>3262</v>
      </c>
      <c r="CA736" s="3262" t="s">
        <v>3262</v>
      </c>
      <c r="CB736" s="3262" t="s">
        <v>3262</v>
      </c>
      <c r="CC736" s="3262" t="s">
        <v>3262</v>
      </c>
      <c r="CD736" s="3262" t="s">
        <v>3262</v>
      </c>
      <c r="CE736" s="3262" t="s">
        <v>3262</v>
      </c>
      <c r="CF736" s="3262" t="s">
        <v>3262</v>
      </c>
      <c r="CG736" s="3262" t="s">
        <v>3262</v>
      </c>
      <c r="CH736" s="3262" t="s">
        <v>3262</v>
      </c>
      <c r="CI736" s="3262" t="s">
        <v>3262</v>
      </c>
      <c r="CJ736" s="3262" t="s">
        <v>3262</v>
      </c>
      <c r="CK736" s="3262" t="s">
        <v>3262</v>
      </c>
      <c r="CL736" s="3262" t="s">
        <v>3262</v>
      </c>
      <c r="CM736" s="3262" t="s">
        <v>3262</v>
      </c>
      <c r="CN736" s="3262" t="s">
        <v>3262</v>
      </c>
      <c r="CO736" s="3262" t="s">
        <v>3262</v>
      </c>
      <c r="CP736" s="3262" t="s">
        <v>3262</v>
      </c>
      <c r="CQ736" s="3262" t="s">
        <v>3262</v>
      </c>
      <c r="CR736" s="3262" t="s">
        <v>3262</v>
      </c>
      <c r="CS736" s="3262" t="s">
        <v>3262</v>
      </c>
      <c r="CT736" s="3262" t="s">
        <v>3262</v>
      </c>
      <c r="CU736" s="3262" t="s">
        <v>3262</v>
      </c>
      <c r="CV736" s="3262" t="s">
        <v>3262</v>
      </c>
      <c r="CW736" s="3262" t="s">
        <v>3262</v>
      </c>
      <c r="CX736" s="3262" t="s">
        <v>3262</v>
      </c>
      <c r="CY736" s="3262" t="s">
        <v>3262</v>
      </c>
      <c r="CZ736" s="3262" t="s">
        <v>3262</v>
      </c>
      <c r="DA736" s="3262" t="s">
        <v>3262</v>
      </c>
      <c r="DB736" s="3262" t="s">
        <v>3262</v>
      </c>
      <c r="DC736" s="3262" t="s">
        <v>3262</v>
      </c>
      <c r="DD736" s="3262" t="s">
        <v>3262</v>
      </c>
      <c r="DE736" s="3262" t="s">
        <v>3262</v>
      </c>
      <c r="DF736" s="3262" t="s">
        <v>3262</v>
      </c>
      <c r="DG736" s="3262" t="s">
        <v>3262</v>
      </c>
      <c r="DH736" s="3262" t="s">
        <v>3262</v>
      </c>
      <c r="DI736" s="3262" t="s">
        <v>3262</v>
      </c>
      <c r="DJ736" s="3262" t="s">
        <v>3262</v>
      </c>
      <c r="DK736" s="3262" t="s">
        <v>3262</v>
      </c>
      <c r="DL736" s="3262" t="s">
        <v>3262</v>
      </c>
      <c r="DM736" s="3262" t="s">
        <v>3262</v>
      </c>
      <c r="DN736" s="3262" t="s">
        <v>3262</v>
      </c>
      <c r="DO736" s="3262" t="s">
        <v>3262</v>
      </c>
      <c r="DP736" s="3262" t="s">
        <v>3262</v>
      </c>
      <c r="DQ736" s="3262" t="s">
        <v>3262</v>
      </c>
      <c r="DR736" s="3262" t="s">
        <v>3262</v>
      </c>
      <c r="DS736" s="3262" t="s">
        <v>3262</v>
      </c>
      <c r="DT736" s="3262" t="s">
        <v>3262</v>
      </c>
      <c r="DU736" s="3262" t="s">
        <v>3262</v>
      </c>
      <c r="DV736" s="3262" t="s">
        <v>3262</v>
      </c>
      <c r="DW736" s="3262" t="s">
        <v>3262</v>
      </c>
      <c r="DX736" s="3262" t="s">
        <v>3262</v>
      </c>
      <c r="DY736" s="3262" t="s">
        <v>3262</v>
      </c>
      <c r="DZ736" s="3262" t="s">
        <v>3262</v>
      </c>
      <c r="EA736" s="3262" t="s">
        <v>3262</v>
      </c>
      <c r="EB736" s="3262" t="s">
        <v>3262</v>
      </c>
      <c r="EC736" s="3262" t="s">
        <v>3262</v>
      </c>
      <c r="ED736" s="3262" t="s">
        <v>3262</v>
      </c>
      <c r="EE736" s="3262" t="s">
        <v>3262</v>
      </c>
      <c r="EF736" s="3262" t="s">
        <v>3262</v>
      </c>
      <c r="EG736" s="3262" t="s">
        <v>3262</v>
      </c>
      <c r="EH736" s="3262" t="s">
        <v>3262</v>
      </c>
      <c r="EI736" s="3262" t="s">
        <v>3262</v>
      </c>
      <c r="EJ736" s="3262" t="s">
        <v>3262</v>
      </c>
      <c r="EK736" s="3262" t="s">
        <v>3262</v>
      </c>
      <c r="EL736" s="3262" t="s">
        <v>3262</v>
      </c>
      <c r="EM736" s="3262" t="s">
        <v>3262</v>
      </c>
      <c r="EN736" s="3262" t="s">
        <v>3262</v>
      </c>
      <c r="EO736" s="3262" t="s">
        <v>3262</v>
      </c>
      <c r="EP736" s="3262" t="s">
        <v>3262</v>
      </c>
      <c r="EQ736" s="3262" t="s">
        <v>3262</v>
      </c>
      <c r="ER736" s="3262" t="s">
        <v>3262</v>
      </c>
      <c r="ES736" s="3262" t="s">
        <v>3262</v>
      </c>
      <c r="ET736" s="3262" t="s">
        <v>3262</v>
      </c>
      <c r="EU736" s="3262" t="s">
        <v>3262</v>
      </c>
      <c r="EV736" s="3262" t="s">
        <v>3262</v>
      </c>
      <c r="EW736" s="3262" t="s">
        <v>3262</v>
      </c>
      <c r="EX736" s="3262" t="s">
        <v>3262</v>
      </c>
      <c r="EY736" s="3262" t="s">
        <v>3262</v>
      </c>
      <c r="EZ736" s="3262" t="s">
        <v>3262</v>
      </c>
      <c r="FA736" s="3262" t="s">
        <v>3262</v>
      </c>
      <c r="FB736" s="3262" t="s">
        <v>3262</v>
      </c>
      <c r="FC736" s="3262" t="s">
        <v>3262</v>
      </c>
      <c r="FD736" s="3262" t="s">
        <v>3262</v>
      </c>
      <c r="FE736" s="3262" t="s">
        <v>3262</v>
      </c>
      <c r="FF736" s="3262" t="s">
        <v>3262</v>
      </c>
      <c r="FG736" s="3262" t="s">
        <v>3262</v>
      </c>
      <c r="FH736" s="3262" t="s">
        <v>3262</v>
      </c>
      <c r="FI736" s="3262" t="s">
        <v>3262</v>
      </c>
      <c r="FJ736" s="3262" t="s">
        <v>3262</v>
      </c>
      <c r="FK736" s="3262" t="s">
        <v>3262</v>
      </c>
      <c r="FL736" s="3262" t="s">
        <v>3262</v>
      </c>
      <c r="FM736" s="3262" t="s">
        <v>3262</v>
      </c>
      <c r="FN736" s="3262" t="s">
        <v>3262</v>
      </c>
      <c r="FO736" s="3262" t="s">
        <v>3262</v>
      </c>
      <c r="FP736" s="3262" t="s">
        <v>3262</v>
      </c>
      <c r="FQ736" s="3262" t="s">
        <v>3262</v>
      </c>
      <c r="FR736" s="3262" t="s">
        <v>3262</v>
      </c>
      <c r="FS736" s="3262" t="s">
        <v>3262</v>
      </c>
      <c r="FT736" s="3262" t="s">
        <v>3262</v>
      </c>
      <c r="FU736" s="3262" t="s">
        <v>3262</v>
      </c>
      <c r="FV736" s="3262" t="s">
        <v>3262</v>
      </c>
      <c r="FW736" s="3262" t="s">
        <v>3262</v>
      </c>
      <c r="FX736" s="3262" t="s">
        <v>3262</v>
      </c>
      <c r="FY736" s="3262" t="s">
        <v>3262</v>
      </c>
      <c r="FZ736" s="3262" t="s">
        <v>3262</v>
      </c>
      <c r="GA736" s="3262" t="s">
        <v>3262</v>
      </c>
      <c r="GB736" s="3262" t="s">
        <v>3262</v>
      </c>
      <c r="GC736" s="3262" t="s">
        <v>3262</v>
      </c>
      <c r="GD736" s="3262" t="s">
        <v>3262</v>
      </c>
      <c r="GE736" s="3262" t="s">
        <v>3262</v>
      </c>
      <c r="GF736" s="3262" t="s">
        <v>3262</v>
      </c>
      <c r="GG736" s="3262" t="s">
        <v>3262</v>
      </c>
      <c r="GH736" s="3262" t="s">
        <v>3262</v>
      </c>
      <c r="GI736" s="3262" t="s">
        <v>3262</v>
      </c>
      <c r="GJ736" s="3262" t="s">
        <v>3262</v>
      </c>
      <c r="GK736" s="3262" t="s">
        <v>3262</v>
      </c>
      <c r="GL736" s="3262" t="s">
        <v>3262</v>
      </c>
      <c r="GM736" s="3262" t="s">
        <v>3262</v>
      </c>
      <c r="GN736" s="3262" t="s">
        <v>3262</v>
      </c>
      <c r="GO736" s="3262" t="s">
        <v>3262</v>
      </c>
      <c r="GP736" s="3262" t="s">
        <v>3262</v>
      </c>
      <c r="GQ736" s="3262" t="s">
        <v>3262</v>
      </c>
      <c r="GR736" s="3262" t="s">
        <v>3262</v>
      </c>
      <c r="GS736" s="3262" t="s">
        <v>3262</v>
      </c>
      <c r="GT736" s="3262" t="s">
        <v>3262</v>
      </c>
      <c r="GU736" s="3262" t="s">
        <v>3262</v>
      </c>
      <c r="GV736" s="3262" t="s">
        <v>3262</v>
      </c>
      <c r="GW736" s="3262" t="s">
        <v>3262</v>
      </c>
      <c r="GX736" s="3262" t="s">
        <v>3262</v>
      </c>
      <c r="GY736" s="3262" t="s">
        <v>3262</v>
      </c>
      <c r="GZ736" s="3262" t="s">
        <v>3262</v>
      </c>
      <c r="HA736" s="3262" t="s">
        <v>3262</v>
      </c>
      <c r="HB736" s="3262" t="s">
        <v>3262</v>
      </c>
      <c r="HC736" s="3262" t="s">
        <v>3262</v>
      </c>
      <c r="HD736" s="3262" t="s">
        <v>3262</v>
      </c>
      <c r="HE736" s="3262" t="s">
        <v>3262</v>
      </c>
      <c r="HF736" s="3262" t="s">
        <v>3262</v>
      </c>
      <c r="HG736" s="3262" t="s">
        <v>3262</v>
      </c>
      <c r="HH736" s="3262" t="s">
        <v>3262</v>
      </c>
      <c r="HI736" s="3262" t="s">
        <v>3262</v>
      </c>
      <c r="HJ736" s="3262" t="s">
        <v>3262</v>
      </c>
      <c r="HK736" s="3262" t="s">
        <v>3262</v>
      </c>
      <c r="HL736" s="3262" t="s">
        <v>3262</v>
      </c>
      <c r="HM736" s="3262" t="s">
        <v>3262</v>
      </c>
      <c r="HN736" s="3262" t="s">
        <v>3262</v>
      </c>
      <c r="HO736" s="3262" t="s">
        <v>3262</v>
      </c>
      <c r="HP736" s="3262" t="s">
        <v>3262</v>
      </c>
      <c r="HQ736" s="3262" t="s">
        <v>3262</v>
      </c>
      <c r="HR736" s="3262" t="s">
        <v>3262</v>
      </c>
      <c r="HS736" s="3262" t="s">
        <v>3262</v>
      </c>
      <c r="HT736" s="3262" t="s">
        <v>3262</v>
      </c>
      <c r="HU736" s="3262" t="s">
        <v>3262</v>
      </c>
      <c r="HV736" s="3262" t="s">
        <v>3262</v>
      </c>
      <c r="HW736" s="3262" t="s">
        <v>3262</v>
      </c>
      <c r="HX736" s="3262" t="s">
        <v>3262</v>
      </c>
      <c r="HY736" s="3262" t="s">
        <v>3262</v>
      </c>
      <c r="HZ736" s="3262" t="s">
        <v>3262</v>
      </c>
      <c r="IA736" s="3262" t="s">
        <v>3262</v>
      </c>
      <c r="IB736" s="3262" t="s">
        <v>3262</v>
      </c>
      <c r="IC736" s="3262" t="s">
        <v>3262</v>
      </c>
      <c r="ID736" s="3262" t="s">
        <v>3262</v>
      </c>
      <c r="IE736" s="3262" t="s">
        <v>3262</v>
      </c>
      <c r="IF736" s="3262" t="s">
        <v>3262</v>
      </c>
      <c r="IG736" s="3262" t="s">
        <v>3262</v>
      </c>
      <c r="IH736" s="3262" t="s">
        <v>3262</v>
      </c>
      <c r="II736" s="3262" t="s">
        <v>3262</v>
      </c>
      <c r="IJ736" s="3262" t="s">
        <v>3262</v>
      </c>
      <c r="IK736" s="3262" t="s">
        <v>3262</v>
      </c>
      <c r="IL736" s="3262" t="s">
        <v>3262</v>
      </c>
      <c r="IM736" s="3262" t="s">
        <v>3262</v>
      </c>
      <c r="IN736" s="3262" t="s">
        <v>3262</v>
      </c>
      <c r="IO736" s="3262" t="s">
        <v>3262</v>
      </c>
    </row>
    <row r="737" spans="1:16384" hidden="1">
      <c r="A737" s="3267" t="s">
        <v>8150</v>
      </c>
      <c r="B737" s="3268" t="s">
        <v>8151</v>
      </c>
      <c r="C737" s="3269" t="s">
        <v>8152</v>
      </c>
      <c r="D737" s="3268">
        <v>13820572324</v>
      </c>
      <c r="E737" s="3268" t="s">
        <v>2985</v>
      </c>
      <c r="F737" s="3268" t="s">
        <v>3224</v>
      </c>
      <c r="G737" s="3268"/>
      <c r="H737" s="3268" t="s">
        <v>3178</v>
      </c>
      <c r="I737" s="3268"/>
      <c r="J737" s="3268" t="s">
        <v>8153</v>
      </c>
      <c r="K737" s="3268" t="s">
        <v>8154</v>
      </c>
      <c r="L737" s="3270">
        <v>122.45</v>
      </c>
      <c r="M737" s="3270">
        <v>8</v>
      </c>
      <c r="N737" s="3267" t="s">
        <v>3303</v>
      </c>
      <c r="O737" s="3270">
        <v>101.2</v>
      </c>
      <c r="P737" s="3268" t="s">
        <v>2963</v>
      </c>
      <c r="Q737" s="3271">
        <v>500000</v>
      </c>
      <c r="R737" s="3267">
        <v>4083</v>
      </c>
      <c r="S737" s="3272">
        <v>56.32</v>
      </c>
      <c r="T737" s="3273">
        <v>563200</v>
      </c>
      <c r="U737" s="3267">
        <v>4600</v>
      </c>
      <c r="V737" s="3274">
        <v>0.3</v>
      </c>
      <c r="W737" s="3272">
        <v>39.42</v>
      </c>
      <c r="X737" s="3275">
        <v>394200</v>
      </c>
      <c r="Y737" s="3276">
        <v>2006</v>
      </c>
      <c r="Z737" s="3267">
        <v>8</v>
      </c>
      <c r="AA737" s="3276">
        <v>29</v>
      </c>
      <c r="AB737" s="3267">
        <v>1500</v>
      </c>
      <c r="AC737" s="3267" t="s">
        <v>2980</v>
      </c>
      <c r="AD737" s="3280" t="s">
        <v>8155</v>
      </c>
      <c r="AE737" s="3268" t="s">
        <v>3180</v>
      </c>
      <c r="AF737" s="3268" t="s">
        <v>2966</v>
      </c>
      <c r="AG737" s="3268" t="s">
        <v>2967</v>
      </c>
      <c r="AH737" s="3268"/>
      <c r="AI737" s="3267" t="s">
        <v>2992</v>
      </c>
      <c r="AJ737" s="3290"/>
      <c r="AK737" s="3278" t="s">
        <v>4256</v>
      </c>
      <c r="AL737" s="3276">
        <v>54</v>
      </c>
      <c r="AM737" s="3276"/>
      <c r="AN737" s="3279" t="s">
        <v>3099</v>
      </c>
      <c r="AO737" s="3276"/>
      <c r="AP737" s="3276" t="s">
        <v>3180</v>
      </c>
      <c r="AQ737" s="3267" t="s">
        <v>3228</v>
      </c>
      <c r="AR737" s="3267">
        <v>2006</v>
      </c>
      <c r="AS737" s="3267">
        <v>8</v>
      </c>
      <c r="AT737" s="3267">
        <v>23</v>
      </c>
      <c r="AU737" s="3267"/>
      <c r="AV737" s="3277"/>
      <c r="AW737" s="3268" t="s">
        <v>3171</v>
      </c>
      <c r="AX737" s="3268"/>
      <c r="AY737" s="3268"/>
      <c r="AZ737" s="3268" t="s">
        <v>8154</v>
      </c>
      <c r="BA737" s="3268"/>
      <c r="BB737" s="3280"/>
      <c r="BC737" s="3268"/>
      <c r="BD737" s="3268"/>
      <c r="BE737" s="3268"/>
      <c r="BF737" s="3281"/>
      <c r="BG737" s="3290">
        <v>38947</v>
      </c>
      <c r="BH737" s="3268"/>
      <c r="BI737" s="3279" t="s">
        <v>3180</v>
      </c>
      <c r="BJ737" s="3283">
        <v>38950</v>
      </c>
      <c r="BK737" s="3284"/>
      <c r="BL737" s="3267" t="s">
        <v>2998</v>
      </c>
      <c r="BM737" s="3267" t="s">
        <v>3128</v>
      </c>
      <c r="BN737" s="3267" t="s">
        <v>8156</v>
      </c>
      <c r="BO737" s="3267" t="s">
        <v>3146</v>
      </c>
      <c r="BP737" s="3276"/>
      <c r="BQ737" s="3276">
        <v>5566</v>
      </c>
      <c r="BR737" s="3276">
        <v>4941</v>
      </c>
      <c r="BS737" s="3285"/>
      <c r="BT737" s="3285"/>
      <c r="BU737" s="3285"/>
    </row>
    <row r="738" spans="1:16384" hidden="1">
      <c r="A738" s="3267" t="s">
        <v>8157</v>
      </c>
      <c r="B738" s="3267" t="s">
        <v>8158</v>
      </c>
      <c r="C738" s="3269" t="s">
        <v>8159</v>
      </c>
      <c r="D738" s="3268">
        <v>13810712241</v>
      </c>
      <c r="E738" s="3267" t="s">
        <v>2985</v>
      </c>
      <c r="F738" s="3267" t="s">
        <v>4675</v>
      </c>
      <c r="G738" s="3267"/>
      <c r="H738" s="3267" t="s">
        <v>3225</v>
      </c>
      <c r="I738" s="3267"/>
      <c r="J738" s="3267" t="s">
        <v>5264</v>
      </c>
      <c r="K738" s="3267" t="s">
        <v>8160</v>
      </c>
      <c r="L738" s="3267">
        <v>99.94</v>
      </c>
      <c r="M738" s="3267">
        <v>10</v>
      </c>
      <c r="N738" s="3267" t="s">
        <v>3098</v>
      </c>
      <c r="O738" s="3267"/>
      <c r="P738" s="3267" t="s">
        <v>2963</v>
      </c>
      <c r="Q738" s="3271">
        <v>572000</v>
      </c>
      <c r="R738" s="3271">
        <v>5723</v>
      </c>
      <c r="S738" s="3272">
        <v>61.27</v>
      </c>
      <c r="T738" s="3273">
        <v>612700</v>
      </c>
      <c r="U738" s="3267">
        <v>6131</v>
      </c>
      <c r="V738" s="3289">
        <v>0.3</v>
      </c>
      <c r="W738" s="3272">
        <v>42.88</v>
      </c>
      <c r="X738" s="3273">
        <v>428800</v>
      </c>
      <c r="Y738" s="3276">
        <v>2006</v>
      </c>
      <c r="Z738" s="3276">
        <v>9</v>
      </c>
      <c r="AA738" s="3267">
        <v>5</v>
      </c>
      <c r="AB738" s="3267">
        <v>1500</v>
      </c>
      <c r="AC738" s="3267" t="s">
        <v>2980</v>
      </c>
      <c r="AD738" s="3269" t="s">
        <v>8161</v>
      </c>
      <c r="AE738" s="3276" t="s">
        <v>3304</v>
      </c>
      <c r="AF738" s="3267" t="s">
        <v>2966</v>
      </c>
      <c r="AG738" s="3279" t="s">
        <v>2967</v>
      </c>
      <c r="AH738" s="3267"/>
      <c r="AI738" s="3267" t="s">
        <v>2992</v>
      </c>
      <c r="AJ738" s="3284"/>
      <c r="AK738" s="3278">
        <v>9</v>
      </c>
      <c r="AL738" s="3276">
        <v>57</v>
      </c>
      <c r="AM738" s="3267" t="s">
        <v>8162</v>
      </c>
      <c r="AN738" s="3267" t="s">
        <v>3131</v>
      </c>
      <c r="AO738" s="3267"/>
      <c r="AP738" s="3279" t="s">
        <v>3069</v>
      </c>
      <c r="AQ738" s="3267" t="s">
        <v>3228</v>
      </c>
      <c r="AR738" s="3267">
        <v>2006</v>
      </c>
      <c r="AS738" s="3267">
        <v>9</v>
      </c>
      <c r="AT738" s="3267">
        <v>5</v>
      </c>
      <c r="AU738" s="3267"/>
      <c r="AV738" s="3267"/>
      <c r="AW738" s="3267" t="s">
        <v>3171</v>
      </c>
      <c r="AX738" s="3267"/>
      <c r="AY738" s="3269"/>
      <c r="AZ738" s="3267" t="s">
        <v>8160</v>
      </c>
      <c r="BA738" s="3267"/>
      <c r="BB738" s="3269"/>
      <c r="BC738" s="3267"/>
      <c r="BD738" s="3304"/>
      <c r="BE738" s="3267"/>
      <c r="BF738" s="3305"/>
      <c r="BG738" s="3284">
        <v>38944</v>
      </c>
      <c r="BH738" s="3267"/>
      <c r="BI738" s="3314" t="s">
        <v>3069</v>
      </c>
      <c r="BJ738" s="3284">
        <v>38951</v>
      </c>
      <c r="BK738" s="3303"/>
      <c r="BL738" s="3267" t="s">
        <v>2998</v>
      </c>
      <c r="BM738" s="3276" t="s">
        <v>2879</v>
      </c>
      <c r="BN738" s="3276" t="s">
        <v>2999</v>
      </c>
      <c r="BO738" s="3276" t="s">
        <v>3146</v>
      </c>
      <c r="BP738" s="3276"/>
      <c r="BQ738" s="3276"/>
      <c r="BR738" s="3276"/>
      <c r="BS738" s="3285"/>
      <c r="BT738" s="3285"/>
      <c r="BU738" s="3285"/>
    </row>
    <row r="739" spans="1:16384" hidden="1">
      <c r="A739" s="3267" t="s">
        <v>8163</v>
      </c>
      <c r="B739" s="3267" t="s">
        <v>8164</v>
      </c>
      <c r="C739" s="3269" t="s">
        <v>8165</v>
      </c>
      <c r="D739" s="3269" t="s">
        <v>8166</v>
      </c>
      <c r="E739" s="3267" t="s">
        <v>2985</v>
      </c>
      <c r="F739" s="3269" t="s">
        <v>8167</v>
      </c>
      <c r="G739" s="3267"/>
      <c r="H739" s="3267"/>
      <c r="I739" s="3268"/>
      <c r="J739" s="3268"/>
      <c r="K739" s="3267" t="s">
        <v>8164</v>
      </c>
      <c r="L739" s="3267">
        <v>68.790000000000006</v>
      </c>
      <c r="M739" s="3267">
        <v>6</v>
      </c>
      <c r="N739" s="3267" t="s">
        <v>3122</v>
      </c>
      <c r="O739" s="3267"/>
      <c r="P739" s="3267" t="s">
        <v>2963</v>
      </c>
      <c r="Q739" s="3271">
        <v>620000</v>
      </c>
      <c r="R739" s="3267">
        <v>9013</v>
      </c>
      <c r="S739" s="3272">
        <v>51.64</v>
      </c>
      <c r="T739" s="3273">
        <v>516400</v>
      </c>
      <c r="U739" s="3267">
        <v>7508</v>
      </c>
      <c r="V739" s="3289">
        <v>0.2</v>
      </c>
      <c r="W739" s="3272">
        <v>41.31</v>
      </c>
      <c r="X739" s="3275">
        <v>413100</v>
      </c>
      <c r="Y739" s="3276">
        <v>2006</v>
      </c>
      <c r="Z739" s="3276">
        <v>9</v>
      </c>
      <c r="AA739" s="3276">
        <v>12</v>
      </c>
      <c r="AB739" s="3267">
        <v>1500</v>
      </c>
      <c r="AC739" s="3267" t="s">
        <v>2980</v>
      </c>
      <c r="AD739" s="3366">
        <v>91302006081199</v>
      </c>
      <c r="AE739" s="3279" t="s">
        <v>2991</v>
      </c>
      <c r="AF739" s="3268"/>
      <c r="AG739" s="3279" t="s">
        <v>2967</v>
      </c>
      <c r="AH739" s="3267"/>
      <c r="AI739" s="3279" t="s">
        <v>2992</v>
      </c>
      <c r="AJ739" s="3284"/>
      <c r="AK739" s="3278">
        <v>9</v>
      </c>
      <c r="AL739" s="3276">
        <v>58</v>
      </c>
      <c r="AM739" s="3276" t="s">
        <v>8168</v>
      </c>
      <c r="AN739" s="3279" t="s">
        <v>3114</v>
      </c>
      <c r="AO739" s="3267"/>
      <c r="AP739" s="3279" t="s">
        <v>2991</v>
      </c>
      <c r="AQ739" s="3267" t="s">
        <v>3228</v>
      </c>
      <c r="AR739" s="3276">
        <v>2006</v>
      </c>
      <c r="AS739" s="3276">
        <v>9</v>
      </c>
      <c r="AT739" s="3276">
        <v>12</v>
      </c>
      <c r="AU739" s="3276"/>
      <c r="AV739" s="3276"/>
      <c r="AW739" s="3276" t="s">
        <v>2997</v>
      </c>
      <c r="AX739" s="3276"/>
      <c r="AY739" s="3291"/>
      <c r="AZ739" s="3267" t="s">
        <v>8169</v>
      </c>
      <c r="BA739" s="3296"/>
      <c r="BB739" s="3297"/>
      <c r="BC739" s="3296"/>
      <c r="BD739" s="3298"/>
      <c r="BE739" s="3276"/>
      <c r="BF739" s="3281"/>
      <c r="BG739" s="3293">
        <v>38951</v>
      </c>
      <c r="BH739" s="3267"/>
      <c r="BI739" s="3267" t="s">
        <v>2991</v>
      </c>
      <c r="BJ739" s="3299">
        <v>38951</v>
      </c>
      <c r="BK739" s="3283" t="s">
        <v>2968</v>
      </c>
      <c r="BL739" s="3267" t="s">
        <v>2998</v>
      </c>
      <c r="BM739" s="3276" t="s">
        <v>2879</v>
      </c>
      <c r="BN739" s="3276" t="s">
        <v>2999</v>
      </c>
      <c r="BO739" s="3276" t="s">
        <v>3146</v>
      </c>
      <c r="BP739" s="3276"/>
      <c r="BQ739" s="3276" t="e">
        <v>#DIV/0!</v>
      </c>
      <c r="BR739" s="3276" t="e">
        <v>#DIV/0!</v>
      </c>
      <c r="BS739" s="3285"/>
      <c r="BT739" s="3285"/>
      <c r="BU739" s="3285"/>
      <c r="BY739" s="3262" t="s">
        <v>3262</v>
      </c>
      <c r="BZ739" s="3262" t="s">
        <v>3262</v>
      </c>
      <c r="CA739" s="3262" t="s">
        <v>3262</v>
      </c>
      <c r="CB739" s="3262" t="s">
        <v>3262</v>
      </c>
      <c r="CC739" s="3262" t="s">
        <v>3262</v>
      </c>
      <c r="CD739" s="3262" t="s">
        <v>3262</v>
      </c>
      <c r="CE739" s="3262" t="s">
        <v>3262</v>
      </c>
      <c r="CF739" s="3262" t="s">
        <v>3262</v>
      </c>
      <c r="CG739" s="3262" t="s">
        <v>3262</v>
      </c>
      <c r="CH739" s="3262" t="s">
        <v>3262</v>
      </c>
      <c r="CI739" s="3262" t="s">
        <v>3262</v>
      </c>
      <c r="CJ739" s="3262" t="s">
        <v>3262</v>
      </c>
      <c r="CK739" s="3262" t="s">
        <v>3262</v>
      </c>
      <c r="CL739" s="3262" t="s">
        <v>3262</v>
      </c>
      <c r="CM739" s="3262" t="s">
        <v>3262</v>
      </c>
      <c r="CN739" s="3262" t="s">
        <v>3262</v>
      </c>
      <c r="CO739" s="3262" t="s">
        <v>3262</v>
      </c>
      <c r="CP739" s="3262" t="s">
        <v>3262</v>
      </c>
      <c r="CQ739" s="3262" t="s">
        <v>3262</v>
      </c>
      <c r="CR739" s="3262" t="s">
        <v>3262</v>
      </c>
      <c r="CS739" s="3262" t="s">
        <v>3262</v>
      </c>
      <c r="CT739" s="3262" t="s">
        <v>3262</v>
      </c>
      <c r="CU739" s="3262" t="s">
        <v>3262</v>
      </c>
      <c r="CV739" s="3262" t="s">
        <v>3262</v>
      </c>
      <c r="CW739" s="3262" t="s">
        <v>3262</v>
      </c>
      <c r="CX739" s="3262" t="s">
        <v>3262</v>
      </c>
      <c r="CY739" s="3262" t="s">
        <v>3262</v>
      </c>
      <c r="CZ739" s="3262" t="s">
        <v>3262</v>
      </c>
      <c r="DA739" s="3262" t="s">
        <v>3262</v>
      </c>
      <c r="DB739" s="3262" t="s">
        <v>3262</v>
      </c>
      <c r="DC739" s="3262" t="s">
        <v>3262</v>
      </c>
      <c r="DD739" s="3262" t="s">
        <v>3262</v>
      </c>
      <c r="DE739" s="3262" t="s">
        <v>3262</v>
      </c>
      <c r="DF739" s="3262" t="s">
        <v>3262</v>
      </c>
      <c r="DG739" s="3262" t="s">
        <v>3262</v>
      </c>
      <c r="DH739" s="3262" t="s">
        <v>3262</v>
      </c>
      <c r="DI739" s="3262" t="s">
        <v>3262</v>
      </c>
      <c r="DJ739" s="3262" t="s">
        <v>3262</v>
      </c>
      <c r="DK739" s="3262" t="s">
        <v>3262</v>
      </c>
      <c r="DL739" s="3262" t="s">
        <v>3262</v>
      </c>
      <c r="DM739" s="3262" t="s">
        <v>3262</v>
      </c>
      <c r="DN739" s="3262" t="s">
        <v>3262</v>
      </c>
      <c r="DO739" s="3262" t="s">
        <v>3262</v>
      </c>
      <c r="DP739" s="3262" t="s">
        <v>3262</v>
      </c>
      <c r="DQ739" s="3262" t="s">
        <v>3262</v>
      </c>
      <c r="DR739" s="3262" t="s">
        <v>3262</v>
      </c>
      <c r="DS739" s="3262" t="s">
        <v>3262</v>
      </c>
      <c r="DT739" s="3262" t="s">
        <v>3262</v>
      </c>
      <c r="DU739" s="3262" t="s">
        <v>3262</v>
      </c>
      <c r="DV739" s="3262" t="s">
        <v>3262</v>
      </c>
      <c r="DW739" s="3262" t="s">
        <v>3262</v>
      </c>
      <c r="DX739" s="3262" t="s">
        <v>3262</v>
      </c>
      <c r="DY739" s="3262" t="s">
        <v>3262</v>
      </c>
      <c r="DZ739" s="3262" t="s">
        <v>3262</v>
      </c>
      <c r="EA739" s="3262" t="s">
        <v>3262</v>
      </c>
      <c r="EB739" s="3262" t="s">
        <v>3262</v>
      </c>
      <c r="EC739" s="3262" t="s">
        <v>3262</v>
      </c>
      <c r="ED739" s="3262" t="s">
        <v>3262</v>
      </c>
      <c r="EE739" s="3262" t="s">
        <v>3262</v>
      </c>
      <c r="EF739" s="3262" t="s">
        <v>3262</v>
      </c>
      <c r="EG739" s="3262" t="s">
        <v>3262</v>
      </c>
      <c r="EH739" s="3262" t="s">
        <v>3262</v>
      </c>
      <c r="EI739" s="3262" t="s">
        <v>3262</v>
      </c>
      <c r="EJ739" s="3262" t="s">
        <v>3262</v>
      </c>
      <c r="EK739" s="3262" t="s">
        <v>3262</v>
      </c>
      <c r="EL739" s="3262" t="s">
        <v>3262</v>
      </c>
      <c r="EM739" s="3262" t="s">
        <v>3262</v>
      </c>
      <c r="EN739" s="3262" t="s">
        <v>3262</v>
      </c>
      <c r="EO739" s="3262" t="s">
        <v>3262</v>
      </c>
      <c r="EP739" s="3262" t="s">
        <v>3262</v>
      </c>
      <c r="EQ739" s="3262" t="s">
        <v>3262</v>
      </c>
      <c r="ER739" s="3262" t="s">
        <v>3262</v>
      </c>
      <c r="ES739" s="3262" t="s">
        <v>3262</v>
      </c>
      <c r="ET739" s="3262" t="s">
        <v>3262</v>
      </c>
      <c r="EU739" s="3262" t="s">
        <v>3262</v>
      </c>
      <c r="EV739" s="3262" t="s">
        <v>3262</v>
      </c>
      <c r="EW739" s="3262" t="s">
        <v>3262</v>
      </c>
      <c r="EX739" s="3262" t="s">
        <v>3262</v>
      </c>
      <c r="EY739" s="3262" t="s">
        <v>3262</v>
      </c>
      <c r="EZ739" s="3262" t="s">
        <v>3262</v>
      </c>
      <c r="FA739" s="3262" t="s">
        <v>3262</v>
      </c>
      <c r="FB739" s="3262" t="s">
        <v>3262</v>
      </c>
      <c r="FC739" s="3262" t="s">
        <v>3262</v>
      </c>
      <c r="FD739" s="3262" t="s">
        <v>3262</v>
      </c>
      <c r="FE739" s="3262" t="s">
        <v>3262</v>
      </c>
      <c r="FF739" s="3262" t="s">
        <v>3262</v>
      </c>
      <c r="FG739" s="3262" t="s">
        <v>3262</v>
      </c>
      <c r="FH739" s="3262" t="s">
        <v>3262</v>
      </c>
      <c r="FI739" s="3262" t="s">
        <v>3262</v>
      </c>
      <c r="FJ739" s="3262" t="s">
        <v>3262</v>
      </c>
      <c r="FK739" s="3262" t="s">
        <v>3262</v>
      </c>
      <c r="FL739" s="3262" t="s">
        <v>3262</v>
      </c>
      <c r="FM739" s="3262" t="s">
        <v>3262</v>
      </c>
      <c r="FN739" s="3262" t="s">
        <v>3262</v>
      </c>
      <c r="FO739" s="3262" t="s">
        <v>3262</v>
      </c>
      <c r="FP739" s="3262" t="s">
        <v>3262</v>
      </c>
      <c r="FQ739" s="3262" t="s">
        <v>3262</v>
      </c>
      <c r="FR739" s="3262" t="s">
        <v>3262</v>
      </c>
      <c r="FS739" s="3262" t="s">
        <v>3262</v>
      </c>
      <c r="FT739" s="3262" t="s">
        <v>3262</v>
      </c>
      <c r="FU739" s="3262" t="s">
        <v>3262</v>
      </c>
      <c r="FV739" s="3262" t="s">
        <v>3262</v>
      </c>
      <c r="FW739" s="3262" t="s">
        <v>3262</v>
      </c>
      <c r="FX739" s="3262" t="s">
        <v>3262</v>
      </c>
      <c r="FY739" s="3262" t="s">
        <v>3262</v>
      </c>
      <c r="FZ739" s="3262" t="s">
        <v>3262</v>
      </c>
      <c r="GA739" s="3262" t="s">
        <v>3262</v>
      </c>
      <c r="GB739" s="3262" t="s">
        <v>3262</v>
      </c>
      <c r="GC739" s="3262" t="s">
        <v>3262</v>
      </c>
      <c r="GD739" s="3262" t="s">
        <v>3262</v>
      </c>
      <c r="GE739" s="3262" t="s">
        <v>3262</v>
      </c>
      <c r="GF739" s="3262" t="s">
        <v>3262</v>
      </c>
      <c r="GG739" s="3262" t="s">
        <v>3262</v>
      </c>
      <c r="GH739" s="3262" t="s">
        <v>3262</v>
      </c>
      <c r="GI739" s="3262" t="s">
        <v>3262</v>
      </c>
      <c r="GJ739" s="3262" t="s">
        <v>3262</v>
      </c>
      <c r="GK739" s="3262" t="s">
        <v>3262</v>
      </c>
      <c r="GL739" s="3262" t="s">
        <v>3262</v>
      </c>
      <c r="GM739" s="3262" t="s">
        <v>3262</v>
      </c>
      <c r="GN739" s="3262" t="s">
        <v>3262</v>
      </c>
      <c r="GO739" s="3262" t="s">
        <v>3262</v>
      </c>
      <c r="GP739" s="3262" t="s">
        <v>3262</v>
      </c>
      <c r="GQ739" s="3262" t="s">
        <v>3262</v>
      </c>
      <c r="GR739" s="3262" t="s">
        <v>3262</v>
      </c>
      <c r="GS739" s="3262" t="s">
        <v>3262</v>
      </c>
      <c r="GT739" s="3262" t="s">
        <v>3262</v>
      </c>
      <c r="GU739" s="3262" t="s">
        <v>3262</v>
      </c>
      <c r="GV739" s="3262" t="s">
        <v>3262</v>
      </c>
      <c r="GW739" s="3262" t="s">
        <v>3262</v>
      </c>
      <c r="GX739" s="3262" t="s">
        <v>3262</v>
      </c>
      <c r="GY739" s="3262" t="s">
        <v>3262</v>
      </c>
      <c r="GZ739" s="3262" t="s">
        <v>3262</v>
      </c>
      <c r="HA739" s="3262" t="s">
        <v>3262</v>
      </c>
      <c r="HB739" s="3262" t="s">
        <v>3262</v>
      </c>
      <c r="HC739" s="3262" t="s">
        <v>3262</v>
      </c>
      <c r="HD739" s="3262" t="s">
        <v>3262</v>
      </c>
      <c r="HE739" s="3262" t="s">
        <v>3262</v>
      </c>
      <c r="HF739" s="3262" t="s">
        <v>3262</v>
      </c>
      <c r="HG739" s="3262" t="s">
        <v>3262</v>
      </c>
      <c r="HH739" s="3262" t="s">
        <v>3262</v>
      </c>
      <c r="HI739" s="3262" t="s">
        <v>3262</v>
      </c>
      <c r="HJ739" s="3262" t="s">
        <v>3262</v>
      </c>
      <c r="HK739" s="3262" t="s">
        <v>3262</v>
      </c>
      <c r="HL739" s="3262" t="s">
        <v>3262</v>
      </c>
      <c r="HM739" s="3262" t="s">
        <v>3262</v>
      </c>
      <c r="HN739" s="3262" t="s">
        <v>3262</v>
      </c>
      <c r="HO739" s="3262" t="s">
        <v>3262</v>
      </c>
      <c r="HP739" s="3262" t="s">
        <v>3262</v>
      </c>
      <c r="HQ739" s="3262" t="s">
        <v>3262</v>
      </c>
      <c r="HR739" s="3262" t="s">
        <v>3262</v>
      </c>
      <c r="HS739" s="3262" t="s">
        <v>3262</v>
      </c>
      <c r="HT739" s="3262" t="s">
        <v>3262</v>
      </c>
      <c r="HU739" s="3262" t="s">
        <v>3262</v>
      </c>
      <c r="HV739" s="3262" t="s">
        <v>3262</v>
      </c>
      <c r="HW739" s="3262" t="s">
        <v>3262</v>
      </c>
      <c r="HX739" s="3262" t="s">
        <v>3262</v>
      </c>
      <c r="HY739" s="3262" t="s">
        <v>3262</v>
      </c>
      <c r="HZ739" s="3262" t="s">
        <v>3262</v>
      </c>
      <c r="IA739" s="3262" t="s">
        <v>3262</v>
      </c>
      <c r="IB739" s="3262" t="s">
        <v>3262</v>
      </c>
      <c r="IC739" s="3262" t="s">
        <v>3262</v>
      </c>
      <c r="ID739" s="3262" t="s">
        <v>3262</v>
      </c>
      <c r="IE739" s="3262" t="s">
        <v>3262</v>
      </c>
      <c r="IF739" s="3262" t="s">
        <v>3262</v>
      </c>
      <c r="IG739" s="3262" t="s">
        <v>3262</v>
      </c>
      <c r="IH739" s="3262" t="s">
        <v>3262</v>
      </c>
      <c r="II739" s="3262" t="s">
        <v>3262</v>
      </c>
      <c r="IJ739" s="3262" t="s">
        <v>3262</v>
      </c>
      <c r="IK739" s="3262" t="s">
        <v>3262</v>
      </c>
      <c r="IL739" s="3262" t="s">
        <v>3262</v>
      </c>
      <c r="IM739" s="3262" t="s">
        <v>3262</v>
      </c>
      <c r="IN739" s="3262" t="s">
        <v>3262</v>
      </c>
      <c r="IO739" s="3262" t="s">
        <v>3262</v>
      </c>
    </row>
    <row r="740" spans="1:16384" hidden="1">
      <c r="A740" s="3267" t="s">
        <v>8170</v>
      </c>
      <c r="B740" s="3267" t="s">
        <v>8171</v>
      </c>
      <c r="C740" s="3269" t="s">
        <v>8172</v>
      </c>
      <c r="D740" s="3269" t="s">
        <v>8173</v>
      </c>
      <c r="E740" s="3268" t="s">
        <v>2985</v>
      </c>
      <c r="F740" s="3268" t="s">
        <v>4100</v>
      </c>
      <c r="G740" s="3267"/>
      <c r="H740" s="3267" t="s">
        <v>3194</v>
      </c>
      <c r="I740" s="3268"/>
      <c r="J740" s="3267" t="s">
        <v>4710</v>
      </c>
      <c r="K740" s="3267" t="s">
        <v>8171</v>
      </c>
      <c r="L740" s="3267">
        <v>77.09</v>
      </c>
      <c r="M740" s="3267">
        <v>11</v>
      </c>
      <c r="N740" s="3267" t="s">
        <v>3122</v>
      </c>
      <c r="O740" s="3267">
        <v>64.02</v>
      </c>
      <c r="P740" s="3267" t="s">
        <v>2963</v>
      </c>
      <c r="Q740" s="3271">
        <v>350000</v>
      </c>
      <c r="R740" s="3288">
        <v>4540</v>
      </c>
      <c r="S740" s="3272">
        <v>39.1</v>
      </c>
      <c r="T740" s="3273">
        <v>391000</v>
      </c>
      <c r="U740" s="3267">
        <v>5072</v>
      </c>
      <c r="V740" s="3289">
        <v>0.2</v>
      </c>
      <c r="W740" s="3272">
        <v>31.28</v>
      </c>
      <c r="X740" s="3273">
        <v>312800</v>
      </c>
      <c r="Y740" s="3267">
        <v>2006</v>
      </c>
      <c r="Z740" s="3267">
        <v>9</v>
      </c>
      <c r="AA740" s="3276">
        <v>14</v>
      </c>
      <c r="AB740" s="3267">
        <v>1170</v>
      </c>
      <c r="AC740" s="3267" t="s">
        <v>2980</v>
      </c>
      <c r="AD740" s="3269" t="s">
        <v>8174</v>
      </c>
      <c r="AE740" s="3279" t="s">
        <v>3344</v>
      </c>
      <c r="AF740" s="3268" t="s">
        <v>2966</v>
      </c>
      <c r="AG740" s="3279" t="s">
        <v>2967</v>
      </c>
      <c r="AH740" s="3267"/>
      <c r="AI740" s="3279" t="s">
        <v>2992</v>
      </c>
      <c r="AJ740" s="3284"/>
      <c r="AK740" s="3278">
        <v>9</v>
      </c>
      <c r="AL740" s="3276">
        <v>55</v>
      </c>
      <c r="AM740" s="3276" t="s">
        <v>8175</v>
      </c>
      <c r="AN740" s="3279" t="s">
        <v>3114</v>
      </c>
      <c r="AO740" s="3267"/>
      <c r="AP740" s="3267" t="s">
        <v>3537</v>
      </c>
      <c r="AQ740" s="3267" t="s">
        <v>3228</v>
      </c>
      <c r="AR740" s="3276"/>
      <c r="AS740" s="3276"/>
      <c r="AT740" s="3276"/>
      <c r="AU740" s="3276"/>
      <c r="AV740" s="3276"/>
      <c r="AW740" s="3276" t="s">
        <v>3119</v>
      </c>
      <c r="AX740" s="3276"/>
      <c r="AY740" s="3291"/>
      <c r="AZ740" s="3267" t="s">
        <v>3193</v>
      </c>
      <c r="BA740" s="3296"/>
      <c r="BB740" s="3297"/>
      <c r="BC740" s="3296"/>
      <c r="BD740" s="3298"/>
      <c r="BE740" s="3276"/>
      <c r="BF740" s="3281"/>
      <c r="BG740" s="3293">
        <v>38951</v>
      </c>
      <c r="BH740" s="3354" t="s">
        <v>2998</v>
      </c>
      <c r="BI740" s="3267" t="s">
        <v>3537</v>
      </c>
      <c r="BJ740" s="3283">
        <v>38951</v>
      </c>
      <c r="BK740" s="3283"/>
      <c r="BL740" s="3267" t="s">
        <v>3249</v>
      </c>
      <c r="BM740" s="3276" t="s">
        <v>2879</v>
      </c>
      <c r="BN740" s="3276" t="s">
        <v>3111</v>
      </c>
      <c r="BO740" s="3276" t="s">
        <v>3146</v>
      </c>
      <c r="BP740" s="3276"/>
      <c r="BQ740" s="3276">
        <v>6107</v>
      </c>
      <c r="BR740" s="3276">
        <v>5467</v>
      </c>
      <c r="BS740" s="3285"/>
      <c r="BT740" s="3285"/>
      <c r="BU740" s="3285"/>
    </row>
    <row r="741" spans="1:16384" hidden="1">
      <c r="A741" s="3267" t="s">
        <v>8176</v>
      </c>
      <c r="B741" s="3267" t="s">
        <v>8177</v>
      </c>
      <c r="C741" s="3269" t="s">
        <v>8178</v>
      </c>
      <c r="D741" s="3269" t="s">
        <v>8179</v>
      </c>
      <c r="E741" s="3268" t="s">
        <v>2985</v>
      </c>
      <c r="F741" s="3268" t="s">
        <v>8180</v>
      </c>
      <c r="G741" s="3267"/>
      <c r="H741" s="3267" t="s">
        <v>4341</v>
      </c>
      <c r="I741" s="3268" t="s">
        <v>3608</v>
      </c>
      <c r="J741" s="3267" t="s">
        <v>4886</v>
      </c>
      <c r="K741" s="3267" t="s">
        <v>8181</v>
      </c>
      <c r="L741" s="3267">
        <v>96.48</v>
      </c>
      <c r="M741" s="3267">
        <v>2</v>
      </c>
      <c r="N741" s="3267" t="s">
        <v>3122</v>
      </c>
      <c r="O741" s="3267">
        <v>86.54</v>
      </c>
      <c r="P741" s="3267" t="s">
        <v>2963</v>
      </c>
      <c r="Q741" s="3271">
        <v>910000</v>
      </c>
      <c r="R741" s="3288">
        <v>9432</v>
      </c>
      <c r="S741" s="3272">
        <v>72.16</v>
      </c>
      <c r="T741" s="3273">
        <v>721600</v>
      </c>
      <c r="U741" s="3267">
        <v>7480</v>
      </c>
      <c r="V741" s="3289">
        <v>0.3</v>
      </c>
      <c r="W741" s="3272">
        <v>50.51</v>
      </c>
      <c r="X741" s="3273">
        <v>505100</v>
      </c>
      <c r="Y741" s="3267">
        <v>2006</v>
      </c>
      <c r="Z741" s="3276">
        <v>9</v>
      </c>
      <c r="AA741" s="3276">
        <v>1</v>
      </c>
      <c r="AB741" s="3267">
        <v>1500</v>
      </c>
      <c r="AC741" s="3267" t="s">
        <v>2980</v>
      </c>
      <c r="AD741" s="3269" t="s">
        <v>8182</v>
      </c>
      <c r="AE741" s="3279" t="s">
        <v>3344</v>
      </c>
      <c r="AF741" s="3268" t="s">
        <v>2966</v>
      </c>
      <c r="AG741" s="3279" t="s">
        <v>2967</v>
      </c>
      <c r="AH741" s="3267"/>
      <c r="AI741" s="3279" t="s">
        <v>2992</v>
      </c>
      <c r="AJ741" s="3284"/>
      <c r="AK741" s="3278">
        <v>9</v>
      </c>
      <c r="AL741" s="3276">
        <v>49</v>
      </c>
      <c r="AM741" s="3267"/>
      <c r="AN741" s="3279" t="s">
        <v>3131</v>
      </c>
      <c r="AO741" s="3267"/>
      <c r="AP741" s="3279" t="s">
        <v>4230</v>
      </c>
      <c r="AQ741" s="3267" t="s">
        <v>3228</v>
      </c>
      <c r="AR741" s="3276"/>
      <c r="AS741" s="3276"/>
      <c r="AT741" s="3276"/>
      <c r="AU741" s="3276"/>
      <c r="AV741" s="3276"/>
      <c r="AW741" s="3276" t="s">
        <v>3119</v>
      </c>
      <c r="AX741" s="3276"/>
      <c r="AY741" s="3291"/>
      <c r="AZ741" s="3267" t="s">
        <v>8181</v>
      </c>
      <c r="BA741" s="3296"/>
      <c r="BB741" s="3297"/>
      <c r="BC741" s="3296"/>
      <c r="BD741" s="3298"/>
      <c r="BE741" s="3276">
        <v>13901229911</v>
      </c>
      <c r="BF741" s="3281"/>
      <c r="BG741" s="3293"/>
      <c r="BH741" s="3354" t="s">
        <v>2998</v>
      </c>
      <c r="BI741" s="3314" t="s">
        <v>4230</v>
      </c>
      <c r="BJ741" s="3283">
        <v>38951</v>
      </c>
      <c r="BK741" s="3283"/>
      <c r="BL741" s="3267" t="s">
        <v>3249</v>
      </c>
      <c r="BM741" s="3276" t="s">
        <v>2879</v>
      </c>
      <c r="BN741" s="3276" t="s">
        <v>2999</v>
      </c>
      <c r="BO741" s="3276" t="s">
        <v>3146</v>
      </c>
      <c r="BP741" s="3276"/>
      <c r="BQ741" s="3276">
        <v>8338</v>
      </c>
      <c r="BR741" s="3276">
        <v>10515</v>
      </c>
      <c r="BS741" s="3285"/>
      <c r="BT741" s="3285"/>
      <c r="BU741" s="3285"/>
    </row>
    <row r="742" spans="1:16384" hidden="1">
      <c r="A742" s="3267" t="s">
        <v>8183</v>
      </c>
      <c r="B742" s="3267" t="s">
        <v>8184</v>
      </c>
      <c r="C742" s="3269" t="s">
        <v>8185</v>
      </c>
      <c r="D742" s="3269" t="s">
        <v>8186</v>
      </c>
      <c r="E742" s="3268" t="s">
        <v>2985</v>
      </c>
      <c r="F742" s="3268" t="s">
        <v>8187</v>
      </c>
      <c r="G742" s="3267"/>
      <c r="H742" s="3267" t="s">
        <v>3263</v>
      </c>
      <c r="I742" s="3268" t="s">
        <v>3586</v>
      </c>
      <c r="J742" s="3267" t="s">
        <v>2987</v>
      </c>
      <c r="K742" s="3267" t="s">
        <v>8188</v>
      </c>
      <c r="L742" s="3267">
        <v>72.680000000000007</v>
      </c>
      <c r="M742" s="3267">
        <v>3</v>
      </c>
      <c r="N742" s="3267" t="s">
        <v>3125</v>
      </c>
      <c r="O742" s="3267"/>
      <c r="P742" s="3267" t="s">
        <v>2963</v>
      </c>
      <c r="Q742" s="3271">
        <v>640000</v>
      </c>
      <c r="R742" s="3288">
        <v>8806</v>
      </c>
      <c r="S742" s="3272">
        <v>50.21</v>
      </c>
      <c r="T742" s="3273">
        <v>502100</v>
      </c>
      <c r="U742" s="3267">
        <v>6909</v>
      </c>
      <c r="V742" s="3289">
        <v>0.2</v>
      </c>
      <c r="W742" s="3272">
        <v>40.159999999999997</v>
      </c>
      <c r="X742" s="3273">
        <v>401600</v>
      </c>
      <c r="Y742" s="3267">
        <v>2006</v>
      </c>
      <c r="Z742" s="3276">
        <v>9</v>
      </c>
      <c r="AA742" s="3276">
        <v>5</v>
      </c>
      <c r="AB742" s="3267">
        <v>1500</v>
      </c>
      <c r="AC742" s="3267" t="s">
        <v>2980</v>
      </c>
      <c r="AD742" s="3269" t="s">
        <v>8189</v>
      </c>
      <c r="AE742" s="3279" t="s">
        <v>3344</v>
      </c>
      <c r="AF742" s="3268" t="s">
        <v>2966</v>
      </c>
      <c r="AG742" s="3279" t="s">
        <v>2967</v>
      </c>
      <c r="AH742" s="3267"/>
      <c r="AI742" s="3279" t="s">
        <v>2992</v>
      </c>
      <c r="AJ742" s="3284"/>
      <c r="AK742" s="3278">
        <v>9</v>
      </c>
      <c r="AL742" s="3276">
        <v>32</v>
      </c>
      <c r="AM742" s="3267"/>
      <c r="AN742" s="3279" t="s">
        <v>3140</v>
      </c>
      <c r="AO742" s="3267"/>
      <c r="AP742" s="3314" t="s">
        <v>3305</v>
      </c>
      <c r="AQ742" s="3267" t="s">
        <v>3228</v>
      </c>
      <c r="AR742" s="3276"/>
      <c r="AS742" s="3276"/>
      <c r="AT742" s="3276"/>
      <c r="AU742" s="3276"/>
      <c r="AV742" s="3276"/>
      <c r="AW742" s="3276" t="s">
        <v>3119</v>
      </c>
      <c r="AX742" s="3276"/>
      <c r="AY742" s="3291"/>
      <c r="AZ742" s="3267" t="s">
        <v>8188</v>
      </c>
      <c r="BA742" s="3296"/>
      <c r="BB742" s="3297"/>
      <c r="BC742" s="3296"/>
      <c r="BD742" s="3298"/>
      <c r="BE742" s="3276">
        <v>13611143123</v>
      </c>
      <c r="BF742" s="3281"/>
      <c r="BG742" s="3293">
        <v>38926</v>
      </c>
      <c r="BH742" s="3354" t="s">
        <v>2998</v>
      </c>
      <c r="BI742" s="3314" t="s">
        <v>3305</v>
      </c>
      <c r="BJ742" s="3283">
        <v>38952</v>
      </c>
      <c r="BK742" s="3283"/>
      <c r="BL742" s="3267" t="s">
        <v>3249</v>
      </c>
      <c r="BM742" s="3276" t="s">
        <v>2879</v>
      </c>
      <c r="BN742" s="3276" t="s">
        <v>2999</v>
      </c>
      <c r="BO742" s="3276" t="s">
        <v>3146</v>
      </c>
      <c r="BP742" s="3276"/>
      <c r="BQ742" s="3276" t="e">
        <v>#DIV/0!</v>
      </c>
      <c r="BR742" s="3276" t="e">
        <v>#DIV/0!</v>
      </c>
      <c r="BS742" s="3285"/>
      <c r="BT742" s="3285"/>
      <c r="BU742" s="3285"/>
    </row>
    <row r="743" spans="1:16384">
      <c r="A743" s="3267" t="s">
        <v>8190</v>
      </c>
      <c r="B743" s="3267" t="s">
        <v>8191</v>
      </c>
      <c r="C743" s="3269" t="s">
        <v>8192</v>
      </c>
      <c r="D743" s="3268">
        <v>13810758006</v>
      </c>
      <c r="E743" s="3267" t="s">
        <v>2985</v>
      </c>
      <c r="F743" s="3789" t="s">
        <v>8193</v>
      </c>
      <c r="G743" s="3267"/>
      <c r="H743" s="3267" t="s">
        <v>3225</v>
      </c>
      <c r="I743" s="3267"/>
      <c r="J743" s="3269" t="s">
        <v>7696</v>
      </c>
      <c r="K743" s="3267" t="s">
        <v>8194</v>
      </c>
      <c r="L743" s="3790">
        <v>79.64</v>
      </c>
      <c r="M743" s="3791">
        <v>2</v>
      </c>
      <c r="N743" s="3789" t="s">
        <v>3125</v>
      </c>
      <c r="O743" s="3267"/>
      <c r="P743" s="3267" t="s">
        <v>2963</v>
      </c>
      <c r="Q743" s="3317">
        <v>450000</v>
      </c>
      <c r="R743" s="3792">
        <v>5650</v>
      </c>
      <c r="S743" s="3272">
        <v>54.21</v>
      </c>
      <c r="T743" s="3273">
        <v>542100</v>
      </c>
      <c r="U743" s="3267">
        <v>6808</v>
      </c>
      <c r="V743" s="3289">
        <v>0.2</v>
      </c>
      <c r="W743" s="3272">
        <v>43.36</v>
      </c>
      <c r="X743" s="3273">
        <v>433600</v>
      </c>
      <c r="Y743" s="3276">
        <v>2006</v>
      </c>
      <c r="Z743" s="3276">
        <v>8</v>
      </c>
      <c r="AA743" s="3276">
        <v>28</v>
      </c>
      <c r="AB743" s="3267">
        <v>1500</v>
      </c>
      <c r="AC743" s="3267" t="s">
        <v>2980</v>
      </c>
      <c r="AD743" s="3269" t="s">
        <v>8195</v>
      </c>
      <c r="AE743" s="3314" t="s">
        <v>3344</v>
      </c>
      <c r="AF743" s="3267" t="s">
        <v>2966</v>
      </c>
      <c r="AG743" s="3267" t="s">
        <v>2967</v>
      </c>
      <c r="AH743" s="3267"/>
      <c r="AI743" s="3279" t="s">
        <v>2992</v>
      </c>
      <c r="AJ743" s="3290"/>
      <c r="AK743" s="3278">
        <v>8</v>
      </c>
      <c r="AL743" s="3276">
        <v>43</v>
      </c>
      <c r="AM743" s="3267"/>
      <c r="AN743" s="3279" t="s">
        <v>3099</v>
      </c>
      <c r="AO743" s="3267"/>
      <c r="AP743" s="3279" t="s">
        <v>3305</v>
      </c>
      <c r="AQ743" s="3276" t="s">
        <v>3113</v>
      </c>
      <c r="AR743" s="3276"/>
      <c r="AS743" s="3276"/>
      <c r="AT743" s="3276"/>
      <c r="AU743" s="3267"/>
      <c r="AV743" s="3267"/>
      <c r="AW743" s="3267" t="s">
        <v>3119</v>
      </c>
      <c r="AX743" s="3267"/>
      <c r="AY743" s="3267"/>
      <c r="AZ743" s="3267" t="s">
        <v>8194</v>
      </c>
      <c r="BA743" s="3267"/>
      <c r="BB743" s="3267"/>
      <c r="BC743" s="3267"/>
      <c r="BD743" s="3267"/>
      <c r="BE743" s="3267"/>
      <c r="BF743" s="3267"/>
      <c r="BG743" s="3793">
        <v>38953</v>
      </c>
      <c r="BH743" s="3267" t="s">
        <v>2998</v>
      </c>
      <c r="BI743" s="3314" t="s">
        <v>3305</v>
      </c>
      <c r="BJ743" s="3293">
        <v>38953</v>
      </c>
      <c r="BK743" s="3283"/>
      <c r="BL743" s="3791" t="s">
        <v>3249</v>
      </c>
      <c r="BM743" s="3791" t="s">
        <v>2879</v>
      </c>
      <c r="BN743" s="3791" t="s">
        <v>2999</v>
      </c>
      <c r="BO743" s="3791" t="s">
        <v>3146</v>
      </c>
      <c r="BP743" s="3791"/>
      <c r="BQ743" s="3794" t="e">
        <v>#DIV/0!</v>
      </c>
      <c r="BR743" s="3794" t="e">
        <v>#DIV/0!</v>
      </c>
      <c r="BS743" s="3795"/>
      <c r="BT743" s="3795"/>
      <c r="BU743" s="3795"/>
      <c r="BV743" s="3796"/>
      <c r="BW743" s="3796"/>
      <c r="BX743" s="3796"/>
      <c r="BY743" s="3796"/>
      <c r="BZ743" s="3796"/>
      <c r="CA743" s="3796"/>
      <c r="CB743" s="3796"/>
      <c r="CC743" s="3796"/>
      <c r="CD743" s="3796"/>
      <c r="CE743" s="3796"/>
      <c r="CF743" s="3796"/>
      <c r="CG743" s="3796"/>
      <c r="CH743" s="3796"/>
      <c r="CI743" s="3796"/>
      <c r="CJ743" s="3796"/>
      <c r="CK743" s="3796"/>
      <c r="CL743" s="3796"/>
      <c r="CM743" s="3796"/>
      <c r="CN743" s="3796"/>
      <c r="CO743" s="3796"/>
      <c r="CP743" s="3796"/>
      <c r="CQ743" s="3796"/>
      <c r="CR743" s="3796"/>
      <c r="CS743" s="3796"/>
      <c r="CT743" s="3796"/>
      <c r="CU743" s="3796"/>
      <c r="CV743" s="3796"/>
      <c r="CW743" s="3796"/>
      <c r="CX743" s="3796"/>
      <c r="CY743" s="3796"/>
      <c r="CZ743" s="3796"/>
      <c r="DA743" s="3796"/>
      <c r="DB743" s="3796"/>
      <c r="DC743" s="3796"/>
      <c r="DD743" s="3796"/>
      <c r="DE743" s="3796"/>
      <c r="DF743" s="3796"/>
      <c r="DG743" s="3796"/>
      <c r="DH743" s="3796"/>
      <c r="DI743" s="3796"/>
      <c r="DJ743" s="3796"/>
      <c r="DK743" s="3796"/>
      <c r="DL743" s="3796"/>
      <c r="DM743" s="3796"/>
      <c r="DN743" s="3796"/>
      <c r="DO743" s="3796"/>
      <c r="DP743" s="3796"/>
      <c r="DQ743" s="3796"/>
      <c r="DR743" s="3796"/>
      <c r="DS743" s="3796"/>
      <c r="DT743" s="3796"/>
      <c r="DU743" s="3796"/>
      <c r="DV743" s="3796"/>
      <c r="DW743" s="3796"/>
      <c r="DX743" s="3796"/>
      <c r="DY743" s="3796"/>
      <c r="DZ743" s="3796"/>
      <c r="EA743" s="3796"/>
      <c r="EB743" s="3796"/>
      <c r="EC743" s="3796"/>
      <c r="ED743" s="3796"/>
      <c r="EE743" s="3796"/>
      <c r="EF743" s="3796"/>
      <c r="EG743" s="3796"/>
      <c r="EH743" s="3796"/>
      <c r="EI743" s="3796"/>
      <c r="EJ743" s="3796"/>
      <c r="EK743" s="3796"/>
      <c r="EL743" s="3796"/>
      <c r="EM743" s="3796"/>
      <c r="EN743" s="3796"/>
      <c r="EO743" s="3796"/>
      <c r="EP743" s="3796"/>
      <c r="EQ743" s="3796"/>
      <c r="ER743" s="3796"/>
      <c r="ES743" s="3796"/>
      <c r="ET743" s="3796"/>
      <c r="EU743" s="3796"/>
      <c r="EV743" s="3796"/>
      <c r="EW743" s="3796"/>
      <c r="EX743" s="3796"/>
      <c r="EY743" s="3796"/>
      <c r="EZ743" s="3796"/>
      <c r="FA743" s="3796"/>
      <c r="FB743" s="3796"/>
      <c r="FC743" s="3796"/>
      <c r="FD743" s="3796"/>
      <c r="FE743" s="3796"/>
      <c r="FF743" s="3796"/>
      <c r="FG743" s="3796"/>
      <c r="FH743" s="3796"/>
      <c r="FI743" s="3796"/>
      <c r="FJ743" s="3796"/>
      <c r="FK743" s="3796"/>
      <c r="FL743" s="3796"/>
      <c r="FM743" s="3796"/>
      <c r="FN743" s="3796"/>
      <c r="FO743" s="3796"/>
      <c r="FP743" s="3796"/>
      <c r="FQ743" s="3796"/>
      <c r="FR743" s="3796"/>
      <c r="FS743" s="3796"/>
      <c r="FT743" s="3796"/>
      <c r="FU743" s="3796"/>
      <c r="FV743" s="3796"/>
      <c r="FW743" s="3796"/>
      <c r="FX743" s="3796"/>
      <c r="FY743" s="3796"/>
      <c r="FZ743" s="3796"/>
      <c r="GA743" s="3796"/>
      <c r="GB743" s="3796"/>
      <c r="GC743" s="3796"/>
      <c r="GD743" s="3796"/>
      <c r="GE743" s="3796"/>
      <c r="GF743" s="3796"/>
      <c r="GG743" s="3796"/>
      <c r="GH743" s="3796"/>
      <c r="GI743" s="3796"/>
      <c r="GJ743" s="3796"/>
      <c r="GK743" s="3796"/>
      <c r="GL743" s="3796"/>
      <c r="GM743" s="3796"/>
      <c r="GN743" s="3796"/>
      <c r="GO743" s="3796"/>
      <c r="GP743" s="3796"/>
      <c r="GQ743" s="3796"/>
      <c r="GR743" s="3796"/>
      <c r="GS743" s="3796"/>
      <c r="GT743" s="3796"/>
      <c r="GU743" s="3796"/>
      <c r="GV743" s="3796"/>
      <c r="GW743" s="3796"/>
      <c r="GX743" s="3796"/>
      <c r="GY743" s="3796"/>
      <c r="GZ743" s="3796"/>
      <c r="HA743" s="3796"/>
      <c r="HB743" s="3796"/>
      <c r="HC743" s="3796"/>
      <c r="HD743" s="3796"/>
      <c r="HE743" s="3796"/>
      <c r="HF743" s="3796"/>
      <c r="HG743" s="3796"/>
      <c r="HH743" s="3796"/>
      <c r="HI743" s="3796"/>
      <c r="HJ743" s="3796"/>
      <c r="HK743" s="3796"/>
      <c r="HL743" s="3796"/>
      <c r="HM743" s="3796"/>
      <c r="HN743" s="3796"/>
      <c r="HO743" s="3796"/>
      <c r="HP743" s="3796"/>
      <c r="HQ743" s="3796"/>
      <c r="HR743" s="3796"/>
      <c r="HS743" s="3796"/>
      <c r="HT743" s="3796"/>
      <c r="HU743" s="3796"/>
      <c r="HV743" s="3796"/>
      <c r="HW743" s="3796"/>
      <c r="HX743" s="3796"/>
      <c r="HY743" s="3796"/>
      <c r="HZ743" s="3796"/>
      <c r="IA743" s="3796"/>
      <c r="IB743" s="3796"/>
      <c r="IC743" s="3796"/>
      <c r="ID743" s="3796"/>
      <c r="IE743" s="3796"/>
      <c r="IF743" s="3796"/>
      <c r="IG743" s="3796"/>
      <c r="IH743" s="3796"/>
      <c r="II743" s="3796"/>
      <c r="IJ743" s="3796"/>
      <c r="IK743" s="3796"/>
      <c r="IL743" s="3796"/>
      <c r="IM743" s="3796"/>
      <c r="IN743" s="3796"/>
      <c r="IO743" s="3796"/>
      <c r="IP743" s="3796"/>
      <c r="IQ743" s="3796"/>
      <c r="IR743" s="3796"/>
      <c r="IS743" s="3796"/>
      <c r="IT743" s="3796"/>
      <c r="IU743" s="3796"/>
      <c r="IV743" s="3796"/>
      <c r="IW743" s="3796"/>
      <c r="JB743" s="3796"/>
      <c r="JH743" s="3796"/>
      <c r="JI743" s="3796"/>
      <c r="JJ743" s="3796"/>
      <c r="JN743" s="3796"/>
      <c r="JU743" s="3796"/>
      <c r="JV743" s="3796"/>
      <c r="JW743" s="3796"/>
      <c r="JX743" s="3796"/>
      <c r="JY743" s="3796"/>
      <c r="JZ743" s="3796"/>
      <c r="KA743" s="3796"/>
      <c r="KB743" s="3796"/>
      <c r="KC743" s="3796"/>
      <c r="KD743" s="3796"/>
      <c r="KE743" s="3796"/>
      <c r="KF743" s="3796"/>
      <c r="KG743" s="3796"/>
      <c r="KH743" s="3796"/>
      <c r="KI743" s="3796"/>
      <c r="KJ743" s="3796"/>
      <c r="KK743" s="3796"/>
      <c r="KL743" s="3796"/>
      <c r="KM743" s="3796"/>
      <c r="KN743" s="3796"/>
      <c r="KO743" s="3796"/>
      <c r="KP743" s="3796"/>
      <c r="KQ743" s="3796"/>
      <c r="KR743" s="3796"/>
      <c r="KS743" s="3796"/>
      <c r="KT743" s="3796"/>
      <c r="KU743" s="3796"/>
      <c r="KV743" s="3796"/>
      <c r="KW743" s="3796"/>
      <c r="KX743" s="3796"/>
      <c r="KY743" s="3796"/>
      <c r="KZ743" s="3796"/>
      <c r="LA743" s="3796"/>
      <c r="LB743" s="3796"/>
      <c r="LC743" s="3796"/>
      <c r="LD743" s="3796"/>
      <c r="LE743" s="3796"/>
      <c r="LF743" s="3796"/>
      <c r="LG743" s="3796"/>
      <c r="LH743" s="3796"/>
      <c r="LI743" s="3796"/>
      <c r="LJ743" s="3796"/>
      <c r="LK743" s="3796"/>
      <c r="LL743" s="3796"/>
      <c r="LM743" s="3796"/>
      <c r="LN743" s="3796"/>
      <c r="LO743" s="3796"/>
      <c r="LP743" s="3796"/>
      <c r="LQ743" s="3796"/>
      <c r="LR743" s="3796"/>
      <c r="LS743" s="3796"/>
      <c r="LT743" s="3796"/>
      <c r="LU743" s="3796"/>
      <c r="LV743" s="3796"/>
      <c r="LW743" s="3796"/>
      <c r="LX743" s="3796"/>
      <c r="LY743" s="3796"/>
      <c r="LZ743" s="3796"/>
      <c r="MA743" s="3796"/>
      <c r="MB743" s="3796"/>
      <c r="MC743" s="3796"/>
      <c r="MD743" s="3796"/>
      <c r="ME743" s="3796"/>
      <c r="MF743" s="3796"/>
      <c r="MG743" s="3796"/>
      <c r="MH743" s="3796"/>
      <c r="MI743" s="3796"/>
      <c r="MJ743" s="3796"/>
      <c r="MK743" s="3796"/>
      <c r="ML743" s="3796"/>
      <c r="MM743" s="3796"/>
      <c r="MN743" s="3796"/>
      <c r="MO743" s="3796"/>
      <c r="MP743" s="3796"/>
      <c r="MQ743" s="3796"/>
      <c r="MR743" s="3796"/>
      <c r="MS743" s="3796"/>
      <c r="MT743" s="3796"/>
      <c r="MU743" s="3796"/>
      <c r="MV743" s="3796"/>
      <c r="MW743" s="3796"/>
      <c r="MX743" s="3796"/>
      <c r="MY743" s="3796"/>
      <c r="MZ743" s="3796"/>
      <c r="NA743" s="3796"/>
      <c r="NB743" s="3796"/>
      <c r="NC743" s="3796"/>
      <c r="ND743" s="3796"/>
      <c r="NE743" s="3796"/>
      <c r="NF743" s="3796"/>
      <c r="NG743" s="3796"/>
      <c r="NH743" s="3796"/>
      <c r="NI743" s="3796"/>
      <c r="NJ743" s="3796"/>
      <c r="NK743" s="3796"/>
      <c r="NL743" s="3796"/>
      <c r="NM743" s="3796"/>
      <c r="NN743" s="3796"/>
      <c r="NO743" s="3796"/>
      <c r="NP743" s="3796"/>
      <c r="NQ743" s="3796"/>
      <c r="NR743" s="3796"/>
      <c r="NS743" s="3796"/>
      <c r="NT743" s="3796"/>
      <c r="NU743" s="3796"/>
      <c r="NV743" s="3796"/>
      <c r="NW743" s="3796"/>
      <c r="NX743" s="3796"/>
      <c r="NY743" s="3796"/>
      <c r="NZ743" s="3796"/>
      <c r="OA743" s="3796"/>
      <c r="OB743" s="3796"/>
      <c r="OC743" s="3796"/>
      <c r="OD743" s="3796"/>
      <c r="OE743" s="3796"/>
      <c r="OF743" s="3796"/>
      <c r="OG743" s="3796"/>
      <c r="OH743" s="3796"/>
      <c r="OI743" s="3796"/>
      <c r="OJ743" s="3796"/>
      <c r="OK743" s="3796"/>
      <c r="OL743" s="3796"/>
      <c r="OM743" s="3796"/>
      <c r="ON743" s="3796"/>
      <c r="OO743" s="3796"/>
      <c r="OP743" s="3796"/>
      <c r="OQ743" s="3796"/>
      <c r="OR743" s="3796"/>
      <c r="OS743" s="3796"/>
      <c r="OT743" s="3796"/>
      <c r="OU743" s="3796"/>
      <c r="OV743" s="3796"/>
      <c r="OW743" s="3796"/>
      <c r="OX743" s="3796"/>
      <c r="OY743" s="3796"/>
      <c r="OZ743" s="3796"/>
      <c r="PA743" s="3796"/>
      <c r="PB743" s="3796"/>
      <c r="PC743" s="3796"/>
      <c r="PD743" s="3796"/>
      <c r="PE743" s="3796"/>
      <c r="PF743" s="3796"/>
      <c r="PG743" s="3796"/>
      <c r="PH743" s="3796"/>
      <c r="PI743" s="3796"/>
      <c r="PJ743" s="3796"/>
      <c r="PK743" s="3796"/>
      <c r="PL743" s="3796"/>
      <c r="PM743" s="3796"/>
      <c r="PN743" s="3796"/>
      <c r="PO743" s="3796"/>
      <c r="PP743" s="3796"/>
      <c r="PQ743" s="3796"/>
      <c r="PR743" s="3796"/>
      <c r="PS743" s="3796"/>
      <c r="PT743" s="3796"/>
      <c r="PU743" s="3796"/>
      <c r="PV743" s="3796"/>
      <c r="PW743" s="3796"/>
      <c r="PX743" s="3796"/>
      <c r="PY743" s="3796"/>
      <c r="PZ743" s="3796"/>
      <c r="QA743" s="3796"/>
      <c r="QB743" s="3796"/>
      <c r="QC743" s="3796"/>
      <c r="QD743" s="3796"/>
      <c r="QE743" s="3796"/>
      <c r="QF743" s="3796"/>
      <c r="QG743" s="3796"/>
      <c r="QH743" s="3796"/>
      <c r="QI743" s="3796"/>
      <c r="QJ743" s="3796"/>
      <c r="QK743" s="3796"/>
      <c r="QL743" s="3796"/>
      <c r="QM743" s="3796"/>
      <c r="QN743" s="3796"/>
      <c r="QO743" s="3796"/>
      <c r="QP743" s="3796"/>
      <c r="QQ743" s="3796"/>
      <c r="QR743" s="3796"/>
      <c r="QS743" s="3796"/>
      <c r="QT743" s="3796"/>
      <c r="QU743" s="3796"/>
      <c r="QV743" s="3796"/>
      <c r="QW743" s="3796"/>
      <c r="QX743" s="3796"/>
      <c r="QY743" s="3796"/>
      <c r="QZ743" s="3796"/>
      <c r="RA743" s="3796"/>
      <c r="RB743" s="3796"/>
      <c r="RC743" s="3796"/>
      <c r="RD743" s="3796"/>
      <c r="RE743" s="3796"/>
      <c r="RF743" s="3796"/>
      <c r="RG743" s="3796"/>
      <c r="RH743" s="3796"/>
      <c r="RI743" s="3796"/>
      <c r="RJ743" s="3796"/>
      <c r="RK743" s="3796"/>
      <c r="RL743" s="3796"/>
      <c r="RM743" s="3796"/>
      <c r="RN743" s="3796"/>
      <c r="RO743" s="3796"/>
      <c r="RP743" s="3796"/>
      <c r="RQ743" s="3796"/>
      <c r="RR743" s="3796"/>
      <c r="RS743" s="3796"/>
      <c r="RT743" s="3796"/>
      <c r="RU743" s="3796"/>
      <c r="RV743" s="3796"/>
      <c r="RW743" s="3796"/>
      <c r="RX743" s="3796"/>
      <c r="RY743" s="3796"/>
      <c r="RZ743" s="3796"/>
      <c r="SA743" s="3796"/>
      <c r="SB743" s="3796"/>
      <c r="SC743" s="3796"/>
      <c r="SD743" s="3796"/>
      <c r="SE743" s="3796"/>
      <c r="SF743" s="3796"/>
      <c r="SG743" s="3796"/>
      <c r="SH743" s="3796"/>
      <c r="SI743" s="3796"/>
      <c r="SJ743" s="3796"/>
      <c r="SK743" s="3796"/>
      <c r="SL743" s="3796"/>
      <c r="SM743" s="3796"/>
      <c r="SN743" s="3796"/>
      <c r="SO743" s="3796"/>
      <c r="SP743" s="3796"/>
      <c r="SQ743" s="3796"/>
      <c r="SR743" s="3796"/>
      <c r="SS743" s="3796"/>
      <c r="SX743" s="3796"/>
      <c r="TD743" s="3796"/>
      <c r="TE743" s="3796"/>
      <c r="TF743" s="3796"/>
      <c r="TJ743" s="3796"/>
      <c r="TQ743" s="3796"/>
      <c r="TR743" s="3796"/>
      <c r="TS743" s="3796"/>
      <c r="TT743" s="3796"/>
      <c r="TU743" s="3796"/>
      <c r="TV743" s="3796"/>
      <c r="TW743" s="3796"/>
      <c r="TX743" s="3796"/>
      <c r="TY743" s="3796"/>
      <c r="TZ743" s="3796"/>
      <c r="UA743" s="3796"/>
      <c r="UB743" s="3796"/>
      <c r="UC743" s="3796"/>
      <c r="UD743" s="3796"/>
      <c r="UE743" s="3796"/>
      <c r="UF743" s="3796"/>
      <c r="UG743" s="3796"/>
      <c r="UH743" s="3796"/>
      <c r="UI743" s="3796"/>
      <c r="UJ743" s="3796"/>
      <c r="UK743" s="3796"/>
      <c r="UL743" s="3796"/>
      <c r="UM743" s="3796"/>
      <c r="UN743" s="3796"/>
      <c r="UO743" s="3796"/>
      <c r="UP743" s="3796"/>
      <c r="UQ743" s="3796"/>
      <c r="UR743" s="3796"/>
      <c r="US743" s="3796"/>
      <c r="UT743" s="3796"/>
      <c r="UU743" s="3796"/>
      <c r="UV743" s="3796"/>
      <c r="UW743" s="3796"/>
      <c r="UX743" s="3796"/>
      <c r="UY743" s="3796"/>
      <c r="UZ743" s="3796"/>
      <c r="VA743" s="3796"/>
      <c r="VB743" s="3796"/>
      <c r="VC743" s="3796"/>
      <c r="VD743" s="3796"/>
      <c r="VE743" s="3796"/>
      <c r="VF743" s="3796"/>
      <c r="VG743" s="3796"/>
      <c r="VH743" s="3796"/>
      <c r="VI743" s="3796"/>
      <c r="VJ743" s="3796"/>
      <c r="VK743" s="3796"/>
      <c r="VL743" s="3796"/>
      <c r="VM743" s="3796"/>
      <c r="VN743" s="3796"/>
      <c r="VO743" s="3796"/>
      <c r="VP743" s="3796"/>
      <c r="VQ743" s="3796"/>
      <c r="VR743" s="3796"/>
      <c r="VS743" s="3796"/>
      <c r="VT743" s="3796"/>
      <c r="VU743" s="3796"/>
      <c r="VV743" s="3796"/>
      <c r="VW743" s="3796"/>
      <c r="VX743" s="3796"/>
      <c r="VY743" s="3796"/>
      <c r="VZ743" s="3796"/>
      <c r="WA743" s="3796"/>
      <c r="WB743" s="3796"/>
      <c r="WC743" s="3796"/>
      <c r="WD743" s="3796"/>
      <c r="WE743" s="3796"/>
      <c r="WF743" s="3796"/>
      <c r="WG743" s="3796"/>
      <c r="WH743" s="3796"/>
      <c r="WI743" s="3796"/>
      <c r="WJ743" s="3796"/>
      <c r="WK743" s="3796"/>
      <c r="WL743" s="3796"/>
      <c r="WM743" s="3796"/>
      <c r="WN743" s="3796"/>
      <c r="WO743" s="3796"/>
      <c r="WP743" s="3796"/>
      <c r="WQ743" s="3796"/>
      <c r="WR743" s="3796"/>
      <c r="WS743" s="3796"/>
      <c r="WT743" s="3796"/>
      <c r="WU743" s="3796"/>
      <c r="WV743" s="3796"/>
      <c r="WW743" s="3796"/>
      <c r="WX743" s="3796"/>
      <c r="WY743" s="3796"/>
      <c r="WZ743" s="3796"/>
      <c r="XA743" s="3796"/>
      <c r="XB743" s="3796"/>
      <c r="XC743" s="3796"/>
      <c r="XD743" s="3796"/>
      <c r="XE743" s="3796"/>
      <c r="XF743" s="3796"/>
      <c r="XG743" s="3796"/>
      <c r="XH743" s="3796"/>
      <c r="XI743" s="3796"/>
      <c r="XJ743" s="3796"/>
      <c r="XK743" s="3796"/>
      <c r="XL743" s="3796"/>
      <c r="XM743" s="3796"/>
      <c r="XN743" s="3796"/>
      <c r="XO743" s="3796"/>
      <c r="XP743" s="3796"/>
      <c r="XQ743" s="3796"/>
      <c r="XR743" s="3796"/>
      <c r="XS743" s="3796"/>
      <c r="XT743" s="3796"/>
      <c r="XU743" s="3796"/>
      <c r="XV743" s="3796"/>
      <c r="XW743" s="3796"/>
      <c r="XX743" s="3796"/>
      <c r="XY743" s="3796"/>
      <c r="XZ743" s="3796"/>
      <c r="YA743" s="3796"/>
      <c r="YB743" s="3796"/>
      <c r="YC743" s="3796"/>
      <c r="YD743" s="3796"/>
      <c r="YE743" s="3796"/>
      <c r="YF743" s="3796"/>
      <c r="YG743" s="3796"/>
      <c r="YH743" s="3796"/>
      <c r="YI743" s="3796"/>
      <c r="YJ743" s="3796"/>
      <c r="YK743" s="3796"/>
      <c r="YL743" s="3796"/>
      <c r="YM743" s="3796"/>
      <c r="YN743" s="3796"/>
      <c r="YO743" s="3796"/>
      <c r="YP743" s="3796"/>
      <c r="YQ743" s="3796"/>
      <c r="YR743" s="3796"/>
      <c r="YS743" s="3796"/>
      <c r="YT743" s="3796"/>
      <c r="YU743" s="3796"/>
      <c r="YV743" s="3796"/>
      <c r="YW743" s="3796"/>
      <c r="YX743" s="3796"/>
      <c r="YY743" s="3796"/>
      <c r="YZ743" s="3796"/>
      <c r="ZA743" s="3796"/>
      <c r="ZB743" s="3796"/>
      <c r="ZC743" s="3796"/>
      <c r="ZD743" s="3796"/>
      <c r="ZE743" s="3796"/>
      <c r="ZF743" s="3796"/>
      <c r="ZG743" s="3796"/>
      <c r="ZH743" s="3796"/>
      <c r="ZI743" s="3796"/>
      <c r="ZJ743" s="3796"/>
      <c r="ZK743" s="3796"/>
      <c r="ZL743" s="3796"/>
      <c r="ZM743" s="3796"/>
      <c r="ZN743" s="3796"/>
      <c r="ZO743" s="3796"/>
      <c r="ZP743" s="3796"/>
      <c r="ZQ743" s="3796"/>
      <c r="ZR743" s="3796"/>
      <c r="ZS743" s="3796"/>
      <c r="ZT743" s="3796"/>
      <c r="ZU743" s="3796"/>
      <c r="ZV743" s="3796"/>
      <c r="ZW743" s="3796"/>
      <c r="ZX743" s="3796"/>
      <c r="ZY743" s="3796"/>
      <c r="ZZ743" s="3796"/>
      <c r="AAA743" s="3796"/>
      <c r="AAB743" s="3796"/>
      <c r="AAC743" s="3796"/>
      <c r="AAD743" s="3796"/>
      <c r="AAE743" s="3796"/>
      <c r="AAF743" s="3796"/>
      <c r="AAG743" s="3796"/>
      <c r="AAH743" s="3796"/>
      <c r="AAI743" s="3796"/>
      <c r="AAJ743" s="3796"/>
      <c r="AAK743" s="3796"/>
      <c r="AAL743" s="3796"/>
      <c r="AAM743" s="3796"/>
      <c r="AAN743" s="3796"/>
      <c r="AAO743" s="3796"/>
      <c r="AAP743" s="3796"/>
      <c r="AAQ743" s="3796"/>
      <c r="AAR743" s="3796"/>
      <c r="AAS743" s="3796"/>
      <c r="AAT743" s="3796"/>
      <c r="AAU743" s="3796"/>
      <c r="AAV743" s="3796"/>
      <c r="AAW743" s="3796"/>
      <c r="AAX743" s="3796"/>
      <c r="AAY743" s="3796"/>
      <c r="AAZ743" s="3796"/>
      <c r="ABA743" s="3796"/>
      <c r="ABB743" s="3796"/>
      <c r="ABC743" s="3796"/>
      <c r="ABD743" s="3796"/>
      <c r="ABE743" s="3796"/>
      <c r="ABF743" s="3796"/>
      <c r="ABG743" s="3796"/>
      <c r="ABH743" s="3796"/>
      <c r="ABI743" s="3796"/>
      <c r="ABJ743" s="3796"/>
      <c r="ABK743" s="3796"/>
      <c r="ABL743" s="3796"/>
      <c r="ABM743" s="3796"/>
      <c r="ABN743" s="3796"/>
      <c r="ABO743" s="3796"/>
      <c r="ABP743" s="3796"/>
      <c r="ABQ743" s="3796"/>
      <c r="ABR743" s="3796"/>
      <c r="ABS743" s="3796"/>
      <c r="ABT743" s="3796"/>
      <c r="ABU743" s="3796"/>
      <c r="ABV743" s="3796"/>
      <c r="ABW743" s="3796"/>
      <c r="ABX743" s="3796"/>
      <c r="ABY743" s="3796"/>
      <c r="ABZ743" s="3796"/>
      <c r="ACA743" s="3796"/>
      <c r="ACB743" s="3796"/>
      <c r="ACC743" s="3796"/>
      <c r="ACD743" s="3796"/>
      <c r="ACE743" s="3796"/>
      <c r="ACF743" s="3796"/>
      <c r="ACG743" s="3796"/>
      <c r="ACH743" s="3796"/>
      <c r="ACI743" s="3796"/>
      <c r="ACJ743" s="3796"/>
      <c r="ACK743" s="3796"/>
      <c r="ACL743" s="3796"/>
      <c r="ACM743" s="3796"/>
      <c r="ACN743" s="3796"/>
      <c r="ACO743" s="3796"/>
      <c r="ACT743" s="3796"/>
      <c r="ACZ743" s="3796"/>
      <c r="ADA743" s="3796"/>
      <c r="ADB743" s="3796"/>
      <c r="ADF743" s="3796"/>
      <c r="ADM743" s="3796"/>
      <c r="ADN743" s="3796"/>
      <c r="ADO743" s="3796"/>
      <c r="ADP743" s="3796"/>
      <c r="ADQ743" s="3796"/>
      <c r="ADR743" s="3796"/>
      <c r="ADS743" s="3796"/>
      <c r="ADT743" s="3796"/>
      <c r="ADU743" s="3796"/>
      <c r="ADV743" s="3796"/>
      <c r="ADW743" s="3796"/>
      <c r="ADX743" s="3796"/>
      <c r="ADY743" s="3796"/>
      <c r="ADZ743" s="3796"/>
      <c r="AEA743" s="3796"/>
      <c r="AEB743" s="3796"/>
      <c r="AEC743" s="3796"/>
      <c r="AED743" s="3796"/>
      <c r="AEE743" s="3796"/>
      <c r="AEF743" s="3796"/>
      <c r="AEG743" s="3796"/>
      <c r="AEH743" s="3796"/>
      <c r="AEI743" s="3796"/>
      <c r="AEJ743" s="3796"/>
      <c r="AEK743" s="3796"/>
      <c r="AEL743" s="3796"/>
      <c r="AEM743" s="3796"/>
      <c r="AEN743" s="3796"/>
      <c r="AEO743" s="3796"/>
      <c r="AEP743" s="3796"/>
      <c r="AEQ743" s="3796"/>
      <c r="AER743" s="3796"/>
      <c r="AES743" s="3796"/>
      <c r="AET743" s="3796"/>
      <c r="AEU743" s="3796"/>
      <c r="AEV743" s="3796"/>
      <c r="AEW743" s="3796"/>
      <c r="AEX743" s="3796"/>
      <c r="AEY743" s="3796"/>
      <c r="AEZ743" s="3796"/>
      <c r="AFA743" s="3796"/>
      <c r="AFB743" s="3796"/>
      <c r="AFC743" s="3796"/>
      <c r="AFD743" s="3796"/>
      <c r="AFE743" s="3796"/>
      <c r="AFF743" s="3796"/>
      <c r="AFG743" s="3796"/>
      <c r="AFH743" s="3796"/>
      <c r="AFI743" s="3796"/>
      <c r="AFJ743" s="3796"/>
      <c r="AFK743" s="3796"/>
      <c r="AFL743" s="3796"/>
      <c r="AFM743" s="3796"/>
      <c r="AFN743" s="3796"/>
      <c r="AFO743" s="3796"/>
      <c r="AFP743" s="3796"/>
      <c r="AFQ743" s="3796"/>
      <c r="AFR743" s="3796"/>
      <c r="AFS743" s="3796"/>
      <c r="AFT743" s="3796"/>
      <c r="AFU743" s="3796"/>
      <c r="AFV743" s="3796"/>
      <c r="AFW743" s="3796"/>
      <c r="AFX743" s="3796"/>
      <c r="AFY743" s="3796"/>
      <c r="AFZ743" s="3796"/>
      <c r="AGA743" s="3796"/>
      <c r="AGB743" s="3796"/>
      <c r="AGC743" s="3796"/>
      <c r="AGD743" s="3796"/>
      <c r="AGE743" s="3796"/>
      <c r="AGF743" s="3796"/>
      <c r="AGG743" s="3796"/>
      <c r="AGH743" s="3796"/>
      <c r="AGI743" s="3796"/>
      <c r="AGJ743" s="3796"/>
      <c r="AGK743" s="3796"/>
      <c r="AGL743" s="3796"/>
      <c r="AGM743" s="3796"/>
      <c r="AGN743" s="3796"/>
      <c r="AGO743" s="3796"/>
      <c r="AGP743" s="3796"/>
      <c r="AGQ743" s="3796"/>
      <c r="AGR743" s="3796"/>
      <c r="AGS743" s="3796"/>
      <c r="AGT743" s="3796"/>
      <c r="AGU743" s="3796"/>
      <c r="AGV743" s="3796"/>
      <c r="AGW743" s="3796"/>
      <c r="AGX743" s="3796"/>
      <c r="AGY743" s="3796"/>
      <c r="AGZ743" s="3796"/>
      <c r="AHA743" s="3796"/>
      <c r="AHB743" s="3796"/>
      <c r="AHC743" s="3796"/>
      <c r="AHD743" s="3796"/>
      <c r="AHE743" s="3796"/>
      <c r="AHF743" s="3796"/>
      <c r="AHG743" s="3796"/>
      <c r="AHH743" s="3796"/>
      <c r="AHI743" s="3796"/>
      <c r="AHJ743" s="3796"/>
      <c r="AHK743" s="3796"/>
      <c r="AHL743" s="3796"/>
      <c r="AHM743" s="3796"/>
      <c r="AHN743" s="3796"/>
      <c r="AHO743" s="3796"/>
      <c r="AHP743" s="3796"/>
      <c r="AHQ743" s="3796"/>
      <c r="AHR743" s="3796"/>
      <c r="AHS743" s="3796"/>
      <c r="AHT743" s="3796"/>
      <c r="AHU743" s="3796"/>
      <c r="AHV743" s="3796"/>
      <c r="AHW743" s="3796"/>
      <c r="AHX743" s="3796"/>
      <c r="AHY743" s="3796"/>
      <c r="AHZ743" s="3796"/>
      <c r="AIA743" s="3796"/>
      <c r="AIB743" s="3796"/>
      <c r="AIC743" s="3796"/>
      <c r="AID743" s="3796"/>
      <c r="AIE743" s="3796"/>
      <c r="AIF743" s="3796"/>
      <c r="AIG743" s="3796"/>
      <c r="AIH743" s="3796"/>
      <c r="AII743" s="3796"/>
      <c r="AIJ743" s="3796"/>
      <c r="AIK743" s="3796"/>
      <c r="AIL743" s="3796"/>
      <c r="AIM743" s="3796"/>
      <c r="AIN743" s="3796"/>
      <c r="AIO743" s="3796"/>
      <c r="AIP743" s="3796"/>
      <c r="AIQ743" s="3796"/>
      <c r="AIR743" s="3796"/>
      <c r="AIS743" s="3796"/>
      <c r="AIT743" s="3796"/>
      <c r="AIU743" s="3796"/>
      <c r="AIV743" s="3796"/>
      <c r="AIW743" s="3796"/>
      <c r="AIX743" s="3796"/>
      <c r="AIY743" s="3796"/>
      <c r="AIZ743" s="3796"/>
      <c r="AJA743" s="3796"/>
      <c r="AJB743" s="3796"/>
      <c r="AJC743" s="3796"/>
      <c r="AJD743" s="3796"/>
      <c r="AJE743" s="3796"/>
      <c r="AJF743" s="3796"/>
      <c r="AJG743" s="3796"/>
      <c r="AJH743" s="3796"/>
      <c r="AJI743" s="3796"/>
      <c r="AJJ743" s="3796"/>
      <c r="AJK743" s="3796"/>
      <c r="AJL743" s="3796"/>
      <c r="AJM743" s="3796"/>
      <c r="AJN743" s="3796"/>
      <c r="AJO743" s="3796"/>
      <c r="AJP743" s="3796"/>
      <c r="AJQ743" s="3796"/>
      <c r="AJR743" s="3796"/>
      <c r="AJS743" s="3796"/>
      <c r="AJT743" s="3796"/>
      <c r="AJU743" s="3796"/>
      <c r="AJV743" s="3796"/>
      <c r="AJW743" s="3796"/>
      <c r="AJX743" s="3796"/>
      <c r="AJY743" s="3796"/>
      <c r="AJZ743" s="3796"/>
      <c r="AKA743" s="3796"/>
      <c r="AKB743" s="3796"/>
      <c r="AKC743" s="3796"/>
      <c r="AKD743" s="3796"/>
      <c r="AKE743" s="3796"/>
      <c r="AKF743" s="3796"/>
      <c r="AKG743" s="3796"/>
      <c r="AKH743" s="3796"/>
      <c r="AKI743" s="3796"/>
      <c r="AKJ743" s="3796"/>
      <c r="AKK743" s="3796"/>
      <c r="AKL743" s="3796"/>
      <c r="AKM743" s="3796"/>
      <c r="AKN743" s="3796"/>
      <c r="AKO743" s="3796"/>
      <c r="AKP743" s="3796"/>
      <c r="AKQ743" s="3796"/>
      <c r="AKR743" s="3796"/>
      <c r="AKS743" s="3796"/>
      <c r="AKT743" s="3796"/>
      <c r="AKU743" s="3796"/>
      <c r="AKV743" s="3796"/>
      <c r="AKW743" s="3796"/>
      <c r="AKX743" s="3796"/>
      <c r="AKY743" s="3796"/>
      <c r="AKZ743" s="3796"/>
      <c r="ALA743" s="3796"/>
      <c r="ALB743" s="3796"/>
      <c r="ALC743" s="3796"/>
      <c r="ALD743" s="3796"/>
      <c r="ALE743" s="3796"/>
      <c r="ALF743" s="3796"/>
      <c r="ALG743" s="3796"/>
      <c r="ALH743" s="3796"/>
      <c r="ALI743" s="3796"/>
      <c r="ALJ743" s="3796"/>
      <c r="ALK743" s="3796"/>
      <c r="ALL743" s="3796"/>
      <c r="ALM743" s="3796"/>
      <c r="ALN743" s="3796"/>
      <c r="ALO743" s="3796"/>
      <c r="ALP743" s="3796"/>
      <c r="ALQ743" s="3796"/>
      <c r="ALR743" s="3796"/>
      <c r="ALS743" s="3796"/>
      <c r="ALT743" s="3796"/>
      <c r="ALU743" s="3796"/>
      <c r="ALV743" s="3796"/>
      <c r="ALW743" s="3796"/>
      <c r="ALX743" s="3796"/>
      <c r="ALY743" s="3796"/>
      <c r="ALZ743" s="3796"/>
      <c r="AMA743" s="3796"/>
      <c r="AMB743" s="3796"/>
      <c r="AMC743" s="3796"/>
      <c r="AMD743" s="3796"/>
      <c r="AME743" s="3796"/>
      <c r="AMF743" s="3796"/>
      <c r="AMG743" s="3796"/>
      <c r="AMH743" s="3796"/>
      <c r="AMI743" s="3796"/>
      <c r="AMJ743" s="3796"/>
      <c r="AMK743" s="3796"/>
      <c r="AMP743" s="3796"/>
      <c r="AMV743" s="3796"/>
      <c r="AMW743" s="3796"/>
      <c r="AMX743" s="3796"/>
      <c r="ANB743" s="3796"/>
      <c r="ANI743" s="3796"/>
      <c r="ANJ743" s="3796"/>
      <c r="ANK743" s="3796"/>
      <c r="ANL743" s="3796"/>
      <c r="ANM743" s="3796"/>
      <c r="ANN743" s="3796"/>
      <c r="ANO743" s="3796"/>
      <c r="ANP743" s="3796"/>
      <c r="ANQ743" s="3796"/>
      <c r="ANR743" s="3796"/>
      <c r="ANS743" s="3796"/>
      <c r="ANT743" s="3796"/>
      <c r="ANU743" s="3796"/>
      <c r="ANV743" s="3796"/>
      <c r="ANW743" s="3796"/>
      <c r="ANX743" s="3796"/>
      <c r="ANY743" s="3796"/>
      <c r="ANZ743" s="3796"/>
      <c r="AOA743" s="3796"/>
      <c r="AOB743" s="3796"/>
      <c r="AOC743" s="3796"/>
      <c r="AOD743" s="3796"/>
      <c r="AOE743" s="3796"/>
      <c r="AOF743" s="3796"/>
      <c r="AOG743" s="3796"/>
      <c r="AOH743" s="3796"/>
      <c r="AOI743" s="3796"/>
      <c r="AOJ743" s="3796"/>
      <c r="AOK743" s="3796"/>
      <c r="AOL743" s="3796"/>
      <c r="AOM743" s="3796"/>
      <c r="AON743" s="3796"/>
      <c r="AOO743" s="3796"/>
      <c r="AOP743" s="3796"/>
      <c r="AOQ743" s="3796"/>
      <c r="AOR743" s="3796"/>
      <c r="AOS743" s="3796"/>
      <c r="AOT743" s="3796"/>
      <c r="AOU743" s="3796"/>
      <c r="AOV743" s="3796"/>
      <c r="AOW743" s="3796"/>
      <c r="AOX743" s="3796"/>
      <c r="AOY743" s="3796"/>
      <c r="AOZ743" s="3796"/>
      <c r="APA743" s="3796"/>
      <c r="APB743" s="3796"/>
      <c r="APC743" s="3796"/>
      <c r="APD743" s="3796"/>
      <c r="APE743" s="3796"/>
      <c r="APF743" s="3796"/>
      <c r="APG743" s="3796"/>
      <c r="APH743" s="3796"/>
      <c r="API743" s="3796"/>
      <c r="APJ743" s="3796"/>
      <c r="APK743" s="3796"/>
      <c r="APL743" s="3796"/>
      <c r="APM743" s="3796"/>
      <c r="APN743" s="3796"/>
      <c r="APO743" s="3796"/>
      <c r="APP743" s="3796"/>
      <c r="APQ743" s="3796"/>
      <c r="APR743" s="3796"/>
      <c r="APS743" s="3796"/>
      <c r="APT743" s="3796"/>
      <c r="APU743" s="3796"/>
      <c r="APV743" s="3796"/>
      <c r="APW743" s="3796"/>
      <c r="APX743" s="3796"/>
      <c r="APY743" s="3796"/>
      <c r="APZ743" s="3796"/>
      <c r="AQA743" s="3796"/>
      <c r="AQB743" s="3796"/>
      <c r="AQC743" s="3796"/>
      <c r="AQD743" s="3796"/>
      <c r="AQE743" s="3796"/>
      <c r="AQF743" s="3796"/>
      <c r="AQG743" s="3796"/>
      <c r="AQH743" s="3796"/>
      <c r="AQI743" s="3796"/>
      <c r="AQJ743" s="3796"/>
      <c r="AQK743" s="3796"/>
      <c r="AQL743" s="3796"/>
      <c r="AQM743" s="3796"/>
      <c r="AQN743" s="3796"/>
      <c r="AQO743" s="3796"/>
      <c r="AQP743" s="3796"/>
      <c r="AQQ743" s="3796"/>
      <c r="AQR743" s="3796"/>
      <c r="AQS743" s="3796"/>
      <c r="AQT743" s="3796"/>
      <c r="AQU743" s="3796"/>
      <c r="AQV743" s="3796"/>
      <c r="AQW743" s="3796"/>
      <c r="AQX743" s="3796"/>
      <c r="AQY743" s="3796"/>
      <c r="AQZ743" s="3796"/>
      <c r="ARA743" s="3796"/>
      <c r="ARB743" s="3796"/>
      <c r="ARC743" s="3796"/>
      <c r="ARD743" s="3796"/>
      <c r="ARE743" s="3796"/>
      <c r="ARF743" s="3796"/>
      <c r="ARG743" s="3796"/>
      <c r="ARH743" s="3796"/>
      <c r="ARI743" s="3796"/>
      <c r="ARJ743" s="3796"/>
      <c r="ARK743" s="3796"/>
      <c r="ARL743" s="3796"/>
      <c r="ARM743" s="3796"/>
      <c r="ARN743" s="3796"/>
      <c r="ARO743" s="3796"/>
      <c r="ARP743" s="3796"/>
      <c r="ARQ743" s="3796"/>
      <c r="ARR743" s="3796"/>
      <c r="ARS743" s="3796"/>
      <c r="ART743" s="3796"/>
      <c r="ARU743" s="3796"/>
      <c r="ARV743" s="3796"/>
      <c r="ARW743" s="3796"/>
      <c r="ARX743" s="3796"/>
      <c r="ARY743" s="3796"/>
      <c r="ARZ743" s="3796"/>
      <c r="ASA743" s="3796"/>
      <c r="ASB743" s="3796"/>
      <c r="ASC743" s="3796"/>
      <c r="ASD743" s="3796"/>
      <c r="ASE743" s="3796"/>
      <c r="ASF743" s="3796"/>
      <c r="ASG743" s="3796"/>
      <c r="ASH743" s="3796"/>
      <c r="ASI743" s="3796"/>
      <c r="ASJ743" s="3796"/>
      <c r="ASK743" s="3796"/>
      <c r="ASL743" s="3796"/>
      <c r="ASM743" s="3796"/>
      <c r="ASN743" s="3796"/>
      <c r="ASO743" s="3796"/>
      <c r="ASP743" s="3796"/>
      <c r="ASQ743" s="3796"/>
      <c r="ASR743" s="3796"/>
      <c r="ASS743" s="3796"/>
      <c r="AST743" s="3796"/>
      <c r="ASU743" s="3796"/>
      <c r="ASV743" s="3796"/>
      <c r="ASW743" s="3796"/>
      <c r="ASX743" s="3796"/>
      <c r="ASY743" s="3796"/>
      <c r="ASZ743" s="3796"/>
      <c r="ATA743" s="3796"/>
      <c r="ATB743" s="3796"/>
      <c r="ATC743" s="3796"/>
      <c r="ATD743" s="3796"/>
      <c r="ATE743" s="3796"/>
      <c r="ATF743" s="3796"/>
      <c r="ATG743" s="3796"/>
      <c r="ATH743" s="3796"/>
      <c r="ATI743" s="3796"/>
      <c r="ATJ743" s="3796"/>
      <c r="ATK743" s="3796"/>
      <c r="ATL743" s="3796"/>
      <c r="ATM743" s="3796"/>
      <c r="ATN743" s="3796"/>
      <c r="ATO743" s="3796"/>
      <c r="ATP743" s="3796"/>
      <c r="ATQ743" s="3796"/>
      <c r="ATR743" s="3796"/>
      <c r="ATS743" s="3796"/>
      <c r="ATT743" s="3796"/>
      <c r="ATU743" s="3796"/>
      <c r="ATV743" s="3796"/>
      <c r="ATW743" s="3796"/>
      <c r="ATX743" s="3796"/>
      <c r="ATY743" s="3796"/>
      <c r="ATZ743" s="3796"/>
      <c r="AUA743" s="3796"/>
      <c r="AUB743" s="3796"/>
      <c r="AUC743" s="3796"/>
      <c r="AUD743" s="3796"/>
      <c r="AUE743" s="3796"/>
      <c r="AUF743" s="3796"/>
      <c r="AUG743" s="3796"/>
      <c r="AUH743" s="3796"/>
      <c r="AUI743" s="3796"/>
      <c r="AUJ743" s="3796"/>
      <c r="AUK743" s="3796"/>
      <c r="AUL743" s="3796"/>
      <c r="AUM743" s="3796"/>
      <c r="AUN743" s="3796"/>
      <c r="AUO743" s="3796"/>
      <c r="AUP743" s="3796"/>
      <c r="AUQ743" s="3796"/>
      <c r="AUR743" s="3796"/>
      <c r="AUS743" s="3796"/>
      <c r="AUT743" s="3796"/>
      <c r="AUU743" s="3796"/>
      <c r="AUV743" s="3796"/>
      <c r="AUW743" s="3796"/>
      <c r="AUX743" s="3796"/>
      <c r="AUY743" s="3796"/>
      <c r="AUZ743" s="3796"/>
      <c r="AVA743" s="3796"/>
      <c r="AVB743" s="3796"/>
      <c r="AVC743" s="3796"/>
      <c r="AVD743" s="3796"/>
      <c r="AVE743" s="3796"/>
      <c r="AVF743" s="3796"/>
      <c r="AVG743" s="3796"/>
      <c r="AVH743" s="3796"/>
      <c r="AVI743" s="3796"/>
      <c r="AVJ743" s="3796"/>
      <c r="AVK743" s="3796"/>
      <c r="AVL743" s="3796"/>
      <c r="AVM743" s="3796"/>
      <c r="AVN743" s="3796"/>
      <c r="AVO743" s="3796"/>
      <c r="AVP743" s="3796"/>
      <c r="AVQ743" s="3796"/>
      <c r="AVR743" s="3796"/>
      <c r="AVS743" s="3796"/>
      <c r="AVT743" s="3796"/>
      <c r="AVU743" s="3796"/>
      <c r="AVV743" s="3796"/>
      <c r="AVW743" s="3796"/>
      <c r="AVX743" s="3796"/>
      <c r="AVY743" s="3796"/>
      <c r="AVZ743" s="3796"/>
      <c r="AWA743" s="3796"/>
      <c r="AWB743" s="3796"/>
      <c r="AWC743" s="3796"/>
      <c r="AWD743" s="3796"/>
      <c r="AWE743" s="3796"/>
      <c r="AWF743" s="3796"/>
      <c r="AWG743" s="3796"/>
      <c r="AWL743" s="3796"/>
      <c r="AWR743" s="3796"/>
      <c r="AWS743" s="3796"/>
      <c r="AWT743" s="3796"/>
      <c r="AWX743" s="3796"/>
      <c r="AXE743" s="3796"/>
      <c r="AXF743" s="3796"/>
      <c r="AXG743" s="3796"/>
      <c r="AXH743" s="3796"/>
      <c r="AXI743" s="3796"/>
      <c r="AXJ743" s="3796"/>
      <c r="AXK743" s="3796"/>
      <c r="AXL743" s="3796"/>
      <c r="AXM743" s="3796"/>
      <c r="AXN743" s="3796"/>
      <c r="AXO743" s="3796"/>
      <c r="AXP743" s="3796"/>
      <c r="AXQ743" s="3796"/>
      <c r="AXR743" s="3796"/>
      <c r="AXS743" s="3796"/>
      <c r="AXT743" s="3796"/>
      <c r="AXU743" s="3796"/>
      <c r="AXV743" s="3796"/>
      <c r="AXW743" s="3796"/>
      <c r="AXX743" s="3796"/>
      <c r="AXY743" s="3796"/>
      <c r="AXZ743" s="3796"/>
      <c r="AYA743" s="3796"/>
      <c r="AYB743" s="3796"/>
      <c r="AYC743" s="3796"/>
      <c r="AYD743" s="3796"/>
      <c r="AYE743" s="3796"/>
      <c r="AYF743" s="3796"/>
      <c r="AYG743" s="3796"/>
      <c r="AYH743" s="3796"/>
      <c r="AYI743" s="3796"/>
      <c r="AYJ743" s="3796"/>
      <c r="AYK743" s="3796"/>
      <c r="AYL743" s="3796"/>
      <c r="AYM743" s="3796"/>
      <c r="AYN743" s="3796"/>
      <c r="AYO743" s="3796"/>
      <c r="AYP743" s="3796"/>
      <c r="AYQ743" s="3796"/>
      <c r="AYR743" s="3796"/>
      <c r="AYS743" s="3796"/>
      <c r="AYT743" s="3796"/>
      <c r="AYU743" s="3796"/>
      <c r="AYV743" s="3796"/>
      <c r="AYW743" s="3796"/>
      <c r="AYX743" s="3796"/>
      <c r="AYY743" s="3796"/>
      <c r="AYZ743" s="3796"/>
      <c r="AZA743" s="3796"/>
      <c r="AZB743" s="3796"/>
      <c r="AZC743" s="3796"/>
      <c r="AZD743" s="3796"/>
      <c r="AZE743" s="3796"/>
      <c r="AZF743" s="3796"/>
      <c r="AZG743" s="3796"/>
      <c r="AZH743" s="3796"/>
      <c r="AZI743" s="3796"/>
      <c r="AZJ743" s="3796"/>
      <c r="AZK743" s="3796"/>
      <c r="AZL743" s="3796"/>
      <c r="AZM743" s="3796"/>
      <c r="AZN743" s="3796"/>
      <c r="AZO743" s="3796"/>
      <c r="AZP743" s="3796"/>
      <c r="AZQ743" s="3796"/>
      <c r="AZR743" s="3796"/>
      <c r="AZS743" s="3796"/>
      <c r="AZT743" s="3796"/>
      <c r="AZU743" s="3796"/>
      <c r="AZV743" s="3796"/>
      <c r="AZW743" s="3796"/>
      <c r="AZX743" s="3796"/>
      <c r="AZY743" s="3796"/>
      <c r="AZZ743" s="3796"/>
      <c r="BAA743" s="3796"/>
      <c r="BAB743" s="3796"/>
      <c r="BAC743" s="3796"/>
      <c r="BAD743" s="3796"/>
      <c r="BAE743" s="3796"/>
      <c r="BAF743" s="3796"/>
      <c r="BAG743" s="3796"/>
      <c r="BAH743" s="3796"/>
      <c r="BAI743" s="3796"/>
      <c r="BAJ743" s="3796"/>
      <c r="BAK743" s="3796"/>
      <c r="BAL743" s="3796"/>
      <c r="BAM743" s="3796"/>
      <c r="BAN743" s="3796"/>
      <c r="BAO743" s="3796"/>
      <c r="BAP743" s="3796"/>
      <c r="BAQ743" s="3796"/>
      <c r="BAR743" s="3796"/>
      <c r="BAS743" s="3796"/>
      <c r="BAT743" s="3796"/>
      <c r="BAU743" s="3796"/>
      <c r="BAV743" s="3796"/>
      <c r="BAW743" s="3796"/>
      <c r="BAX743" s="3796"/>
      <c r="BAY743" s="3796"/>
      <c r="BAZ743" s="3796"/>
      <c r="BBA743" s="3796"/>
      <c r="BBB743" s="3796"/>
      <c r="BBC743" s="3796"/>
      <c r="BBD743" s="3796"/>
      <c r="BBE743" s="3796"/>
      <c r="BBF743" s="3796"/>
      <c r="BBG743" s="3796"/>
      <c r="BBH743" s="3796"/>
      <c r="BBI743" s="3796"/>
      <c r="BBJ743" s="3796"/>
      <c r="BBK743" s="3796"/>
      <c r="BBL743" s="3796"/>
      <c r="BBM743" s="3796"/>
      <c r="BBN743" s="3796"/>
      <c r="BBO743" s="3796"/>
      <c r="BBP743" s="3796"/>
      <c r="BBQ743" s="3796"/>
      <c r="BBR743" s="3796"/>
      <c r="BBS743" s="3796"/>
      <c r="BBT743" s="3796"/>
      <c r="BBU743" s="3796"/>
      <c r="BBV743" s="3796"/>
      <c r="BBW743" s="3796"/>
      <c r="BBX743" s="3796"/>
      <c r="BBY743" s="3796"/>
      <c r="BBZ743" s="3796"/>
      <c r="BCA743" s="3796"/>
      <c r="BCB743" s="3796"/>
      <c r="BCC743" s="3796"/>
      <c r="BCD743" s="3796"/>
      <c r="BCE743" s="3796"/>
      <c r="BCF743" s="3796"/>
      <c r="BCG743" s="3796"/>
      <c r="BCH743" s="3796"/>
      <c r="BCI743" s="3796"/>
      <c r="BCJ743" s="3796"/>
      <c r="BCK743" s="3796"/>
      <c r="BCL743" s="3796"/>
      <c r="BCM743" s="3796"/>
      <c r="BCN743" s="3796"/>
      <c r="BCO743" s="3796"/>
      <c r="BCP743" s="3796"/>
      <c r="BCQ743" s="3796"/>
      <c r="BCR743" s="3796"/>
      <c r="BCS743" s="3796"/>
      <c r="BCT743" s="3796"/>
      <c r="BCU743" s="3796"/>
      <c r="BCV743" s="3796"/>
      <c r="BCW743" s="3796"/>
      <c r="BCX743" s="3796"/>
      <c r="BCY743" s="3796"/>
      <c r="BCZ743" s="3796"/>
      <c r="BDA743" s="3796"/>
      <c r="BDB743" s="3796"/>
      <c r="BDC743" s="3796"/>
      <c r="BDD743" s="3796"/>
      <c r="BDE743" s="3796"/>
      <c r="BDF743" s="3796"/>
      <c r="BDG743" s="3796"/>
      <c r="BDH743" s="3796"/>
      <c r="BDI743" s="3796"/>
      <c r="BDJ743" s="3796"/>
      <c r="BDK743" s="3796"/>
      <c r="BDL743" s="3796"/>
      <c r="BDM743" s="3796"/>
      <c r="BDN743" s="3796"/>
      <c r="BDO743" s="3796"/>
      <c r="BDP743" s="3796"/>
      <c r="BDQ743" s="3796"/>
      <c r="BDR743" s="3796"/>
      <c r="BDS743" s="3796"/>
      <c r="BDT743" s="3796"/>
      <c r="BDU743" s="3796"/>
      <c r="BDV743" s="3796"/>
      <c r="BDW743" s="3796"/>
      <c r="BDX743" s="3796"/>
      <c r="BDY743" s="3796"/>
      <c r="BDZ743" s="3796"/>
      <c r="BEA743" s="3796"/>
      <c r="BEB743" s="3796"/>
      <c r="BEC743" s="3796"/>
      <c r="BED743" s="3796"/>
      <c r="BEE743" s="3796"/>
      <c r="BEF743" s="3796"/>
      <c r="BEG743" s="3796"/>
      <c r="BEH743" s="3796"/>
      <c r="BEI743" s="3796"/>
      <c r="BEJ743" s="3796"/>
      <c r="BEK743" s="3796"/>
      <c r="BEL743" s="3796"/>
      <c r="BEM743" s="3796"/>
      <c r="BEN743" s="3796"/>
      <c r="BEO743" s="3796"/>
      <c r="BEP743" s="3796"/>
      <c r="BEQ743" s="3796"/>
      <c r="BER743" s="3796"/>
      <c r="BES743" s="3796"/>
      <c r="BET743" s="3796"/>
      <c r="BEU743" s="3796"/>
      <c r="BEV743" s="3796"/>
      <c r="BEW743" s="3796"/>
      <c r="BEX743" s="3796"/>
      <c r="BEY743" s="3796"/>
      <c r="BEZ743" s="3796"/>
      <c r="BFA743" s="3796"/>
      <c r="BFB743" s="3796"/>
      <c r="BFC743" s="3796"/>
      <c r="BFD743" s="3796"/>
      <c r="BFE743" s="3796"/>
      <c r="BFF743" s="3796"/>
      <c r="BFG743" s="3796"/>
      <c r="BFH743" s="3796"/>
      <c r="BFI743" s="3796"/>
      <c r="BFJ743" s="3796"/>
      <c r="BFK743" s="3796"/>
      <c r="BFL743" s="3796"/>
      <c r="BFM743" s="3796"/>
      <c r="BFN743" s="3796"/>
      <c r="BFO743" s="3796"/>
      <c r="BFP743" s="3796"/>
      <c r="BFQ743" s="3796"/>
      <c r="BFR743" s="3796"/>
      <c r="BFS743" s="3796"/>
      <c r="BFT743" s="3796"/>
      <c r="BFU743" s="3796"/>
      <c r="BFV743" s="3796"/>
      <c r="BFW743" s="3796"/>
      <c r="BFX743" s="3796"/>
      <c r="BFY743" s="3796"/>
      <c r="BFZ743" s="3796"/>
      <c r="BGA743" s="3796"/>
      <c r="BGB743" s="3796"/>
      <c r="BGC743" s="3796"/>
      <c r="BGH743" s="3796"/>
      <c r="BGN743" s="3796"/>
      <c r="BGO743" s="3796"/>
      <c r="BGP743" s="3796"/>
      <c r="BGT743" s="3796"/>
      <c r="BHA743" s="3796"/>
      <c r="BHB743" s="3796"/>
      <c r="BHC743" s="3796"/>
      <c r="BHD743" s="3796"/>
      <c r="BHE743" s="3796"/>
      <c r="BHF743" s="3796"/>
      <c r="BHG743" s="3796"/>
      <c r="BHH743" s="3796"/>
      <c r="BHI743" s="3796"/>
      <c r="BHJ743" s="3796"/>
      <c r="BHK743" s="3796"/>
      <c r="BHL743" s="3796"/>
      <c r="BHM743" s="3796"/>
      <c r="BHN743" s="3796"/>
      <c r="BHO743" s="3796"/>
      <c r="BHP743" s="3796"/>
      <c r="BHQ743" s="3796"/>
      <c r="BHR743" s="3796"/>
      <c r="BHS743" s="3796"/>
      <c r="BHT743" s="3796"/>
      <c r="BHU743" s="3796"/>
      <c r="BHV743" s="3796"/>
      <c r="BHW743" s="3796"/>
      <c r="BHX743" s="3796"/>
      <c r="BHY743" s="3796"/>
      <c r="BHZ743" s="3796"/>
      <c r="BIA743" s="3796"/>
      <c r="BIB743" s="3796"/>
      <c r="BIC743" s="3796"/>
      <c r="BID743" s="3796"/>
      <c r="BIE743" s="3796"/>
      <c r="BIF743" s="3796"/>
      <c r="BIG743" s="3796"/>
      <c r="BIH743" s="3796"/>
      <c r="BII743" s="3796"/>
      <c r="BIJ743" s="3796"/>
      <c r="BIK743" s="3796"/>
      <c r="BIL743" s="3796"/>
      <c r="BIM743" s="3796"/>
      <c r="BIN743" s="3796"/>
      <c r="BIO743" s="3796"/>
      <c r="BIP743" s="3796"/>
      <c r="BIQ743" s="3796"/>
      <c r="BIR743" s="3796"/>
      <c r="BIS743" s="3796"/>
      <c r="BIT743" s="3796"/>
      <c r="BIU743" s="3796"/>
      <c r="BIV743" s="3796"/>
      <c r="BIW743" s="3796"/>
      <c r="BIX743" s="3796"/>
      <c r="BIY743" s="3796"/>
      <c r="BIZ743" s="3796"/>
      <c r="BJA743" s="3796"/>
      <c r="BJB743" s="3796"/>
      <c r="BJC743" s="3796"/>
      <c r="BJD743" s="3796"/>
      <c r="BJE743" s="3796"/>
      <c r="BJF743" s="3796"/>
      <c r="BJG743" s="3796"/>
      <c r="BJH743" s="3796"/>
      <c r="BJI743" s="3796"/>
      <c r="BJJ743" s="3796"/>
      <c r="BJK743" s="3796"/>
      <c r="BJL743" s="3796"/>
      <c r="BJM743" s="3796"/>
      <c r="BJN743" s="3796"/>
      <c r="BJO743" s="3796"/>
      <c r="BJP743" s="3796"/>
      <c r="BJQ743" s="3796"/>
      <c r="BJR743" s="3796"/>
      <c r="BJS743" s="3796"/>
      <c r="BJT743" s="3796"/>
      <c r="BJU743" s="3796"/>
      <c r="BJV743" s="3796"/>
      <c r="BJW743" s="3796"/>
      <c r="BJX743" s="3796"/>
      <c r="BJY743" s="3796"/>
      <c r="BJZ743" s="3796"/>
      <c r="BKA743" s="3796"/>
      <c r="BKB743" s="3796"/>
      <c r="BKC743" s="3796"/>
      <c r="BKD743" s="3796"/>
      <c r="BKE743" s="3796"/>
      <c r="BKF743" s="3796"/>
      <c r="BKG743" s="3796"/>
      <c r="BKH743" s="3796"/>
      <c r="BKI743" s="3796"/>
      <c r="BKJ743" s="3796"/>
      <c r="BKK743" s="3796"/>
      <c r="BKL743" s="3796"/>
      <c r="BKM743" s="3796"/>
      <c r="BKN743" s="3796"/>
      <c r="BKO743" s="3796"/>
      <c r="BKP743" s="3796"/>
      <c r="BKQ743" s="3796"/>
      <c r="BKR743" s="3796"/>
      <c r="BKS743" s="3796"/>
      <c r="BKT743" s="3796"/>
      <c r="BKU743" s="3796"/>
      <c r="BKV743" s="3796"/>
      <c r="BKW743" s="3796"/>
      <c r="BKX743" s="3796"/>
      <c r="BKY743" s="3796"/>
      <c r="BKZ743" s="3796"/>
      <c r="BLA743" s="3796"/>
      <c r="BLB743" s="3796"/>
      <c r="BLC743" s="3796"/>
      <c r="BLD743" s="3796"/>
      <c r="BLE743" s="3796"/>
      <c r="BLF743" s="3796"/>
      <c r="BLG743" s="3796"/>
      <c r="BLH743" s="3796"/>
      <c r="BLI743" s="3796"/>
      <c r="BLJ743" s="3796"/>
      <c r="BLK743" s="3796"/>
      <c r="BLL743" s="3796"/>
      <c r="BLM743" s="3796"/>
      <c r="BLN743" s="3796"/>
      <c r="BLO743" s="3796"/>
      <c r="BLP743" s="3796"/>
      <c r="BLQ743" s="3796"/>
      <c r="BLR743" s="3796"/>
      <c r="BLS743" s="3796"/>
      <c r="BLT743" s="3796"/>
      <c r="BLU743" s="3796"/>
      <c r="BLV743" s="3796"/>
      <c r="BLW743" s="3796"/>
      <c r="BLX743" s="3796"/>
      <c r="BLY743" s="3796"/>
      <c r="BLZ743" s="3796"/>
      <c r="BMA743" s="3796"/>
      <c r="BMB743" s="3796"/>
      <c r="BMC743" s="3796"/>
      <c r="BMD743" s="3796"/>
      <c r="BME743" s="3796"/>
      <c r="BMF743" s="3796"/>
      <c r="BMG743" s="3796"/>
      <c r="BMH743" s="3796"/>
      <c r="BMI743" s="3796"/>
      <c r="BMJ743" s="3796"/>
      <c r="BMK743" s="3796"/>
      <c r="BML743" s="3796"/>
      <c r="BMM743" s="3796"/>
      <c r="BMN743" s="3796"/>
      <c r="BMO743" s="3796"/>
      <c r="BMP743" s="3796"/>
      <c r="BMQ743" s="3796"/>
      <c r="BMR743" s="3796"/>
      <c r="BMS743" s="3796"/>
      <c r="BMT743" s="3796"/>
      <c r="BMU743" s="3796"/>
      <c r="BMV743" s="3796"/>
      <c r="BMW743" s="3796"/>
      <c r="BMX743" s="3796"/>
      <c r="BMY743" s="3796"/>
      <c r="BMZ743" s="3796"/>
      <c r="BNA743" s="3796"/>
      <c r="BNB743" s="3796"/>
      <c r="BNC743" s="3796"/>
      <c r="BND743" s="3796"/>
      <c r="BNE743" s="3796"/>
      <c r="BNF743" s="3796"/>
      <c r="BNG743" s="3796"/>
      <c r="BNH743" s="3796"/>
      <c r="BNI743" s="3796"/>
      <c r="BNJ743" s="3796"/>
      <c r="BNK743" s="3796"/>
      <c r="BNL743" s="3796"/>
      <c r="BNM743" s="3796"/>
      <c r="BNN743" s="3796"/>
      <c r="BNO743" s="3796"/>
      <c r="BNP743" s="3796"/>
      <c r="BNQ743" s="3796"/>
      <c r="BNR743" s="3796"/>
      <c r="BNS743" s="3796"/>
      <c r="BNT743" s="3796"/>
      <c r="BNU743" s="3796"/>
      <c r="BNV743" s="3796"/>
      <c r="BNW743" s="3796"/>
      <c r="BNX743" s="3796"/>
      <c r="BNY743" s="3796"/>
      <c r="BNZ743" s="3796"/>
      <c r="BOA743" s="3796"/>
      <c r="BOB743" s="3796"/>
      <c r="BOC743" s="3796"/>
      <c r="BOD743" s="3796"/>
      <c r="BOE743" s="3796"/>
      <c r="BOF743" s="3796"/>
      <c r="BOG743" s="3796"/>
      <c r="BOH743" s="3796"/>
      <c r="BOI743" s="3796"/>
      <c r="BOJ743" s="3796"/>
      <c r="BOK743" s="3796"/>
      <c r="BOL743" s="3796"/>
      <c r="BOM743" s="3796"/>
      <c r="BON743" s="3796"/>
      <c r="BOO743" s="3796"/>
      <c r="BOP743" s="3796"/>
      <c r="BOQ743" s="3796"/>
      <c r="BOR743" s="3796"/>
      <c r="BOS743" s="3796"/>
      <c r="BOT743" s="3796"/>
      <c r="BOU743" s="3796"/>
      <c r="BOV743" s="3796"/>
      <c r="BOW743" s="3796"/>
      <c r="BOX743" s="3796"/>
      <c r="BOY743" s="3796"/>
      <c r="BOZ743" s="3796"/>
      <c r="BPA743" s="3796"/>
      <c r="BPB743" s="3796"/>
      <c r="BPC743" s="3796"/>
      <c r="BPD743" s="3796"/>
      <c r="BPE743" s="3796"/>
      <c r="BPF743" s="3796"/>
      <c r="BPG743" s="3796"/>
      <c r="BPH743" s="3796"/>
      <c r="BPI743" s="3796"/>
      <c r="BPJ743" s="3796"/>
      <c r="BPK743" s="3796"/>
      <c r="BPL743" s="3796"/>
      <c r="BPM743" s="3796"/>
      <c r="BPN743" s="3796"/>
      <c r="BPO743" s="3796"/>
      <c r="BPP743" s="3796"/>
      <c r="BPQ743" s="3796"/>
      <c r="BPR743" s="3796"/>
      <c r="BPS743" s="3796"/>
      <c r="BPT743" s="3796"/>
      <c r="BPU743" s="3796"/>
      <c r="BPV743" s="3796"/>
      <c r="BPW743" s="3796"/>
      <c r="BPX743" s="3796"/>
      <c r="BPY743" s="3796"/>
      <c r="BQD743" s="3796"/>
      <c r="BQJ743" s="3796"/>
      <c r="BQK743" s="3796"/>
      <c r="BQL743" s="3796"/>
      <c r="BQP743" s="3796"/>
      <c r="BQW743" s="3796"/>
      <c r="BQX743" s="3796"/>
      <c r="BQY743" s="3796"/>
      <c r="BQZ743" s="3796"/>
      <c r="BRA743" s="3796"/>
      <c r="BRB743" s="3796"/>
      <c r="BRC743" s="3796"/>
      <c r="BRD743" s="3796"/>
      <c r="BRE743" s="3796"/>
      <c r="BRF743" s="3796"/>
      <c r="BRG743" s="3796"/>
      <c r="BRH743" s="3796"/>
      <c r="BRI743" s="3796"/>
      <c r="BRJ743" s="3796"/>
      <c r="BRK743" s="3796"/>
      <c r="BRL743" s="3796"/>
      <c r="BRM743" s="3796"/>
      <c r="BRN743" s="3796"/>
      <c r="BRO743" s="3796"/>
      <c r="BRP743" s="3796"/>
      <c r="BRQ743" s="3796"/>
      <c r="BRR743" s="3796"/>
      <c r="BRS743" s="3796"/>
      <c r="BRT743" s="3796"/>
      <c r="BRU743" s="3796"/>
      <c r="BRV743" s="3796"/>
      <c r="BRW743" s="3796"/>
      <c r="BRX743" s="3796"/>
      <c r="BRY743" s="3796"/>
      <c r="BRZ743" s="3796"/>
      <c r="BSA743" s="3796"/>
      <c r="BSB743" s="3796"/>
      <c r="BSC743" s="3796"/>
      <c r="BSD743" s="3796"/>
      <c r="BSE743" s="3796"/>
      <c r="BSF743" s="3796"/>
      <c r="BSG743" s="3796"/>
      <c r="BSH743" s="3796"/>
      <c r="BSI743" s="3796"/>
      <c r="BSJ743" s="3796"/>
      <c r="BSK743" s="3796"/>
      <c r="BSL743" s="3796"/>
      <c r="BSM743" s="3796"/>
      <c r="BSN743" s="3796"/>
      <c r="BSO743" s="3796"/>
      <c r="BSP743" s="3796"/>
      <c r="BSQ743" s="3796"/>
      <c r="BSR743" s="3796"/>
      <c r="BSS743" s="3796"/>
      <c r="BST743" s="3796"/>
      <c r="BSU743" s="3796"/>
      <c r="BSV743" s="3796"/>
      <c r="BSW743" s="3796"/>
      <c r="BSX743" s="3796"/>
      <c r="BSY743" s="3796"/>
      <c r="BSZ743" s="3796"/>
      <c r="BTA743" s="3796"/>
      <c r="BTB743" s="3796"/>
      <c r="BTC743" s="3796"/>
      <c r="BTD743" s="3796"/>
      <c r="BTE743" s="3796"/>
      <c r="BTF743" s="3796"/>
      <c r="BTG743" s="3796"/>
      <c r="BTH743" s="3796"/>
      <c r="BTI743" s="3796"/>
      <c r="BTJ743" s="3796"/>
      <c r="BTK743" s="3796"/>
      <c r="BTL743" s="3796"/>
      <c r="BTM743" s="3796"/>
      <c r="BTN743" s="3796"/>
      <c r="BTO743" s="3796"/>
      <c r="BTP743" s="3796"/>
      <c r="BTQ743" s="3796"/>
      <c r="BTR743" s="3796"/>
      <c r="BTS743" s="3796"/>
      <c r="BTT743" s="3796"/>
      <c r="BTU743" s="3796"/>
      <c r="BTV743" s="3796"/>
      <c r="BTW743" s="3796"/>
      <c r="BTX743" s="3796"/>
      <c r="BTY743" s="3796"/>
      <c r="BTZ743" s="3796"/>
      <c r="BUA743" s="3796"/>
      <c r="BUB743" s="3796"/>
      <c r="BUC743" s="3796"/>
      <c r="BUD743" s="3796"/>
      <c r="BUE743" s="3796"/>
      <c r="BUF743" s="3796"/>
      <c r="BUG743" s="3796"/>
      <c r="BUH743" s="3796"/>
      <c r="BUI743" s="3796"/>
      <c r="BUJ743" s="3796"/>
      <c r="BUK743" s="3796"/>
      <c r="BUL743" s="3796"/>
      <c r="BUM743" s="3796"/>
      <c r="BUN743" s="3796"/>
      <c r="BUO743" s="3796"/>
      <c r="BUP743" s="3796"/>
      <c r="BUQ743" s="3796"/>
      <c r="BUR743" s="3796"/>
      <c r="BUS743" s="3796"/>
      <c r="BUT743" s="3796"/>
      <c r="BUU743" s="3796"/>
      <c r="BUV743" s="3796"/>
      <c r="BUW743" s="3796"/>
      <c r="BUX743" s="3796"/>
      <c r="BUY743" s="3796"/>
      <c r="BUZ743" s="3796"/>
      <c r="BVA743" s="3796"/>
      <c r="BVB743" s="3796"/>
      <c r="BVC743" s="3796"/>
      <c r="BVD743" s="3796"/>
      <c r="BVE743" s="3796"/>
      <c r="BVF743" s="3796"/>
      <c r="BVG743" s="3796"/>
      <c r="BVH743" s="3796"/>
      <c r="BVI743" s="3796"/>
      <c r="BVJ743" s="3796"/>
      <c r="BVK743" s="3796"/>
      <c r="BVL743" s="3796"/>
      <c r="BVM743" s="3796"/>
      <c r="BVN743" s="3796"/>
      <c r="BVO743" s="3796"/>
      <c r="BVP743" s="3796"/>
      <c r="BVQ743" s="3796"/>
      <c r="BVR743" s="3796"/>
      <c r="BVS743" s="3796"/>
      <c r="BVT743" s="3796"/>
      <c r="BVU743" s="3796"/>
      <c r="BVV743" s="3796"/>
      <c r="BVW743" s="3796"/>
      <c r="BVX743" s="3796"/>
      <c r="BVY743" s="3796"/>
      <c r="BVZ743" s="3796"/>
      <c r="BWA743" s="3796"/>
      <c r="BWB743" s="3796"/>
      <c r="BWC743" s="3796"/>
      <c r="BWD743" s="3796"/>
      <c r="BWE743" s="3796"/>
      <c r="BWF743" s="3796"/>
      <c r="BWG743" s="3796"/>
      <c r="BWH743" s="3796"/>
      <c r="BWI743" s="3796"/>
      <c r="BWJ743" s="3796"/>
      <c r="BWK743" s="3796"/>
      <c r="BWL743" s="3796"/>
      <c r="BWM743" s="3796"/>
      <c r="BWN743" s="3796"/>
      <c r="BWO743" s="3796"/>
      <c r="BWP743" s="3796"/>
      <c r="BWQ743" s="3796"/>
      <c r="BWR743" s="3796"/>
      <c r="BWS743" s="3796"/>
      <c r="BWT743" s="3796"/>
      <c r="BWU743" s="3796"/>
      <c r="BWV743" s="3796"/>
      <c r="BWW743" s="3796"/>
      <c r="BWX743" s="3796"/>
      <c r="BWY743" s="3796"/>
      <c r="BWZ743" s="3796"/>
      <c r="BXA743" s="3796"/>
      <c r="BXB743" s="3796"/>
      <c r="BXC743" s="3796"/>
      <c r="BXD743" s="3796"/>
      <c r="BXE743" s="3796"/>
      <c r="BXF743" s="3796"/>
      <c r="BXG743" s="3796"/>
      <c r="BXH743" s="3796"/>
      <c r="BXI743" s="3796"/>
      <c r="BXJ743" s="3796"/>
      <c r="BXK743" s="3796"/>
      <c r="BXL743" s="3796"/>
      <c r="BXM743" s="3796"/>
      <c r="BXN743" s="3796"/>
      <c r="BXO743" s="3796"/>
      <c r="BXP743" s="3796"/>
      <c r="BXQ743" s="3796"/>
      <c r="BXR743" s="3796"/>
      <c r="BXS743" s="3796"/>
      <c r="BXT743" s="3796"/>
      <c r="BXU743" s="3796"/>
      <c r="BXV743" s="3796"/>
      <c r="BXW743" s="3796"/>
      <c r="BXX743" s="3796"/>
      <c r="BXY743" s="3796"/>
      <c r="BXZ743" s="3796"/>
      <c r="BYA743" s="3796"/>
      <c r="BYB743" s="3796"/>
      <c r="BYC743" s="3796"/>
      <c r="BYD743" s="3796"/>
      <c r="BYE743" s="3796"/>
      <c r="BYF743" s="3796"/>
      <c r="BYG743" s="3796"/>
      <c r="BYH743" s="3796"/>
      <c r="BYI743" s="3796"/>
      <c r="BYJ743" s="3796"/>
      <c r="BYK743" s="3796"/>
      <c r="BYL743" s="3796"/>
      <c r="BYM743" s="3796"/>
      <c r="BYN743" s="3796"/>
      <c r="BYO743" s="3796"/>
      <c r="BYP743" s="3796"/>
      <c r="BYQ743" s="3796"/>
      <c r="BYR743" s="3796"/>
      <c r="BYS743" s="3796"/>
      <c r="BYT743" s="3796"/>
      <c r="BYU743" s="3796"/>
      <c r="BYV743" s="3796"/>
      <c r="BYW743" s="3796"/>
      <c r="BYX743" s="3796"/>
      <c r="BYY743" s="3796"/>
      <c r="BYZ743" s="3796"/>
      <c r="BZA743" s="3796"/>
      <c r="BZB743" s="3796"/>
      <c r="BZC743" s="3796"/>
      <c r="BZD743" s="3796"/>
      <c r="BZE743" s="3796"/>
      <c r="BZF743" s="3796"/>
      <c r="BZG743" s="3796"/>
      <c r="BZH743" s="3796"/>
      <c r="BZI743" s="3796"/>
      <c r="BZJ743" s="3796"/>
      <c r="BZK743" s="3796"/>
      <c r="BZL743" s="3796"/>
      <c r="BZM743" s="3796"/>
      <c r="BZN743" s="3796"/>
      <c r="BZO743" s="3796"/>
      <c r="BZP743" s="3796"/>
      <c r="BZQ743" s="3796"/>
      <c r="BZR743" s="3796"/>
      <c r="BZS743" s="3796"/>
      <c r="BZT743" s="3796"/>
      <c r="BZU743" s="3796"/>
      <c r="BZZ743" s="3796"/>
      <c r="CAF743" s="3796"/>
      <c r="CAG743" s="3796"/>
      <c r="CAH743" s="3796"/>
      <c r="CAL743" s="3796"/>
      <c r="CAS743" s="3796"/>
      <c r="CAT743" s="3796"/>
      <c r="CAU743" s="3796"/>
      <c r="CAV743" s="3796"/>
      <c r="CAW743" s="3796"/>
      <c r="CAX743" s="3796"/>
      <c r="CAY743" s="3796"/>
      <c r="CAZ743" s="3796"/>
      <c r="CBA743" s="3796"/>
      <c r="CBB743" s="3796"/>
      <c r="CBC743" s="3796"/>
      <c r="CBD743" s="3796"/>
      <c r="CBE743" s="3796"/>
      <c r="CBF743" s="3796"/>
      <c r="CBG743" s="3796"/>
      <c r="CBH743" s="3796"/>
      <c r="CBI743" s="3796"/>
      <c r="CBJ743" s="3796"/>
      <c r="CBK743" s="3796"/>
      <c r="CBL743" s="3796"/>
      <c r="CBM743" s="3796"/>
      <c r="CBN743" s="3796"/>
      <c r="CBO743" s="3796"/>
      <c r="CBP743" s="3796"/>
      <c r="CBQ743" s="3796"/>
      <c r="CBR743" s="3796"/>
      <c r="CBS743" s="3796"/>
      <c r="CBT743" s="3796"/>
      <c r="CBU743" s="3796"/>
      <c r="CBV743" s="3796"/>
      <c r="CBW743" s="3796"/>
      <c r="CBX743" s="3796"/>
      <c r="CBY743" s="3796"/>
      <c r="CBZ743" s="3796"/>
      <c r="CCA743" s="3796"/>
      <c r="CCB743" s="3796"/>
      <c r="CCC743" s="3796"/>
      <c r="CCD743" s="3796"/>
      <c r="CCE743" s="3796"/>
      <c r="CCF743" s="3796"/>
      <c r="CCG743" s="3796"/>
      <c r="CCH743" s="3796"/>
      <c r="CCI743" s="3796"/>
      <c r="CCJ743" s="3796"/>
      <c r="CCK743" s="3796"/>
      <c r="CCL743" s="3796"/>
      <c r="CCM743" s="3796"/>
      <c r="CCN743" s="3796"/>
      <c r="CCO743" s="3796"/>
      <c r="CCP743" s="3796"/>
      <c r="CCQ743" s="3796"/>
      <c r="CCR743" s="3796"/>
      <c r="CCS743" s="3796"/>
      <c r="CCT743" s="3796"/>
      <c r="CCU743" s="3796"/>
      <c r="CCV743" s="3796"/>
      <c r="CCW743" s="3796"/>
      <c r="CCX743" s="3796"/>
      <c r="CCY743" s="3796"/>
      <c r="CCZ743" s="3796"/>
      <c r="CDA743" s="3796"/>
      <c r="CDB743" s="3796"/>
      <c r="CDC743" s="3796"/>
      <c r="CDD743" s="3796"/>
      <c r="CDE743" s="3796"/>
      <c r="CDF743" s="3796"/>
      <c r="CDG743" s="3796"/>
      <c r="CDH743" s="3796"/>
      <c r="CDI743" s="3796"/>
      <c r="CDJ743" s="3796"/>
      <c r="CDK743" s="3796"/>
      <c r="CDL743" s="3796"/>
      <c r="CDM743" s="3796"/>
      <c r="CDN743" s="3796"/>
      <c r="CDO743" s="3796"/>
      <c r="CDP743" s="3796"/>
      <c r="CDQ743" s="3796"/>
      <c r="CDR743" s="3796"/>
      <c r="CDS743" s="3796"/>
      <c r="CDT743" s="3796"/>
      <c r="CDU743" s="3796"/>
      <c r="CDV743" s="3796"/>
      <c r="CDW743" s="3796"/>
      <c r="CDX743" s="3796"/>
      <c r="CDY743" s="3796"/>
      <c r="CDZ743" s="3796"/>
      <c r="CEA743" s="3796"/>
      <c r="CEB743" s="3796"/>
      <c r="CEC743" s="3796"/>
      <c r="CED743" s="3796"/>
      <c r="CEE743" s="3796"/>
      <c r="CEF743" s="3796"/>
      <c r="CEG743" s="3796"/>
      <c r="CEH743" s="3796"/>
      <c r="CEI743" s="3796"/>
      <c r="CEJ743" s="3796"/>
      <c r="CEK743" s="3796"/>
      <c r="CEL743" s="3796"/>
      <c r="CEM743" s="3796"/>
      <c r="CEN743" s="3796"/>
      <c r="CEO743" s="3796"/>
      <c r="CEP743" s="3796"/>
      <c r="CEQ743" s="3796"/>
      <c r="CER743" s="3796"/>
      <c r="CES743" s="3796"/>
      <c r="CET743" s="3796"/>
      <c r="CEU743" s="3796"/>
      <c r="CEV743" s="3796"/>
      <c r="CEW743" s="3796"/>
      <c r="CEX743" s="3796"/>
      <c r="CEY743" s="3796"/>
      <c r="CEZ743" s="3796"/>
      <c r="CFA743" s="3796"/>
      <c r="CFB743" s="3796"/>
      <c r="CFC743" s="3796"/>
      <c r="CFD743" s="3796"/>
      <c r="CFE743" s="3796"/>
      <c r="CFF743" s="3796"/>
      <c r="CFG743" s="3796"/>
      <c r="CFH743" s="3796"/>
      <c r="CFI743" s="3796"/>
      <c r="CFJ743" s="3796"/>
      <c r="CFK743" s="3796"/>
      <c r="CFL743" s="3796"/>
      <c r="CFM743" s="3796"/>
      <c r="CFN743" s="3796"/>
      <c r="CFO743" s="3796"/>
      <c r="CFP743" s="3796"/>
      <c r="CFQ743" s="3796"/>
      <c r="CFR743" s="3796"/>
      <c r="CFS743" s="3796"/>
      <c r="CFT743" s="3796"/>
      <c r="CFU743" s="3796"/>
      <c r="CFV743" s="3796"/>
      <c r="CFW743" s="3796"/>
      <c r="CFX743" s="3796"/>
      <c r="CFY743" s="3796"/>
      <c r="CFZ743" s="3796"/>
      <c r="CGA743" s="3796"/>
      <c r="CGB743" s="3796"/>
      <c r="CGC743" s="3796"/>
      <c r="CGD743" s="3796"/>
      <c r="CGE743" s="3796"/>
      <c r="CGF743" s="3796"/>
      <c r="CGG743" s="3796"/>
      <c r="CGH743" s="3796"/>
      <c r="CGI743" s="3796"/>
      <c r="CGJ743" s="3796"/>
      <c r="CGK743" s="3796"/>
      <c r="CGL743" s="3796"/>
      <c r="CGM743" s="3796"/>
      <c r="CGN743" s="3796"/>
      <c r="CGO743" s="3796"/>
      <c r="CGP743" s="3796"/>
      <c r="CGQ743" s="3796"/>
      <c r="CGR743" s="3796"/>
      <c r="CGS743" s="3796"/>
      <c r="CGT743" s="3796"/>
      <c r="CGU743" s="3796"/>
      <c r="CGV743" s="3796"/>
      <c r="CGW743" s="3796"/>
      <c r="CGX743" s="3796"/>
      <c r="CGY743" s="3796"/>
      <c r="CGZ743" s="3796"/>
      <c r="CHA743" s="3796"/>
      <c r="CHB743" s="3796"/>
      <c r="CHC743" s="3796"/>
      <c r="CHD743" s="3796"/>
      <c r="CHE743" s="3796"/>
      <c r="CHF743" s="3796"/>
      <c r="CHG743" s="3796"/>
      <c r="CHH743" s="3796"/>
      <c r="CHI743" s="3796"/>
      <c r="CHJ743" s="3796"/>
      <c r="CHK743" s="3796"/>
      <c r="CHL743" s="3796"/>
      <c r="CHM743" s="3796"/>
      <c r="CHN743" s="3796"/>
      <c r="CHO743" s="3796"/>
      <c r="CHP743" s="3796"/>
      <c r="CHQ743" s="3796"/>
      <c r="CHR743" s="3796"/>
      <c r="CHS743" s="3796"/>
      <c r="CHT743" s="3796"/>
      <c r="CHU743" s="3796"/>
      <c r="CHV743" s="3796"/>
      <c r="CHW743" s="3796"/>
      <c r="CHX743" s="3796"/>
      <c r="CHY743" s="3796"/>
      <c r="CHZ743" s="3796"/>
      <c r="CIA743" s="3796"/>
      <c r="CIB743" s="3796"/>
      <c r="CIC743" s="3796"/>
      <c r="CID743" s="3796"/>
      <c r="CIE743" s="3796"/>
      <c r="CIF743" s="3796"/>
      <c r="CIG743" s="3796"/>
      <c r="CIH743" s="3796"/>
      <c r="CII743" s="3796"/>
      <c r="CIJ743" s="3796"/>
      <c r="CIK743" s="3796"/>
      <c r="CIL743" s="3796"/>
      <c r="CIM743" s="3796"/>
      <c r="CIN743" s="3796"/>
      <c r="CIO743" s="3796"/>
      <c r="CIP743" s="3796"/>
      <c r="CIQ743" s="3796"/>
      <c r="CIR743" s="3796"/>
      <c r="CIS743" s="3796"/>
      <c r="CIT743" s="3796"/>
      <c r="CIU743" s="3796"/>
      <c r="CIV743" s="3796"/>
      <c r="CIW743" s="3796"/>
      <c r="CIX743" s="3796"/>
      <c r="CIY743" s="3796"/>
      <c r="CIZ743" s="3796"/>
      <c r="CJA743" s="3796"/>
      <c r="CJB743" s="3796"/>
      <c r="CJC743" s="3796"/>
      <c r="CJD743" s="3796"/>
      <c r="CJE743" s="3796"/>
      <c r="CJF743" s="3796"/>
      <c r="CJG743" s="3796"/>
      <c r="CJH743" s="3796"/>
      <c r="CJI743" s="3796"/>
      <c r="CJJ743" s="3796"/>
      <c r="CJK743" s="3796"/>
      <c r="CJL743" s="3796"/>
      <c r="CJM743" s="3796"/>
      <c r="CJN743" s="3796"/>
      <c r="CJO743" s="3796"/>
      <c r="CJP743" s="3796"/>
      <c r="CJQ743" s="3796"/>
      <c r="CJV743" s="3796"/>
      <c r="CKB743" s="3796"/>
      <c r="CKC743" s="3796"/>
      <c r="CKD743" s="3796"/>
      <c r="CKH743" s="3796"/>
      <c r="CKO743" s="3796"/>
      <c r="CKP743" s="3796"/>
      <c r="CKQ743" s="3796"/>
      <c r="CKR743" s="3796"/>
      <c r="CKS743" s="3796"/>
      <c r="CKT743" s="3796"/>
      <c r="CKU743" s="3796"/>
      <c r="CKV743" s="3796"/>
      <c r="CKW743" s="3796"/>
      <c r="CKX743" s="3796"/>
      <c r="CKY743" s="3796"/>
      <c r="CKZ743" s="3796"/>
      <c r="CLA743" s="3796"/>
      <c r="CLB743" s="3796"/>
      <c r="CLC743" s="3796"/>
      <c r="CLD743" s="3796"/>
      <c r="CLE743" s="3796"/>
      <c r="CLF743" s="3796"/>
      <c r="CLG743" s="3796"/>
      <c r="CLH743" s="3796"/>
      <c r="CLI743" s="3796"/>
      <c r="CLJ743" s="3796"/>
      <c r="CLK743" s="3796"/>
      <c r="CLL743" s="3796"/>
      <c r="CLM743" s="3796"/>
      <c r="CLN743" s="3796"/>
      <c r="CLO743" s="3796"/>
      <c r="CLP743" s="3796"/>
      <c r="CLQ743" s="3796"/>
      <c r="CLR743" s="3796"/>
      <c r="CLS743" s="3796"/>
      <c r="CLT743" s="3796"/>
      <c r="CLU743" s="3796"/>
      <c r="CLV743" s="3796"/>
      <c r="CLW743" s="3796"/>
      <c r="CLX743" s="3796"/>
      <c r="CLY743" s="3796"/>
      <c r="CLZ743" s="3796"/>
      <c r="CMA743" s="3796"/>
      <c r="CMB743" s="3796"/>
      <c r="CMC743" s="3796"/>
      <c r="CMD743" s="3796"/>
      <c r="CME743" s="3796"/>
      <c r="CMF743" s="3796"/>
      <c r="CMG743" s="3796"/>
      <c r="CMH743" s="3796"/>
      <c r="CMI743" s="3796"/>
      <c r="CMJ743" s="3796"/>
      <c r="CMK743" s="3796"/>
      <c r="CML743" s="3796"/>
      <c r="CMM743" s="3796"/>
      <c r="CMN743" s="3796"/>
      <c r="CMO743" s="3796"/>
      <c r="CMP743" s="3796"/>
      <c r="CMQ743" s="3796"/>
      <c r="CMR743" s="3796"/>
      <c r="CMS743" s="3796"/>
      <c r="CMT743" s="3796"/>
      <c r="CMU743" s="3796"/>
      <c r="CMV743" s="3796"/>
      <c r="CMW743" s="3796"/>
      <c r="CMX743" s="3796"/>
      <c r="CMY743" s="3796"/>
      <c r="CMZ743" s="3796"/>
      <c r="CNA743" s="3796"/>
      <c r="CNB743" s="3796"/>
      <c r="CNC743" s="3796"/>
      <c r="CND743" s="3796"/>
      <c r="CNE743" s="3796"/>
      <c r="CNF743" s="3796"/>
      <c r="CNG743" s="3796"/>
      <c r="CNH743" s="3796"/>
      <c r="CNI743" s="3796"/>
      <c r="CNJ743" s="3796"/>
      <c r="CNK743" s="3796"/>
      <c r="CNL743" s="3796"/>
      <c r="CNM743" s="3796"/>
      <c r="CNN743" s="3796"/>
      <c r="CNO743" s="3796"/>
      <c r="CNP743" s="3796"/>
      <c r="CNQ743" s="3796"/>
      <c r="CNR743" s="3796"/>
      <c r="CNS743" s="3796"/>
      <c r="CNT743" s="3796"/>
      <c r="CNU743" s="3796"/>
      <c r="CNV743" s="3796"/>
      <c r="CNW743" s="3796"/>
      <c r="CNX743" s="3796"/>
      <c r="CNY743" s="3796"/>
      <c r="CNZ743" s="3796"/>
      <c r="COA743" s="3796"/>
      <c r="COB743" s="3796"/>
      <c r="COC743" s="3796"/>
      <c r="COD743" s="3796"/>
      <c r="COE743" s="3796"/>
      <c r="COF743" s="3796"/>
      <c r="COG743" s="3796"/>
      <c r="COH743" s="3796"/>
      <c r="COI743" s="3796"/>
      <c r="COJ743" s="3796"/>
      <c r="COK743" s="3796"/>
      <c r="COL743" s="3796"/>
      <c r="COM743" s="3796"/>
      <c r="CON743" s="3796"/>
      <c r="COO743" s="3796"/>
      <c r="COP743" s="3796"/>
      <c r="COQ743" s="3796"/>
      <c r="COR743" s="3796"/>
      <c r="COS743" s="3796"/>
      <c r="COT743" s="3796"/>
      <c r="COU743" s="3796"/>
      <c r="COV743" s="3796"/>
      <c r="COW743" s="3796"/>
      <c r="COX743" s="3796"/>
      <c r="COY743" s="3796"/>
      <c r="COZ743" s="3796"/>
      <c r="CPA743" s="3796"/>
      <c r="CPB743" s="3796"/>
      <c r="CPC743" s="3796"/>
      <c r="CPD743" s="3796"/>
      <c r="CPE743" s="3796"/>
      <c r="CPF743" s="3796"/>
      <c r="CPG743" s="3796"/>
      <c r="CPH743" s="3796"/>
      <c r="CPI743" s="3796"/>
      <c r="CPJ743" s="3796"/>
      <c r="CPK743" s="3796"/>
      <c r="CPL743" s="3796"/>
      <c r="CPM743" s="3796"/>
      <c r="CPN743" s="3796"/>
      <c r="CPO743" s="3796"/>
      <c r="CPP743" s="3796"/>
      <c r="CPQ743" s="3796"/>
      <c r="CPR743" s="3796"/>
      <c r="CPS743" s="3796"/>
      <c r="CPT743" s="3796"/>
      <c r="CPU743" s="3796"/>
      <c r="CPV743" s="3796"/>
      <c r="CPW743" s="3796"/>
      <c r="CPX743" s="3796"/>
      <c r="CPY743" s="3796"/>
      <c r="CPZ743" s="3796"/>
      <c r="CQA743" s="3796"/>
      <c r="CQB743" s="3796"/>
      <c r="CQC743" s="3796"/>
      <c r="CQD743" s="3796"/>
      <c r="CQE743" s="3796"/>
      <c r="CQF743" s="3796"/>
      <c r="CQG743" s="3796"/>
      <c r="CQH743" s="3796"/>
      <c r="CQI743" s="3796"/>
      <c r="CQJ743" s="3796"/>
      <c r="CQK743" s="3796"/>
      <c r="CQL743" s="3796"/>
      <c r="CQM743" s="3796"/>
      <c r="CQN743" s="3796"/>
      <c r="CQO743" s="3796"/>
      <c r="CQP743" s="3796"/>
      <c r="CQQ743" s="3796"/>
      <c r="CQR743" s="3796"/>
      <c r="CQS743" s="3796"/>
      <c r="CQT743" s="3796"/>
      <c r="CQU743" s="3796"/>
      <c r="CQV743" s="3796"/>
      <c r="CQW743" s="3796"/>
      <c r="CQX743" s="3796"/>
      <c r="CQY743" s="3796"/>
      <c r="CQZ743" s="3796"/>
      <c r="CRA743" s="3796"/>
      <c r="CRB743" s="3796"/>
      <c r="CRC743" s="3796"/>
      <c r="CRD743" s="3796"/>
      <c r="CRE743" s="3796"/>
      <c r="CRF743" s="3796"/>
      <c r="CRG743" s="3796"/>
      <c r="CRH743" s="3796"/>
      <c r="CRI743" s="3796"/>
      <c r="CRJ743" s="3796"/>
      <c r="CRK743" s="3796"/>
      <c r="CRL743" s="3796"/>
      <c r="CRM743" s="3796"/>
      <c r="CRN743" s="3796"/>
      <c r="CRO743" s="3796"/>
      <c r="CRP743" s="3796"/>
      <c r="CRQ743" s="3796"/>
      <c r="CRR743" s="3796"/>
      <c r="CRS743" s="3796"/>
      <c r="CRT743" s="3796"/>
      <c r="CRU743" s="3796"/>
      <c r="CRV743" s="3796"/>
      <c r="CRW743" s="3796"/>
      <c r="CRX743" s="3796"/>
      <c r="CRY743" s="3796"/>
      <c r="CRZ743" s="3796"/>
      <c r="CSA743" s="3796"/>
      <c r="CSB743" s="3796"/>
      <c r="CSC743" s="3796"/>
      <c r="CSD743" s="3796"/>
      <c r="CSE743" s="3796"/>
      <c r="CSF743" s="3796"/>
      <c r="CSG743" s="3796"/>
      <c r="CSH743" s="3796"/>
      <c r="CSI743" s="3796"/>
      <c r="CSJ743" s="3796"/>
      <c r="CSK743" s="3796"/>
      <c r="CSL743" s="3796"/>
      <c r="CSM743" s="3796"/>
      <c r="CSN743" s="3796"/>
      <c r="CSO743" s="3796"/>
      <c r="CSP743" s="3796"/>
      <c r="CSQ743" s="3796"/>
      <c r="CSR743" s="3796"/>
      <c r="CSS743" s="3796"/>
      <c r="CST743" s="3796"/>
      <c r="CSU743" s="3796"/>
      <c r="CSV743" s="3796"/>
      <c r="CSW743" s="3796"/>
      <c r="CSX743" s="3796"/>
      <c r="CSY743" s="3796"/>
      <c r="CSZ743" s="3796"/>
      <c r="CTA743" s="3796"/>
      <c r="CTB743" s="3796"/>
      <c r="CTC743" s="3796"/>
      <c r="CTD743" s="3796"/>
      <c r="CTE743" s="3796"/>
      <c r="CTF743" s="3796"/>
      <c r="CTG743" s="3796"/>
      <c r="CTH743" s="3796"/>
      <c r="CTI743" s="3796"/>
      <c r="CTJ743" s="3796"/>
      <c r="CTK743" s="3796"/>
      <c r="CTL743" s="3796"/>
      <c r="CTM743" s="3796"/>
      <c r="CTR743" s="3796"/>
      <c r="CTX743" s="3796"/>
      <c r="CTY743" s="3796"/>
      <c r="CTZ743" s="3796"/>
      <c r="CUD743" s="3796"/>
      <c r="CUK743" s="3796"/>
      <c r="CUL743" s="3796"/>
      <c r="CUM743" s="3796"/>
      <c r="CUN743" s="3796"/>
      <c r="CUO743" s="3796"/>
      <c r="CUP743" s="3796"/>
      <c r="CUQ743" s="3796"/>
      <c r="CUR743" s="3796"/>
      <c r="CUS743" s="3796"/>
      <c r="CUT743" s="3796"/>
      <c r="CUU743" s="3796"/>
      <c r="CUV743" s="3796"/>
      <c r="CUW743" s="3796"/>
      <c r="CUX743" s="3796"/>
      <c r="CUY743" s="3796"/>
      <c r="CUZ743" s="3796"/>
      <c r="CVA743" s="3796"/>
      <c r="CVB743" s="3796"/>
      <c r="CVC743" s="3796"/>
      <c r="CVD743" s="3796"/>
      <c r="CVE743" s="3796"/>
      <c r="CVF743" s="3796"/>
      <c r="CVG743" s="3796"/>
      <c r="CVH743" s="3796"/>
      <c r="CVI743" s="3796"/>
      <c r="CVJ743" s="3796"/>
      <c r="CVK743" s="3796"/>
      <c r="CVL743" s="3796"/>
      <c r="CVM743" s="3796"/>
      <c r="CVN743" s="3796"/>
      <c r="CVO743" s="3796"/>
      <c r="CVP743" s="3796"/>
      <c r="CVQ743" s="3796"/>
      <c r="CVR743" s="3796"/>
      <c r="CVS743" s="3796"/>
      <c r="CVT743" s="3796"/>
      <c r="CVU743" s="3796"/>
      <c r="CVV743" s="3796"/>
      <c r="CVW743" s="3796"/>
      <c r="CVX743" s="3796"/>
      <c r="CVY743" s="3796"/>
      <c r="CVZ743" s="3796"/>
      <c r="CWA743" s="3796"/>
      <c r="CWB743" s="3796"/>
      <c r="CWC743" s="3796"/>
      <c r="CWD743" s="3796"/>
      <c r="CWE743" s="3796"/>
      <c r="CWF743" s="3796"/>
      <c r="CWG743" s="3796"/>
      <c r="CWH743" s="3796"/>
      <c r="CWI743" s="3796"/>
      <c r="CWJ743" s="3796"/>
      <c r="CWK743" s="3796"/>
      <c r="CWL743" s="3796"/>
      <c r="CWM743" s="3796"/>
      <c r="CWN743" s="3796"/>
      <c r="CWO743" s="3796"/>
      <c r="CWP743" s="3796"/>
      <c r="CWQ743" s="3796"/>
      <c r="CWR743" s="3796"/>
      <c r="CWS743" s="3796"/>
      <c r="CWT743" s="3796"/>
      <c r="CWU743" s="3796"/>
      <c r="CWV743" s="3796"/>
      <c r="CWW743" s="3796"/>
      <c r="CWX743" s="3796"/>
      <c r="CWY743" s="3796"/>
      <c r="CWZ743" s="3796"/>
      <c r="CXA743" s="3796"/>
      <c r="CXB743" s="3796"/>
      <c r="CXC743" s="3796"/>
      <c r="CXD743" s="3796"/>
      <c r="CXE743" s="3796"/>
      <c r="CXF743" s="3796"/>
      <c r="CXG743" s="3796"/>
      <c r="CXH743" s="3796"/>
      <c r="CXI743" s="3796"/>
      <c r="CXJ743" s="3796"/>
      <c r="CXK743" s="3796"/>
      <c r="CXL743" s="3796"/>
      <c r="CXM743" s="3796"/>
      <c r="CXN743" s="3796"/>
      <c r="CXO743" s="3796"/>
      <c r="CXP743" s="3796"/>
      <c r="CXQ743" s="3796"/>
      <c r="CXR743" s="3796"/>
      <c r="CXS743" s="3796"/>
      <c r="CXT743" s="3796"/>
      <c r="CXU743" s="3796"/>
      <c r="CXV743" s="3796"/>
      <c r="CXW743" s="3796"/>
      <c r="CXX743" s="3796"/>
      <c r="CXY743" s="3796"/>
      <c r="CXZ743" s="3796"/>
      <c r="CYA743" s="3796"/>
      <c r="CYB743" s="3796"/>
      <c r="CYC743" s="3796"/>
      <c r="CYD743" s="3796"/>
      <c r="CYE743" s="3796"/>
      <c r="CYF743" s="3796"/>
      <c r="CYG743" s="3796"/>
      <c r="CYH743" s="3796"/>
      <c r="CYI743" s="3796"/>
      <c r="CYJ743" s="3796"/>
      <c r="CYK743" s="3796"/>
      <c r="CYL743" s="3796"/>
      <c r="CYM743" s="3796"/>
      <c r="CYN743" s="3796"/>
      <c r="CYO743" s="3796"/>
      <c r="CYP743" s="3796"/>
      <c r="CYQ743" s="3796"/>
      <c r="CYR743" s="3796"/>
      <c r="CYS743" s="3796"/>
      <c r="CYT743" s="3796"/>
      <c r="CYU743" s="3796"/>
      <c r="CYV743" s="3796"/>
      <c r="CYW743" s="3796"/>
      <c r="CYX743" s="3796"/>
      <c r="CYY743" s="3796"/>
      <c r="CYZ743" s="3796"/>
      <c r="CZA743" s="3796"/>
      <c r="CZB743" s="3796"/>
      <c r="CZC743" s="3796"/>
      <c r="CZD743" s="3796"/>
      <c r="CZE743" s="3796"/>
      <c r="CZF743" s="3796"/>
      <c r="CZG743" s="3796"/>
      <c r="CZH743" s="3796"/>
      <c r="CZI743" s="3796"/>
      <c r="CZJ743" s="3796"/>
      <c r="CZK743" s="3796"/>
      <c r="CZL743" s="3796"/>
      <c r="CZM743" s="3796"/>
      <c r="CZN743" s="3796"/>
      <c r="CZO743" s="3796"/>
      <c r="CZP743" s="3796"/>
      <c r="CZQ743" s="3796"/>
      <c r="CZR743" s="3796"/>
      <c r="CZS743" s="3796"/>
      <c r="CZT743" s="3796"/>
      <c r="CZU743" s="3796"/>
      <c r="CZV743" s="3796"/>
      <c r="CZW743" s="3796"/>
      <c r="CZX743" s="3796"/>
      <c r="CZY743" s="3796"/>
      <c r="CZZ743" s="3796"/>
      <c r="DAA743" s="3796"/>
      <c r="DAB743" s="3796"/>
      <c r="DAC743" s="3796"/>
      <c r="DAD743" s="3796"/>
      <c r="DAE743" s="3796"/>
      <c r="DAF743" s="3796"/>
      <c r="DAG743" s="3796"/>
      <c r="DAH743" s="3796"/>
      <c r="DAI743" s="3796"/>
      <c r="DAJ743" s="3796"/>
      <c r="DAK743" s="3796"/>
      <c r="DAL743" s="3796"/>
      <c r="DAM743" s="3796"/>
      <c r="DAN743" s="3796"/>
      <c r="DAO743" s="3796"/>
      <c r="DAP743" s="3796"/>
      <c r="DAQ743" s="3796"/>
      <c r="DAR743" s="3796"/>
      <c r="DAS743" s="3796"/>
      <c r="DAT743" s="3796"/>
      <c r="DAU743" s="3796"/>
      <c r="DAV743" s="3796"/>
      <c r="DAW743" s="3796"/>
      <c r="DAX743" s="3796"/>
      <c r="DAY743" s="3796"/>
      <c r="DAZ743" s="3796"/>
      <c r="DBA743" s="3796"/>
      <c r="DBB743" s="3796"/>
      <c r="DBC743" s="3796"/>
      <c r="DBD743" s="3796"/>
      <c r="DBE743" s="3796"/>
      <c r="DBF743" s="3796"/>
      <c r="DBG743" s="3796"/>
      <c r="DBH743" s="3796"/>
      <c r="DBI743" s="3796"/>
      <c r="DBJ743" s="3796"/>
      <c r="DBK743" s="3796"/>
      <c r="DBL743" s="3796"/>
      <c r="DBM743" s="3796"/>
      <c r="DBN743" s="3796"/>
      <c r="DBO743" s="3796"/>
      <c r="DBP743" s="3796"/>
      <c r="DBQ743" s="3796"/>
      <c r="DBR743" s="3796"/>
      <c r="DBS743" s="3796"/>
      <c r="DBT743" s="3796"/>
      <c r="DBU743" s="3796"/>
      <c r="DBV743" s="3796"/>
      <c r="DBW743" s="3796"/>
      <c r="DBX743" s="3796"/>
      <c r="DBY743" s="3796"/>
      <c r="DBZ743" s="3796"/>
      <c r="DCA743" s="3796"/>
      <c r="DCB743" s="3796"/>
      <c r="DCC743" s="3796"/>
      <c r="DCD743" s="3796"/>
      <c r="DCE743" s="3796"/>
      <c r="DCF743" s="3796"/>
      <c r="DCG743" s="3796"/>
      <c r="DCH743" s="3796"/>
      <c r="DCI743" s="3796"/>
      <c r="DCJ743" s="3796"/>
      <c r="DCK743" s="3796"/>
      <c r="DCL743" s="3796"/>
      <c r="DCM743" s="3796"/>
      <c r="DCN743" s="3796"/>
      <c r="DCO743" s="3796"/>
      <c r="DCP743" s="3796"/>
      <c r="DCQ743" s="3796"/>
      <c r="DCR743" s="3796"/>
      <c r="DCS743" s="3796"/>
      <c r="DCT743" s="3796"/>
      <c r="DCU743" s="3796"/>
      <c r="DCV743" s="3796"/>
      <c r="DCW743" s="3796"/>
      <c r="DCX743" s="3796"/>
      <c r="DCY743" s="3796"/>
      <c r="DCZ743" s="3796"/>
      <c r="DDA743" s="3796"/>
      <c r="DDB743" s="3796"/>
      <c r="DDC743" s="3796"/>
      <c r="DDD743" s="3796"/>
      <c r="DDE743" s="3796"/>
      <c r="DDF743" s="3796"/>
      <c r="DDG743" s="3796"/>
      <c r="DDH743" s="3796"/>
      <c r="DDI743" s="3796"/>
      <c r="DDN743" s="3796"/>
      <c r="DDT743" s="3796"/>
      <c r="DDU743" s="3796"/>
      <c r="DDV743" s="3796"/>
      <c r="DDZ743" s="3796"/>
      <c r="DEG743" s="3796"/>
      <c r="DEH743" s="3796"/>
      <c r="DEI743" s="3796"/>
      <c r="DEJ743" s="3796"/>
      <c r="DEK743" s="3796"/>
      <c r="DEL743" s="3796"/>
      <c r="DEM743" s="3796"/>
      <c r="DEN743" s="3796"/>
      <c r="DEO743" s="3796"/>
      <c r="DEP743" s="3796"/>
      <c r="DEQ743" s="3796"/>
      <c r="DER743" s="3796"/>
      <c r="DES743" s="3796"/>
      <c r="DET743" s="3796"/>
      <c r="DEU743" s="3796"/>
      <c r="DEV743" s="3796"/>
      <c r="DEW743" s="3796"/>
      <c r="DEX743" s="3796"/>
      <c r="DEY743" s="3796"/>
      <c r="DEZ743" s="3796"/>
      <c r="DFA743" s="3796"/>
      <c r="DFB743" s="3796"/>
      <c r="DFC743" s="3796"/>
      <c r="DFD743" s="3796"/>
      <c r="DFE743" s="3796"/>
      <c r="DFF743" s="3796"/>
      <c r="DFG743" s="3796"/>
      <c r="DFH743" s="3796"/>
      <c r="DFI743" s="3796"/>
      <c r="DFJ743" s="3796"/>
      <c r="DFK743" s="3796"/>
      <c r="DFL743" s="3796"/>
      <c r="DFM743" s="3796"/>
      <c r="DFN743" s="3796"/>
      <c r="DFO743" s="3796"/>
      <c r="DFP743" s="3796"/>
      <c r="DFQ743" s="3796"/>
      <c r="DFR743" s="3796"/>
      <c r="DFS743" s="3796"/>
      <c r="DFT743" s="3796"/>
      <c r="DFU743" s="3796"/>
      <c r="DFV743" s="3796"/>
      <c r="DFW743" s="3796"/>
      <c r="DFX743" s="3796"/>
      <c r="DFY743" s="3796"/>
      <c r="DFZ743" s="3796"/>
      <c r="DGA743" s="3796"/>
      <c r="DGB743" s="3796"/>
      <c r="DGC743" s="3796"/>
      <c r="DGD743" s="3796"/>
      <c r="DGE743" s="3796"/>
      <c r="DGF743" s="3796"/>
      <c r="DGG743" s="3796"/>
      <c r="DGH743" s="3796"/>
      <c r="DGI743" s="3796"/>
      <c r="DGJ743" s="3796"/>
      <c r="DGK743" s="3796"/>
      <c r="DGL743" s="3796"/>
      <c r="DGM743" s="3796"/>
      <c r="DGN743" s="3796"/>
      <c r="DGO743" s="3796"/>
      <c r="DGP743" s="3796"/>
      <c r="DGQ743" s="3796"/>
      <c r="DGR743" s="3796"/>
      <c r="DGS743" s="3796"/>
      <c r="DGT743" s="3796"/>
      <c r="DGU743" s="3796"/>
      <c r="DGV743" s="3796"/>
      <c r="DGW743" s="3796"/>
      <c r="DGX743" s="3796"/>
      <c r="DGY743" s="3796"/>
      <c r="DGZ743" s="3796"/>
      <c r="DHA743" s="3796"/>
      <c r="DHB743" s="3796"/>
      <c r="DHC743" s="3796"/>
      <c r="DHD743" s="3796"/>
      <c r="DHE743" s="3796"/>
      <c r="DHF743" s="3796"/>
      <c r="DHG743" s="3796"/>
      <c r="DHH743" s="3796"/>
      <c r="DHI743" s="3796"/>
      <c r="DHJ743" s="3796"/>
      <c r="DHK743" s="3796"/>
      <c r="DHL743" s="3796"/>
      <c r="DHM743" s="3796"/>
      <c r="DHN743" s="3796"/>
      <c r="DHO743" s="3796"/>
      <c r="DHP743" s="3796"/>
      <c r="DHQ743" s="3796"/>
      <c r="DHR743" s="3796"/>
      <c r="DHS743" s="3796"/>
      <c r="DHT743" s="3796"/>
      <c r="DHU743" s="3796"/>
      <c r="DHV743" s="3796"/>
      <c r="DHW743" s="3796"/>
      <c r="DHX743" s="3796"/>
      <c r="DHY743" s="3796"/>
      <c r="DHZ743" s="3796"/>
      <c r="DIA743" s="3796"/>
      <c r="DIB743" s="3796"/>
      <c r="DIC743" s="3796"/>
      <c r="DID743" s="3796"/>
      <c r="DIE743" s="3796"/>
      <c r="DIF743" s="3796"/>
      <c r="DIG743" s="3796"/>
      <c r="DIH743" s="3796"/>
      <c r="DII743" s="3796"/>
      <c r="DIJ743" s="3796"/>
      <c r="DIK743" s="3796"/>
      <c r="DIL743" s="3796"/>
      <c r="DIM743" s="3796"/>
      <c r="DIN743" s="3796"/>
      <c r="DIO743" s="3796"/>
      <c r="DIP743" s="3796"/>
      <c r="DIQ743" s="3796"/>
      <c r="DIR743" s="3796"/>
      <c r="DIS743" s="3796"/>
      <c r="DIT743" s="3796"/>
      <c r="DIU743" s="3796"/>
      <c r="DIV743" s="3796"/>
      <c r="DIW743" s="3796"/>
      <c r="DIX743" s="3796"/>
      <c r="DIY743" s="3796"/>
      <c r="DIZ743" s="3796"/>
      <c r="DJA743" s="3796"/>
      <c r="DJB743" s="3796"/>
      <c r="DJC743" s="3796"/>
      <c r="DJD743" s="3796"/>
      <c r="DJE743" s="3796"/>
      <c r="DJF743" s="3796"/>
      <c r="DJG743" s="3796"/>
      <c r="DJH743" s="3796"/>
      <c r="DJI743" s="3796"/>
      <c r="DJJ743" s="3796"/>
      <c r="DJK743" s="3796"/>
      <c r="DJL743" s="3796"/>
      <c r="DJM743" s="3796"/>
      <c r="DJN743" s="3796"/>
      <c r="DJO743" s="3796"/>
      <c r="DJP743" s="3796"/>
      <c r="DJQ743" s="3796"/>
      <c r="DJR743" s="3796"/>
      <c r="DJS743" s="3796"/>
      <c r="DJT743" s="3796"/>
      <c r="DJU743" s="3796"/>
      <c r="DJV743" s="3796"/>
      <c r="DJW743" s="3796"/>
      <c r="DJX743" s="3796"/>
      <c r="DJY743" s="3796"/>
      <c r="DJZ743" s="3796"/>
      <c r="DKA743" s="3796"/>
      <c r="DKB743" s="3796"/>
      <c r="DKC743" s="3796"/>
      <c r="DKD743" s="3796"/>
      <c r="DKE743" s="3796"/>
      <c r="DKF743" s="3796"/>
      <c r="DKG743" s="3796"/>
      <c r="DKH743" s="3796"/>
      <c r="DKI743" s="3796"/>
      <c r="DKJ743" s="3796"/>
      <c r="DKK743" s="3796"/>
      <c r="DKL743" s="3796"/>
      <c r="DKM743" s="3796"/>
      <c r="DKN743" s="3796"/>
      <c r="DKO743" s="3796"/>
      <c r="DKP743" s="3796"/>
      <c r="DKQ743" s="3796"/>
      <c r="DKR743" s="3796"/>
      <c r="DKS743" s="3796"/>
      <c r="DKT743" s="3796"/>
      <c r="DKU743" s="3796"/>
      <c r="DKV743" s="3796"/>
      <c r="DKW743" s="3796"/>
      <c r="DKX743" s="3796"/>
      <c r="DKY743" s="3796"/>
      <c r="DKZ743" s="3796"/>
      <c r="DLA743" s="3796"/>
      <c r="DLB743" s="3796"/>
      <c r="DLC743" s="3796"/>
      <c r="DLD743" s="3796"/>
      <c r="DLE743" s="3796"/>
      <c r="DLF743" s="3796"/>
      <c r="DLG743" s="3796"/>
      <c r="DLH743" s="3796"/>
      <c r="DLI743" s="3796"/>
      <c r="DLJ743" s="3796"/>
      <c r="DLK743" s="3796"/>
      <c r="DLL743" s="3796"/>
      <c r="DLM743" s="3796"/>
      <c r="DLN743" s="3796"/>
      <c r="DLO743" s="3796"/>
      <c r="DLP743" s="3796"/>
      <c r="DLQ743" s="3796"/>
      <c r="DLR743" s="3796"/>
      <c r="DLS743" s="3796"/>
      <c r="DLT743" s="3796"/>
      <c r="DLU743" s="3796"/>
      <c r="DLV743" s="3796"/>
      <c r="DLW743" s="3796"/>
      <c r="DLX743" s="3796"/>
      <c r="DLY743" s="3796"/>
      <c r="DLZ743" s="3796"/>
      <c r="DMA743" s="3796"/>
      <c r="DMB743" s="3796"/>
      <c r="DMC743" s="3796"/>
      <c r="DMD743" s="3796"/>
      <c r="DME743" s="3796"/>
      <c r="DMF743" s="3796"/>
      <c r="DMG743" s="3796"/>
      <c r="DMH743" s="3796"/>
      <c r="DMI743" s="3796"/>
      <c r="DMJ743" s="3796"/>
      <c r="DMK743" s="3796"/>
      <c r="DML743" s="3796"/>
      <c r="DMM743" s="3796"/>
      <c r="DMN743" s="3796"/>
      <c r="DMO743" s="3796"/>
      <c r="DMP743" s="3796"/>
      <c r="DMQ743" s="3796"/>
      <c r="DMR743" s="3796"/>
      <c r="DMS743" s="3796"/>
      <c r="DMT743" s="3796"/>
      <c r="DMU743" s="3796"/>
      <c r="DMV743" s="3796"/>
      <c r="DMW743" s="3796"/>
      <c r="DMX743" s="3796"/>
      <c r="DMY743" s="3796"/>
      <c r="DMZ743" s="3796"/>
      <c r="DNA743" s="3796"/>
      <c r="DNB743" s="3796"/>
      <c r="DNC743" s="3796"/>
      <c r="DND743" s="3796"/>
      <c r="DNE743" s="3796"/>
      <c r="DNJ743" s="3796"/>
      <c r="DNP743" s="3796"/>
      <c r="DNQ743" s="3796"/>
      <c r="DNR743" s="3796"/>
      <c r="DNV743" s="3796"/>
      <c r="DOC743" s="3796"/>
      <c r="DOD743" s="3796"/>
      <c r="DOE743" s="3796"/>
      <c r="DOF743" s="3796"/>
      <c r="DOG743" s="3796"/>
      <c r="DOH743" s="3796"/>
      <c r="DOI743" s="3796"/>
      <c r="DOJ743" s="3796"/>
      <c r="DOK743" s="3796"/>
      <c r="DOL743" s="3796"/>
      <c r="DOM743" s="3796"/>
      <c r="DON743" s="3796"/>
      <c r="DOO743" s="3796"/>
      <c r="DOP743" s="3796"/>
      <c r="DOQ743" s="3796"/>
      <c r="DOR743" s="3796"/>
      <c r="DOS743" s="3796"/>
      <c r="DOT743" s="3796"/>
      <c r="DOU743" s="3796"/>
      <c r="DOV743" s="3796"/>
      <c r="DOW743" s="3796"/>
      <c r="DOX743" s="3796"/>
      <c r="DOY743" s="3796"/>
      <c r="DOZ743" s="3796"/>
      <c r="DPA743" s="3796"/>
      <c r="DPB743" s="3796"/>
      <c r="DPC743" s="3796"/>
      <c r="DPD743" s="3796"/>
      <c r="DPE743" s="3796"/>
      <c r="DPF743" s="3796"/>
      <c r="DPG743" s="3796"/>
      <c r="DPH743" s="3796"/>
      <c r="DPI743" s="3796"/>
      <c r="DPJ743" s="3796"/>
      <c r="DPK743" s="3796"/>
      <c r="DPL743" s="3796"/>
      <c r="DPM743" s="3796"/>
      <c r="DPN743" s="3796"/>
      <c r="DPO743" s="3796"/>
      <c r="DPP743" s="3796"/>
      <c r="DPQ743" s="3796"/>
      <c r="DPR743" s="3796"/>
      <c r="DPS743" s="3796"/>
      <c r="DPT743" s="3796"/>
      <c r="DPU743" s="3796"/>
      <c r="DPV743" s="3796"/>
      <c r="DPW743" s="3796"/>
      <c r="DPX743" s="3796"/>
      <c r="DPY743" s="3796"/>
      <c r="DPZ743" s="3796"/>
      <c r="DQA743" s="3796"/>
      <c r="DQB743" s="3796"/>
      <c r="DQC743" s="3796"/>
      <c r="DQD743" s="3796"/>
      <c r="DQE743" s="3796"/>
      <c r="DQF743" s="3796"/>
      <c r="DQG743" s="3796"/>
      <c r="DQH743" s="3796"/>
      <c r="DQI743" s="3796"/>
      <c r="DQJ743" s="3796"/>
      <c r="DQK743" s="3796"/>
      <c r="DQL743" s="3796"/>
      <c r="DQM743" s="3796"/>
      <c r="DQN743" s="3796"/>
      <c r="DQO743" s="3796"/>
      <c r="DQP743" s="3796"/>
      <c r="DQQ743" s="3796"/>
      <c r="DQR743" s="3796"/>
      <c r="DQS743" s="3796"/>
      <c r="DQT743" s="3796"/>
      <c r="DQU743" s="3796"/>
      <c r="DQV743" s="3796"/>
      <c r="DQW743" s="3796"/>
      <c r="DQX743" s="3796"/>
      <c r="DQY743" s="3796"/>
      <c r="DQZ743" s="3796"/>
      <c r="DRA743" s="3796"/>
      <c r="DRB743" s="3796"/>
      <c r="DRC743" s="3796"/>
      <c r="DRD743" s="3796"/>
      <c r="DRE743" s="3796"/>
      <c r="DRF743" s="3796"/>
      <c r="DRG743" s="3796"/>
      <c r="DRH743" s="3796"/>
      <c r="DRI743" s="3796"/>
      <c r="DRJ743" s="3796"/>
      <c r="DRK743" s="3796"/>
      <c r="DRL743" s="3796"/>
      <c r="DRM743" s="3796"/>
      <c r="DRN743" s="3796"/>
      <c r="DRO743" s="3796"/>
      <c r="DRP743" s="3796"/>
      <c r="DRQ743" s="3796"/>
      <c r="DRR743" s="3796"/>
      <c r="DRS743" s="3796"/>
      <c r="DRT743" s="3796"/>
      <c r="DRU743" s="3796"/>
      <c r="DRV743" s="3796"/>
      <c r="DRW743" s="3796"/>
      <c r="DRX743" s="3796"/>
      <c r="DRY743" s="3796"/>
      <c r="DRZ743" s="3796"/>
      <c r="DSA743" s="3796"/>
      <c r="DSB743" s="3796"/>
      <c r="DSC743" s="3796"/>
      <c r="DSD743" s="3796"/>
      <c r="DSE743" s="3796"/>
      <c r="DSF743" s="3796"/>
      <c r="DSG743" s="3796"/>
      <c r="DSH743" s="3796"/>
      <c r="DSI743" s="3796"/>
      <c r="DSJ743" s="3796"/>
      <c r="DSK743" s="3796"/>
      <c r="DSL743" s="3796"/>
      <c r="DSM743" s="3796"/>
      <c r="DSN743" s="3796"/>
      <c r="DSO743" s="3796"/>
      <c r="DSP743" s="3796"/>
      <c r="DSQ743" s="3796"/>
      <c r="DSR743" s="3796"/>
      <c r="DSS743" s="3796"/>
      <c r="DST743" s="3796"/>
      <c r="DSU743" s="3796"/>
      <c r="DSV743" s="3796"/>
      <c r="DSW743" s="3796"/>
      <c r="DSX743" s="3796"/>
      <c r="DSY743" s="3796"/>
      <c r="DSZ743" s="3796"/>
      <c r="DTA743" s="3796"/>
      <c r="DTB743" s="3796"/>
      <c r="DTC743" s="3796"/>
      <c r="DTD743" s="3796"/>
      <c r="DTE743" s="3796"/>
      <c r="DTF743" s="3796"/>
      <c r="DTG743" s="3796"/>
      <c r="DTH743" s="3796"/>
      <c r="DTI743" s="3796"/>
      <c r="DTJ743" s="3796"/>
      <c r="DTK743" s="3796"/>
      <c r="DTL743" s="3796"/>
      <c r="DTM743" s="3796"/>
      <c r="DTN743" s="3796"/>
      <c r="DTO743" s="3796"/>
      <c r="DTP743" s="3796"/>
      <c r="DTQ743" s="3796"/>
      <c r="DTR743" s="3796"/>
      <c r="DTS743" s="3796"/>
      <c r="DTT743" s="3796"/>
      <c r="DTU743" s="3796"/>
      <c r="DTV743" s="3796"/>
      <c r="DTW743" s="3796"/>
      <c r="DTX743" s="3796"/>
      <c r="DTY743" s="3796"/>
      <c r="DTZ743" s="3796"/>
      <c r="DUA743" s="3796"/>
      <c r="DUB743" s="3796"/>
      <c r="DUC743" s="3796"/>
      <c r="DUD743" s="3796"/>
      <c r="DUE743" s="3796"/>
      <c r="DUF743" s="3796"/>
      <c r="DUG743" s="3796"/>
      <c r="DUH743" s="3796"/>
      <c r="DUI743" s="3796"/>
      <c r="DUJ743" s="3796"/>
      <c r="DUK743" s="3796"/>
      <c r="DUL743" s="3796"/>
      <c r="DUM743" s="3796"/>
      <c r="DUN743" s="3796"/>
      <c r="DUO743" s="3796"/>
      <c r="DUP743" s="3796"/>
      <c r="DUQ743" s="3796"/>
      <c r="DUR743" s="3796"/>
      <c r="DUS743" s="3796"/>
      <c r="DUT743" s="3796"/>
      <c r="DUU743" s="3796"/>
      <c r="DUV743" s="3796"/>
      <c r="DUW743" s="3796"/>
      <c r="DUX743" s="3796"/>
      <c r="DUY743" s="3796"/>
      <c r="DUZ743" s="3796"/>
      <c r="DVA743" s="3796"/>
      <c r="DVB743" s="3796"/>
      <c r="DVC743" s="3796"/>
      <c r="DVD743" s="3796"/>
      <c r="DVE743" s="3796"/>
      <c r="DVF743" s="3796"/>
      <c r="DVG743" s="3796"/>
      <c r="DVH743" s="3796"/>
      <c r="DVI743" s="3796"/>
      <c r="DVJ743" s="3796"/>
      <c r="DVK743" s="3796"/>
      <c r="DVL743" s="3796"/>
      <c r="DVM743" s="3796"/>
      <c r="DVN743" s="3796"/>
      <c r="DVO743" s="3796"/>
      <c r="DVP743" s="3796"/>
      <c r="DVQ743" s="3796"/>
      <c r="DVR743" s="3796"/>
      <c r="DVS743" s="3796"/>
      <c r="DVT743" s="3796"/>
      <c r="DVU743" s="3796"/>
      <c r="DVV743" s="3796"/>
      <c r="DVW743" s="3796"/>
      <c r="DVX743" s="3796"/>
      <c r="DVY743" s="3796"/>
      <c r="DVZ743" s="3796"/>
      <c r="DWA743" s="3796"/>
      <c r="DWB743" s="3796"/>
      <c r="DWC743" s="3796"/>
      <c r="DWD743" s="3796"/>
      <c r="DWE743" s="3796"/>
      <c r="DWF743" s="3796"/>
      <c r="DWG743" s="3796"/>
      <c r="DWH743" s="3796"/>
      <c r="DWI743" s="3796"/>
      <c r="DWJ743" s="3796"/>
      <c r="DWK743" s="3796"/>
      <c r="DWL743" s="3796"/>
      <c r="DWM743" s="3796"/>
      <c r="DWN743" s="3796"/>
      <c r="DWO743" s="3796"/>
      <c r="DWP743" s="3796"/>
      <c r="DWQ743" s="3796"/>
      <c r="DWR743" s="3796"/>
      <c r="DWS743" s="3796"/>
      <c r="DWT743" s="3796"/>
      <c r="DWU743" s="3796"/>
      <c r="DWV743" s="3796"/>
      <c r="DWW743" s="3796"/>
      <c r="DWX743" s="3796"/>
      <c r="DWY743" s="3796"/>
      <c r="DWZ743" s="3796"/>
      <c r="DXA743" s="3796"/>
      <c r="DXF743" s="3796"/>
      <c r="DXL743" s="3796"/>
      <c r="DXM743" s="3796"/>
      <c r="DXN743" s="3796"/>
      <c r="DXR743" s="3796"/>
      <c r="DXY743" s="3796"/>
      <c r="DXZ743" s="3796"/>
      <c r="DYA743" s="3796"/>
      <c r="DYB743" s="3796"/>
      <c r="DYC743" s="3796"/>
      <c r="DYD743" s="3796"/>
      <c r="DYE743" s="3796"/>
      <c r="DYF743" s="3796"/>
      <c r="DYG743" s="3796"/>
      <c r="DYH743" s="3796"/>
      <c r="DYI743" s="3796"/>
      <c r="DYJ743" s="3796"/>
      <c r="DYK743" s="3796"/>
      <c r="DYL743" s="3796"/>
      <c r="DYM743" s="3796"/>
      <c r="DYN743" s="3796"/>
      <c r="DYO743" s="3796"/>
      <c r="DYP743" s="3796"/>
      <c r="DYQ743" s="3796"/>
      <c r="DYR743" s="3796"/>
      <c r="DYS743" s="3796"/>
      <c r="DYT743" s="3796"/>
      <c r="DYU743" s="3796"/>
      <c r="DYV743" s="3796"/>
      <c r="DYW743" s="3796"/>
      <c r="DYX743" s="3796"/>
      <c r="DYY743" s="3796"/>
      <c r="DYZ743" s="3796"/>
      <c r="DZA743" s="3796"/>
      <c r="DZB743" s="3796"/>
      <c r="DZC743" s="3796"/>
      <c r="DZD743" s="3796"/>
      <c r="DZE743" s="3796"/>
      <c r="DZF743" s="3796"/>
      <c r="DZG743" s="3796"/>
      <c r="DZH743" s="3796"/>
      <c r="DZI743" s="3796"/>
      <c r="DZJ743" s="3796"/>
      <c r="DZK743" s="3796"/>
      <c r="DZL743" s="3796"/>
      <c r="DZM743" s="3796"/>
      <c r="DZN743" s="3796"/>
      <c r="DZO743" s="3796"/>
      <c r="DZP743" s="3796"/>
      <c r="DZQ743" s="3796"/>
      <c r="DZR743" s="3796"/>
      <c r="DZS743" s="3796"/>
      <c r="DZT743" s="3796"/>
      <c r="DZU743" s="3796"/>
      <c r="DZV743" s="3796"/>
      <c r="DZW743" s="3796"/>
      <c r="DZX743" s="3796"/>
      <c r="DZY743" s="3796"/>
      <c r="DZZ743" s="3796"/>
      <c r="EAA743" s="3796"/>
      <c r="EAB743" s="3796"/>
      <c r="EAC743" s="3796"/>
      <c r="EAD743" s="3796"/>
      <c r="EAE743" s="3796"/>
      <c r="EAF743" s="3796"/>
      <c r="EAG743" s="3796"/>
      <c r="EAH743" s="3796"/>
      <c r="EAI743" s="3796"/>
      <c r="EAJ743" s="3796"/>
      <c r="EAK743" s="3796"/>
      <c r="EAL743" s="3796"/>
      <c r="EAM743" s="3796"/>
      <c r="EAN743" s="3796"/>
      <c r="EAO743" s="3796"/>
      <c r="EAP743" s="3796"/>
      <c r="EAQ743" s="3796"/>
      <c r="EAR743" s="3796"/>
      <c r="EAS743" s="3796"/>
      <c r="EAT743" s="3796"/>
      <c r="EAU743" s="3796"/>
      <c r="EAV743" s="3796"/>
      <c r="EAW743" s="3796"/>
      <c r="EAX743" s="3796"/>
      <c r="EAY743" s="3796"/>
      <c r="EAZ743" s="3796"/>
      <c r="EBA743" s="3796"/>
      <c r="EBB743" s="3796"/>
      <c r="EBC743" s="3796"/>
      <c r="EBD743" s="3796"/>
      <c r="EBE743" s="3796"/>
      <c r="EBF743" s="3796"/>
      <c r="EBG743" s="3796"/>
      <c r="EBH743" s="3796"/>
      <c r="EBI743" s="3796"/>
      <c r="EBJ743" s="3796"/>
      <c r="EBK743" s="3796"/>
      <c r="EBL743" s="3796"/>
      <c r="EBM743" s="3796"/>
      <c r="EBN743" s="3796"/>
      <c r="EBO743" s="3796"/>
      <c r="EBP743" s="3796"/>
      <c r="EBQ743" s="3796"/>
      <c r="EBR743" s="3796"/>
      <c r="EBS743" s="3796"/>
      <c r="EBT743" s="3796"/>
      <c r="EBU743" s="3796"/>
      <c r="EBV743" s="3796"/>
      <c r="EBW743" s="3796"/>
      <c r="EBX743" s="3796"/>
      <c r="EBY743" s="3796"/>
      <c r="EBZ743" s="3796"/>
      <c r="ECA743" s="3796"/>
      <c r="ECB743" s="3796"/>
      <c r="ECC743" s="3796"/>
      <c r="ECD743" s="3796"/>
      <c r="ECE743" s="3796"/>
      <c r="ECF743" s="3796"/>
      <c r="ECG743" s="3796"/>
      <c r="ECH743" s="3796"/>
      <c r="ECI743" s="3796"/>
      <c r="ECJ743" s="3796"/>
      <c r="ECK743" s="3796"/>
      <c r="ECL743" s="3796"/>
      <c r="ECM743" s="3796"/>
      <c r="ECN743" s="3796"/>
      <c r="ECO743" s="3796"/>
      <c r="ECP743" s="3796"/>
      <c r="ECQ743" s="3796"/>
      <c r="ECR743" s="3796"/>
      <c r="ECS743" s="3796"/>
      <c r="ECT743" s="3796"/>
      <c r="ECU743" s="3796"/>
      <c r="ECV743" s="3796"/>
      <c r="ECW743" s="3796"/>
      <c r="ECX743" s="3796"/>
      <c r="ECY743" s="3796"/>
      <c r="ECZ743" s="3796"/>
      <c r="EDA743" s="3796"/>
      <c r="EDB743" s="3796"/>
      <c r="EDC743" s="3796"/>
      <c r="EDD743" s="3796"/>
      <c r="EDE743" s="3796"/>
      <c r="EDF743" s="3796"/>
      <c r="EDG743" s="3796"/>
      <c r="EDH743" s="3796"/>
      <c r="EDI743" s="3796"/>
      <c r="EDJ743" s="3796"/>
      <c r="EDK743" s="3796"/>
      <c r="EDL743" s="3796"/>
      <c r="EDM743" s="3796"/>
      <c r="EDN743" s="3796"/>
      <c r="EDO743" s="3796"/>
      <c r="EDP743" s="3796"/>
      <c r="EDQ743" s="3796"/>
      <c r="EDR743" s="3796"/>
      <c r="EDS743" s="3796"/>
      <c r="EDT743" s="3796"/>
      <c r="EDU743" s="3796"/>
      <c r="EDV743" s="3796"/>
      <c r="EDW743" s="3796"/>
      <c r="EDX743" s="3796"/>
      <c r="EDY743" s="3796"/>
      <c r="EDZ743" s="3796"/>
      <c r="EEA743" s="3796"/>
      <c r="EEB743" s="3796"/>
      <c r="EEC743" s="3796"/>
      <c r="EED743" s="3796"/>
      <c r="EEE743" s="3796"/>
      <c r="EEF743" s="3796"/>
      <c r="EEG743" s="3796"/>
      <c r="EEH743" s="3796"/>
      <c r="EEI743" s="3796"/>
      <c r="EEJ743" s="3796"/>
      <c r="EEK743" s="3796"/>
      <c r="EEL743" s="3796"/>
      <c r="EEM743" s="3796"/>
      <c r="EEN743" s="3796"/>
      <c r="EEO743" s="3796"/>
      <c r="EEP743" s="3796"/>
      <c r="EEQ743" s="3796"/>
      <c r="EER743" s="3796"/>
      <c r="EES743" s="3796"/>
      <c r="EET743" s="3796"/>
      <c r="EEU743" s="3796"/>
      <c r="EEV743" s="3796"/>
      <c r="EEW743" s="3796"/>
      <c r="EEX743" s="3796"/>
      <c r="EEY743" s="3796"/>
      <c r="EEZ743" s="3796"/>
      <c r="EFA743" s="3796"/>
      <c r="EFB743" s="3796"/>
      <c r="EFC743" s="3796"/>
      <c r="EFD743" s="3796"/>
      <c r="EFE743" s="3796"/>
      <c r="EFF743" s="3796"/>
      <c r="EFG743" s="3796"/>
      <c r="EFH743" s="3796"/>
      <c r="EFI743" s="3796"/>
      <c r="EFJ743" s="3796"/>
      <c r="EFK743" s="3796"/>
      <c r="EFL743" s="3796"/>
      <c r="EFM743" s="3796"/>
      <c r="EFN743" s="3796"/>
      <c r="EFO743" s="3796"/>
      <c r="EFP743" s="3796"/>
      <c r="EFQ743" s="3796"/>
      <c r="EFR743" s="3796"/>
      <c r="EFS743" s="3796"/>
      <c r="EFT743" s="3796"/>
      <c r="EFU743" s="3796"/>
      <c r="EFV743" s="3796"/>
      <c r="EFW743" s="3796"/>
      <c r="EFX743" s="3796"/>
      <c r="EFY743" s="3796"/>
      <c r="EFZ743" s="3796"/>
      <c r="EGA743" s="3796"/>
      <c r="EGB743" s="3796"/>
      <c r="EGC743" s="3796"/>
      <c r="EGD743" s="3796"/>
      <c r="EGE743" s="3796"/>
      <c r="EGF743" s="3796"/>
      <c r="EGG743" s="3796"/>
      <c r="EGH743" s="3796"/>
      <c r="EGI743" s="3796"/>
      <c r="EGJ743" s="3796"/>
      <c r="EGK743" s="3796"/>
      <c r="EGL743" s="3796"/>
      <c r="EGM743" s="3796"/>
      <c r="EGN743" s="3796"/>
      <c r="EGO743" s="3796"/>
      <c r="EGP743" s="3796"/>
      <c r="EGQ743" s="3796"/>
      <c r="EGR743" s="3796"/>
      <c r="EGS743" s="3796"/>
      <c r="EGT743" s="3796"/>
      <c r="EGU743" s="3796"/>
      <c r="EGV743" s="3796"/>
      <c r="EGW743" s="3796"/>
      <c r="EHB743" s="3796"/>
      <c r="EHH743" s="3796"/>
      <c r="EHI743" s="3796"/>
      <c r="EHJ743" s="3796"/>
      <c r="EHN743" s="3796"/>
      <c r="EHU743" s="3796"/>
      <c r="EHV743" s="3796"/>
      <c r="EHW743" s="3796"/>
      <c r="EHX743" s="3796"/>
      <c r="EHY743" s="3796"/>
      <c r="EHZ743" s="3796"/>
      <c r="EIA743" s="3796"/>
      <c r="EIB743" s="3796"/>
      <c r="EIC743" s="3796"/>
      <c r="EID743" s="3796"/>
      <c r="EIE743" s="3796"/>
      <c r="EIF743" s="3796"/>
      <c r="EIG743" s="3796"/>
      <c r="EIH743" s="3796"/>
      <c r="EII743" s="3796"/>
      <c r="EIJ743" s="3796"/>
      <c r="EIK743" s="3796"/>
      <c r="EIL743" s="3796"/>
      <c r="EIM743" s="3796"/>
      <c r="EIN743" s="3796"/>
      <c r="EIO743" s="3796"/>
      <c r="EIP743" s="3796"/>
      <c r="EIQ743" s="3796"/>
      <c r="EIR743" s="3796"/>
      <c r="EIS743" s="3796"/>
      <c r="EIT743" s="3796"/>
      <c r="EIU743" s="3796"/>
      <c r="EIV743" s="3796"/>
      <c r="EIW743" s="3796"/>
      <c r="EIX743" s="3796"/>
      <c r="EIY743" s="3796"/>
      <c r="EIZ743" s="3796"/>
      <c r="EJA743" s="3796"/>
      <c r="EJB743" s="3796"/>
      <c r="EJC743" s="3796"/>
      <c r="EJD743" s="3796"/>
      <c r="EJE743" s="3796"/>
      <c r="EJF743" s="3796"/>
      <c r="EJG743" s="3796"/>
      <c r="EJH743" s="3796"/>
      <c r="EJI743" s="3796"/>
      <c r="EJJ743" s="3796"/>
      <c r="EJK743" s="3796"/>
      <c r="EJL743" s="3796"/>
      <c r="EJM743" s="3796"/>
      <c r="EJN743" s="3796"/>
      <c r="EJO743" s="3796"/>
      <c r="EJP743" s="3796"/>
      <c r="EJQ743" s="3796"/>
      <c r="EJR743" s="3796"/>
      <c r="EJS743" s="3796"/>
      <c r="EJT743" s="3796"/>
      <c r="EJU743" s="3796"/>
      <c r="EJV743" s="3796"/>
      <c r="EJW743" s="3796"/>
      <c r="EJX743" s="3796"/>
      <c r="EJY743" s="3796"/>
      <c r="EJZ743" s="3796"/>
      <c r="EKA743" s="3796"/>
      <c r="EKB743" s="3796"/>
      <c r="EKC743" s="3796"/>
      <c r="EKD743" s="3796"/>
      <c r="EKE743" s="3796"/>
      <c r="EKF743" s="3796"/>
      <c r="EKG743" s="3796"/>
      <c r="EKH743" s="3796"/>
      <c r="EKI743" s="3796"/>
      <c r="EKJ743" s="3796"/>
      <c r="EKK743" s="3796"/>
      <c r="EKL743" s="3796"/>
      <c r="EKM743" s="3796"/>
      <c r="EKN743" s="3796"/>
      <c r="EKO743" s="3796"/>
      <c r="EKP743" s="3796"/>
      <c r="EKQ743" s="3796"/>
      <c r="EKR743" s="3796"/>
      <c r="EKS743" s="3796"/>
      <c r="EKT743" s="3796"/>
      <c r="EKU743" s="3796"/>
      <c r="EKV743" s="3796"/>
      <c r="EKW743" s="3796"/>
      <c r="EKX743" s="3796"/>
      <c r="EKY743" s="3796"/>
      <c r="EKZ743" s="3796"/>
      <c r="ELA743" s="3796"/>
      <c r="ELB743" s="3796"/>
      <c r="ELC743" s="3796"/>
      <c r="ELD743" s="3796"/>
      <c r="ELE743" s="3796"/>
      <c r="ELF743" s="3796"/>
      <c r="ELG743" s="3796"/>
      <c r="ELH743" s="3796"/>
      <c r="ELI743" s="3796"/>
      <c r="ELJ743" s="3796"/>
      <c r="ELK743" s="3796"/>
      <c r="ELL743" s="3796"/>
      <c r="ELM743" s="3796"/>
      <c r="ELN743" s="3796"/>
      <c r="ELO743" s="3796"/>
      <c r="ELP743" s="3796"/>
      <c r="ELQ743" s="3796"/>
      <c r="ELR743" s="3796"/>
      <c r="ELS743" s="3796"/>
      <c r="ELT743" s="3796"/>
      <c r="ELU743" s="3796"/>
      <c r="ELV743" s="3796"/>
      <c r="ELW743" s="3796"/>
      <c r="ELX743" s="3796"/>
      <c r="ELY743" s="3796"/>
      <c r="ELZ743" s="3796"/>
      <c r="EMA743" s="3796"/>
      <c r="EMB743" s="3796"/>
      <c r="EMC743" s="3796"/>
      <c r="EMD743" s="3796"/>
      <c r="EME743" s="3796"/>
      <c r="EMF743" s="3796"/>
      <c r="EMG743" s="3796"/>
      <c r="EMH743" s="3796"/>
      <c r="EMI743" s="3796"/>
      <c r="EMJ743" s="3796"/>
      <c r="EMK743" s="3796"/>
      <c r="EML743" s="3796"/>
      <c r="EMM743" s="3796"/>
      <c r="EMN743" s="3796"/>
      <c r="EMO743" s="3796"/>
      <c r="EMP743" s="3796"/>
      <c r="EMQ743" s="3796"/>
      <c r="EMR743" s="3796"/>
      <c r="EMS743" s="3796"/>
      <c r="EMT743" s="3796"/>
      <c r="EMU743" s="3796"/>
      <c r="EMV743" s="3796"/>
      <c r="EMW743" s="3796"/>
      <c r="EMX743" s="3796"/>
      <c r="EMY743" s="3796"/>
      <c r="EMZ743" s="3796"/>
      <c r="ENA743" s="3796"/>
      <c r="ENB743" s="3796"/>
      <c r="ENC743" s="3796"/>
      <c r="END743" s="3796"/>
      <c r="ENE743" s="3796"/>
      <c r="ENF743" s="3796"/>
      <c r="ENG743" s="3796"/>
      <c r="ENH743" s="3796"/>
      <c r="ENI743" s="3796"/>
      <c r="ENJ743" s="3796"/>
      <c r="ENK743" s="3796"/>
      <c r="ENL743" s="3796"/>
      <c r="ENM743" s="3796"/>
      <c r="ENN743" s="3796"/>
      <c r="ENO743" s="3796"/>
      <c r="ENP743" s="3796"/>
      <c r="ENQ743" s="3796"/>
      <c r="ENR743" s="3796"/>
      <c r="ENS743" s="3796"/>
      <c r="ENT743" s="3796"/>
      <c r="ENU743" s="3796"/>
      <c r="ENV743" s="3796"/>
      <c r="ENW743" s="3796"/>
      <c r="ENX743" s="3796"/>
      <c r="ENY743" s="3796"/>
      <c r="ENZ743" s="3796"/>
      <c r="EOA743" s="3796"/>
      <c r="EOB743" s="3796"/>
      <c r="EOC743" s="3796"/>
      <c r="EOD743" s="3796"/>
      <c r="EOE743" s="3796"/>
      <c r="EOF743" s="3796"/>
      <c r="EOG743" s="3796"/>
      <c r="EOH743" s="3796"/>
      <c r="EOI743" s="3796"/>
      <c r="EOJ743" s="3796"/>
      <c r="EOK743" s="3796"/>
      <c r="EOL743" s="3796"/>
      <c r="EOM743" s="3796"/>
      <c r="EON743" s="3796"/>
      <c r="EOO743" s="3796"/>
      <c r="EOP743" s="3796"/>
      <c r="EOQ743" s="3796"/>
      <c r="EOR743" s="3796"/>
      <c r="EOS743" s="3796"/>
      <c r="EOT743" s="3796"/>
      <c r="EOU743" s="3796"/>
      <c r="EOV743" s="3796"/>
      <c r="EOW743" s="3796"/>
      <c r="EOX743" s="3796"/>
      <c r="EOY743" s="3796"/>
      <c r="EOZ743" s="3796"/>
      <c r="EPA743" s="3796"/>
      <c r="EPB743" s="3796"/>
      <c r="EPC743" s="3796"/>
      <c r="EPD743" s="3796"/>
      <c r="EPE743" s="3796"/>
      <c r="EPF743" s="3796"/>
      <c r="EPG743" s="3796"/>
      <c r="EPH743" s="3796"/>
      <c r="EPI743" s="3796"/>
      <c r="EPJ743" s="3796"/>
      <c r="EPK743" s="3796"/>
      <c r="EPL743" s="3796"/>
      <c r="EPM743" s="3796"/>
      <c r="EPN743" s="3796"/>
      <c r="EPO743" s="3796"/>
      <c r="EPP743" s="3796"/>
      <c r="EPQ743" s="3796"/>
      <c r="EPR743" s="3796"/>
      <c r="EPS743" s="3796"/>
      <c r="EPT743" s="3796"/>
      <c r="EPU743" s="3796"/>
      <c r="EPV743" s="3796"/>
      <c r="EPW743" s="3796"/>
      <c r="EPX743" s="3796"/>
      <c r="EPY743" s="3796"/>
      <c r="EPZ743" s="3796"/>
      <c r="EQA743" s="3796"/>
      <c r="EQB743" s="3796"/>
      <c r="EQC743" s="3796"/>
      <c r="EQD743" s="3796"/>
      <c r="EQE743" s="3796"/>
      <c r="EQF743" s="3796"/>
      <c r="EQG743" s="3796"/>
      <c r="EQH743" s="3796"/>
      <c r="EQI743" s="3796"/>
      <c r="EQJ743" s="3796"/>
      <c r="EQK743" s="3796"/>
      <c r="EQL743" s="3796"/>
      <c r="EQM743" s="3796"/>
      <c r="EQN743" s="3796"/>
      <c r="EQO743" s="3796"/>
      <c r="EQP743" s="3796"/>
      <c r="EQQ743" s="3796"/>
      <c r="EQR743" s="3796"/>
      <c r="EQS743" s="3796"/>
      <c r="EQX743" s="3796"/>
      <c r="ERD743" s="3796"/>
      <c r="ERE743" s="3796"/>
      <c r="ERF743" s="3796"/>
      <c r="ERJ743" s="3796"/>
      <c r="ERQ743" s="3796"/>
      <c r="ERR743" s="3796"/>
      <c r="ERS743" s="3796"/>
      <c r="ERT743" s="3796"/>
      <c r="ERU743" s="3796"/>
      <c r="ERV743" s="3796"/>
      <c r="ERW743" s="3796"/>
      <c r="ERX743" s="3796"/>
      <c r="ERY743" s="3796"/>
      <c r="ERZ743" s="3796"/>
      <c r="ESA743" s="3796"/>
      <c r="ESB743" s="3796"/>
      <c r="ESC743" s="3796"/>
      <c r="ESD743" s="3796"/>
      <c r="ESE743" s="3796"/>
      <c r="ESF743" s="3796"/>
      <c r="ESG743" s="3796"/>
      <c r="ESH743" s="3796"/>
      <c r="ESI743" s="3796"/>
      <c r="ESJ743" s="3796"/>
      <c r="ESK743" s="3796"/>
      <c r="ESL743" s="3796"/>
      <c r="ESM743" s="3796"/>
      <c r="ESN743" s="3796"/>
      <c r="ESO743" s="3796"/>
      <c r="ESP743" s="3796"/>
      <c r="ESQ743" s="3796"/>
      <c r="ESR743" s="3796"/>
      <c r="ESS743" s="3796"/>
      <c r="EST743" s="3796"/>
      <c r="ESU743" s="3796"/>
      <c r="ESV743" s="3796"/>
      <c r="ESW743" s="3796"/>
      <c r="ESX743" s="3796"/>
      <c r="ESY743" s="3796"/>
      <c r="ESZ743" s="3796"/>
      <c r="ETA743" s="3796"/>
      <c r="ETB743" s="3796"/>
      <c r="ETC743" s="3796"/>
      <c r="ETD743" s="3796"/>
      <c r="ETE743" s="3796"/>
      <c r="ETF743" s="3796"/>
      <c r="ETG743" s="3796"/>
      <c r="ETH743" s="3796"/>
      <c r="ETI743" s="3796"/>
      <c r="ETJ743" s="3796"/>
      <c r="ETK743" s="3796"/>
      <c r="ETL743" s="3796"/>
      <c r="ETM743" s="3796"/>
      <c r="ETN743" s="3796"/>
      <c r="ETO743" s="3796"/>
      <c r="ETP743" s="3796"/>
      <c r="ETQ743" s="3796"/>
      <c r="ETR743" s="3796"/>
      <c r="ETS743" s="3796"/>
      <c r="ETT743" s="3796"/>
      <c r="ETU743" s="3796"/>
      <c r="ETV743" s="3796"/>
      <c r="ETW743" s="3796"/>
      <c r="ETX743" s="3796"/>
      <c r="ETY743" s="3796"/>
      <c r="ETZ743" s="3796"/>
      <c r="EUA743" s="3796"/>
      <c r="EUB743" s="3796"/>
      <c r="EUC743" s="3796"/>
      <c r="EUD743" s="3796"/>
      <c r="EUE743" s="3796"/>
      <c r="EUF743" s="3796"/>
      <c r="EUG743" s="3796"/>
      <c r="EUH743" s="3796"/>
      <c r="EUI743" s="3796"/>
      <c r="EUJ743" s="3796"/>
      <c r="EUK743" s="3796"/>
      <c r="EUL743" s="3796"/>
      <c r="EUM743" s="3796"/>
      <c r="EUN743" s="3796"/>
      <c r="EUO743" s="3796"/>
      <c r="EUP743" s="3796"/>
      <c r="EUQ743" s="3796"/>
      <c r="EUR743" s="3796"/>
      <c r="EUS743" s="3796"/>
      <c r="EUT743" s="3796"/>
      <c r="EUU743" s="3796"/>
      <c r="EUV743" s="3796"/>
      <c r="EUW743" s="3796"/>
      <c r="EUX743" s="3796"/>
      <c r="EUY743" s="3796"/>
      <c r="EUZ743" s="3796"/>
      <c r="EVA743" s="3796"/>
      <c r="EVB743" s="3796"/>
      <c r="EVC743" s="3796"/>
      <c r="EVD743" s="3796"/>
      <c r="EVE743" s="3796"/>
      <c r="EVF743" s="3796"/>
      <c r="EVG743" s="3796"/>
      <c r="EVH743" s="3796"/>
      <c r="EVI743" s="3796"/>
      <c r="EVJ743" s="3796"/>
      <c r="EVK743" s="3796"/>
      <c r="EVL743" s="3796"/>
      <c r="EVM743" s="3796"/>
      <c r="EVN743" s="3796"/>
      <c r="EVO743" s="3796"/>
      <c r="EVP743" s="3796"/>
      <c r="EVQ743" s="3796"/>
      <c r="EVR743" s="3796"/>
      <c r="EVS743" s="3796"/>
      <c r="EVT743" s="3796"/>
      <c r="EVU743" s="3796"/>
      <c r="EVV743" s="3796"/>
      <c r="EVW743" s="3796"/>
      <c r="EVX743" s="3796"/>
      <c r="EVY743" s="3796"/>
      <c r="EVZ743" s="3796"/>
      <c r="EWA743" s="3796"/>
      <c r="EWB743" s="3796"/>
      <c r="EWC743" s="3796"/>
      <c r="EWD743" s="3796"/>
      <c r="EWE743" s="3796"/>
      <c r="EWF743" s="3796"/>
      <c r="EWG743" s="3796"/>
      <c r="EWH743" s="3796"/>
      <c r="EWI743" s="3796"/>
      <c r="EWJ743" s="3796"/>
      <c r="EWK743" s="3796"/>
      <c r="EWL743" s="3796"/>
      <c r="EWM743" s="3796"/>
      <c r="EWN743" s="3796"/>
      <c r="EWO743" s="3796"/>
      <c r="EWP743" s="3796"/>
      <c r="EWQ743" s="3796"/>
      <c r="EWR743" s="3796"/>
      <c r="EWS743" s="3796"/>
      <c r="EWT743" s="3796"/>
      <c r="EWU743" s="3796"/>
      <c r="EWV743" s="3796"/>
      <c r="EWW743" s="3796"/>
      <c r="EWX743" s="3796"/>
      <c r="EWY743" s="3796"/>
      <c r="EWZ743" s="3796"/>
      <c r="EXA743" s="3796"/>
      <c r="EXB743" s="3796"/>
      <c r="EXC743" s="3796"/>
      <c r="EXD743" s="3796"/>
      <c r="EXE743" s="3796"/>
      <c r="EXF743" s="3796"/>
      <c r="EXG743" s="3796"/>
      <c r="EXH743" s="3796"/>
      <c r="EXI743" s="3796"/>
      <c r="EXJ743" s="3796"/>
      <c r="EXK743" s="3796"/>
      <c r="EXL743" s="3796"/>
      <c r="EXM743" s="3796"/>
      <c r="EXN743" s="3796"/>
      <c r="EXO743" s="3796"/>
      <c r="EXP743" s="3796"/>
      <c r="EXQ743" s="3796"/>
      <c r="EXR743" s="3796"/>
      <c r="EXS743" s="3796"/>
      <c r="EXT743" s="3796"/>
      <c r="EXU743" s="3796"/>
      <c r="EXV743" s="3796"/>
      <c r="EXW743" s="3796"/>
      <c r="EXX743" s="3796"/>
      <c r="EXY743" s="3796"/>
      <c r="EXZ743" s="3796"/>
      <c r="EYA743" s="3796"/>
      <c r="EYB743" s="3796"/>
      <c r="EYC743" s="3796"/>
      <c r="EYD743" s="3796"/>
      <c r="EYE743" s="3796"/>
      <c r="EYF743" s="3796"/>
      <c r="EYG743" s="3796"/>
      <c r="EYH743" s="3796"/>
      <c r="EYI743" s="3796"/>
      <c r="EYJ743" s="3796"/>
      <c r="EYK743" s="3796"/>
      <c r="EYL743" s="3796"/>
      <c r="EYM743" s="3796"/>
      <c r="EYN743" s="3796"/>
      <c r="EYO743" s="3796"/>
      <c r="EYP743" s="3796"/>
      <c r="EYQ743" s="3796"/>
      <c r="EYR743" s="3796"/>
      <c r="EYS743" s="3796"/>
      <c r="EYT743" s="3796"/>
      <c r="EYU743" s="3796"/>
      <c r="EYV743" s="3796"/>
      <c r="EYW743" s="3796"/>
      <c r="EYX743" s="3796"/>
      <c r="EYY743" s="3796"/>
      <c r="EYZ743" s="3796"/>
      <c r="EZA743" s="3796"/>
      <c r="EZB743" s="3796"/>
      <c r="EZC743" s="3796"/>
      <c r="EZD743" s="3796"/>
      <c r="EZE743" s="3796"/>
      <c r="EZF743" s="3796"/>
      <c r="EZG743" s="3796"/>
      <c r="EZH743" s="3796"/>
      <c r="EZI743" s="3796"/>
      <c r="EZJ743" s="3796"/>
      <c r="EZK743" s="3796"/>
      <c r="EZL743" s="3796"/>
      <c r="EZM743" s="3796"/>
      <c r="EZN743" s="3796"/>
      <c r="EZO743" s="3796"/>
      <c r="EZP743" s="3796"/>
      <c r="EZQ743" s="3796"/>
      <c r="EZR743" s="3796"/>
      <c r="EZS743" s="3796"/>
      <c r="EZT743" s="3796"/>
      <c r="EZU743" s="3796"/>
      <c r="EZV743" s="3796"/>
      <c r="EZW743" s="3796"/>
      <c r="EZX743" s="3796"/>
      <c r="EZY743" s="3796"/>
      <c r="EZZ743" s="3796"/>
      <c r="FAA743" s="3796"/>
      <c r="FAB743" s="3796"/>
      <c r="FAC743" s="3796"/>
      <c r="FAD743" s="3796"/>
      <c r="FAE743" s="3796"/>
      <c r="FAF743" s="3796"/>
      <c r="FAG743" s="3796"/>
      <c r="FAH743" s="3796"/>
      <c r="FAI743" s="3796"/>
      <c r="FAJ743" s="3796"/>
      <c r="FAK743" s="3796"/>
      <c r="FAL743" s="3796"/>
      <c r="FAM743" s="3796"/>
      <c r="FAN743" s="3796"/>
      <c r="FAO743" s="3796"/>
      <c r="FAT743" s="3796"/>
      <c r="FAZ743" s="3796"/>
      <c r="FBA743" s="3796"/>
      <c r="FBB743" s="3796"/>
      <c r="FBF743" s="3796"/>
      <c r="FBM743" s="3796"/>
      <c r="FBN743" s="3796"/>
      <c r="FBO743" s="3796"/>
      <c r="FBP743" s="3796"/>
      <c r="FBQ743" s="3796"/>
      <c r="FBR743" s="3796"/>
      <c r="FBS743" s="3796"/>
      <c r="FBT743" s="3796"/>
      <c r="FBU743" s="3796"/>
      <c r="FBV743" s="3796"/>
      <c r="FBW743" s="3796"/>
      <c r="FBX743" s="3796"/>
      <c r="FBY743" s="3796"/>
      <c r="FBZ743" s="3796"/>
      <c r="FCA743" s="3796"/>
      <c r="FCB743" s="3796"/>
      <c r="FCC743" s="3796"/>
      <c r="FCD743" s="3796"/>
      <c r="FCE743" s="3796"/>
      <c r="FCF743" s="3796"/>
      <c r="FCG743" s="3796"/>
      <c r="FCH743" s="3796"/>
      <c r="FCI743" s="3796"/>
      <c r="FCJ743" s="3796"/>
      <c r="FCK743" s="3796"/>
      <c r="FCL743" s="3796"/>
      <c r="FCM743" s="3796"/>
      <c r="FCN743" s="3796"/>
      <c r="FCO743" s="3796"/>
      <c r="FCP743" s="3796"/>
      <c r="FCQ743" s="3796"/>
      <c r="FCR743" s="3796"/>
      <c r="FCS743" s="3796"/>
      <c r="FCT743" s="3796"/>
      <c r="FCU743" s="3796"/>
      <c r="FCV743" s="3796"/>
      <c r="FCW743" s="3796"/>
      <c r="FCX743" s="3796"/>
      <c r="FCY743" s="3796"/>
      <c r="FCZ743" s="3796"/>
      <c r="FDA743" s="3796"/>
      <c r="FDB743" s="3796"/>
      <c r="FDC743" s="3796"/>
      <c r="FDD743" s="3796"/>
      <c r="FDE743" s="3796"/>
      <c r="FDF743" s="3796"/>
      <c r="FDG743" s="3796"/>
      <c r="FDH743" s="3796"/>
      <c r="FDI743" s="3796"/>
      <c r="FDJ743" s="3796"/>
      <c r="FDK743" s="3796"/>
      <c r="FDL743" s="3796"/>
      <c r="FDM743" s="3796"/>
      <c r="FDN743" s="3796"/>
      <c r="FDO743" s="3796"/>
      <c r="FDP743" s="3796"/>
      <c r="FDQ743" s="3796"/>
      <c r="FDR743" s="3796"/>
      <c r="FDS743" s="3796"/>
      <c r="FDT743" s="3796"/>
      <c r="FDU743" s="3796"/>
      <c r="FDV743" s="3796"/>
      <c r="FDW743" s="3796"/>
      <c r="FDX743" s="3796"/>
      <c r="FDY743" s="3796"/>
      <c r="FDZ743" s="3796"/>
      <c r="FEA743" s="3796"/>
      <c r="FEB743" s="3796"/>
      <c r="FEC743" s="3796"/>
      <c r="FED743" s="3796"/>
      <c r="FEE743" s="3796"/>
      <c r="FEF743" s="3796"/>
      <c r="FEG743" s="3796"/>
      <c r="FEH743" s="3796"/>
      <c r="FEI743" s="3796"/>
      <c r="FEJ743" s="3796"/>
      <c r="FEK743" s="3796"/>
      <c r="FEL743" s="3796"/>
      <c r="FEM743" s="3796"/>
      <c r="FEN743" s="3796"/>
      <c r="FEO743" s="3796"/>
      <c r="FEP743" s="3796"/>
      <c r="FEQ743" s="3796"/>
      <c r="FER743" s="3796"/>
      <c r="FES743" s="3796"/>
      <c r="FET743" s="3796"/>
      <c r="FEU743" s="3796"/>
      <c r="FEV743" s="3796"/>
      <c r="FEW743" s="3796"/>
      <c r="FEX743" s="3796"/>
      <c r="FEY743" s="3796"/>
      <c r="FEZ743" s="3796"/>
      <c r="FFA743" s="3796"/>
      <c r="FFB743" s="3796"/>
      <c r="FFC743" s="3796"/>
      <c r="FFD743" s="3796"/>
      <c r="FFE743" s="3796"/>
      <c r="FFF743" s="3796"/>
      <c r="FFG743" s="3796"/>
      <c r="FFH743" s="3796"/>
      <c r="FFI743" s="3796"/>
      <c r="FFJ743" s="3796"/>
      <c r="FFK743" s="3796"/>
      <c r="FFL743" s="3796"/>
      <c r="FFM743" s="3796"/>
      <c r="FFN743" s="3796"/>
      <c r="FFO743" s="3796"/>
      <c r="FFP743" s="3796"/>
      <c r="FFQ743" s="3796"/>
      <c r="FFR743" s="3796"/>
      <c r="FFS743" s="3796"/>
      <c r="FFT743" s="3796"/>
      <c r="FFU743" s="3796"/>
      <c r="FFV743" s="3796"/>
      <c r="FFW743" s="3796"/>
      <c r="FFX743" s="3796"/>
      <c r="FFY743" s="3796"/>
      <c r="FFZ743" s="3796"/>
      <c r="FGA743" s="3796"/>
      <c r="FGB743" s="3796"/>
      <c r="FGC743" s="3796"/>
      <c r="FGD743" s="3796"/>
      <c r="FGE743" s="3796"/>
      <c r="FGF743" s="3796"/>
      <c r="FGG743" s="3796"/>
      <c r="FGH743" s="3796"/>
      <c r="FGI743" s="3796"/>
      <c r="FGJ743" s="3796"/>
      <c r="FGK743" s="3796"/>
      <c r="FGL743" s="3796"/>
      <c r="FGM743" s="3796"/>
      <c r="FGN743" s="3796"/>
      <c r="FGO743" s="3796"/>
      <c r="FGP743" s="3796"/>
      <c r="FGQ743" s="3796"/>
      <c r="FGR743" s="3796"/>
      <c r="FGS743" s="3796"/>
      <c r="FGT743" s="3796"/>
      <c r="FGU743" s="3796"/>
      <c r="FGV743" s="3796"/>
      <c r="FGW743" s="3796"/>
      <c r="FGX743" s="3796"/>
      <c r="FGY743" s="3796"/>
      <c r="FGZ743" s="3796"/>
      <c r="FHA743" s="3796"/>
      <c r="FHB743" s="3796"/>
      <c r="FHC743" s="3796"/>
      <c r="FHD743" s="3796"/>
      <c r="FHE743" s="3796"/>
      <c r="FHF743" s="3796"/>
      <c r="FHG743" s="3796"/>
      <c r="FHH743" s="3796"/>
      <c r="FHI743" s="3796"/>
      <c r="FHJ743" s="3796"/>
      <c r="FHK743" s="3796"/>
      <c r="FHL743" s="3796"/>
      <c r="FHM743" s="3796"/>
      <c r="FHN743" s="3796"/>
      <c r="FHO743" s="3796"/>
      <c r="FHP743" s="3796"/>
      <c r="FHQ743" s="3796"/>
      <c r="FHR743" s="3796"/>
      <c r="FHS743" s="3796"/>
      <c r="FHT743" s="3796"/>
      <c r="FHU743" s="3796"/>
      <c r="FHV743" s="3796"/>
      <c r="FHW743" s="3796"/>
      <c r="FHX743" s="3796"/>
      <c r="FHY743" s="3796"/>
      <c r="FHZ743" s="3796"/>
      <c r="FIA743" s="3796"/>
      <c r="FIB743" s="3796"/>
      <c r="FIC743" s="3796"/>
      <c r="FID743" s="3796"/>
      <c r="FIE743" s="3796"/>
      <c r="FIF743" s="3796"/>
      <c r="FIG743" s="3796"/>
      <c r="FIH743" s="3796"/>
      <c r="FII743" s="3796"/>
      <c r="FIJ743" s="3796"/>
      <c r="FIK743" s="3796"/>
      <c r="FIL743" s="3796"/>
      <c r="FIM743" s="3796"/>
      <c r="FIN743" s="3796"/>
      <c r="FIO743" s="3796"/>
      <c r="FIP743" s="3796"/>
      <c r="FIQ743" s="3796"/>
      <c r="FIR743" s="3796"/>
      <c r="FIS743" s="3796"/>
      <c r="FIT743" s="3796"/>
      <c r="FIU743" s="3796"/>
      <c r="FIV743" s="3796"/>
      <c r="FIW743" s="3796"/>
      <c r="FIX743" s="3796"/>
      <c r="FIY743" s="3796"/>
      <c r="FIZ743" s="3796"/>
      <c r="FJA743" s="3796"/>
      <c r="FJB743" s="3796"/>
      <c r="FJC743" s="3796"/>
      <c r="FJD743" s="3796"/>
      <c r="FJE743" s="3796"/>
      <c r="FJF743" s="3796"/>
      <c r="FJG743" s="3796"/>
      <c r="FJH743" s="3796"/>
      <c r="FJI743" s="3796"/>
      <c r="FJJ743" s="3796"/>
      <c r="FJK743" s="3796"/>
      <c r="FJL743" s="3796"/>
      <c r="FJM743" s="3796"/>
      <c r="FJN743" s="3796"/>
      <c r="FJO743" s="3796"/>
      <c r="FJP743" s="3796"/>
      <c r="FJQ743" s="3796"/>
      <c r="FJR743" s="3796"/>
      <c r="FJS743" s="3796"/>
      <c r="FJT743" s="3796"/>
      <c r="FJU743" s="3796"/>
      <c r="FJV743" s="3796"/>
      <c r="FJW743" s="3796"/>
      <c r="FJX743" s="3796"/>
      <c r="FJY743" s="3796"/>
      <c r="FJZ743" s="3796"/>
      <c r="FKA743" s="3796"/>
      <c r="FKB743" s="3796"/>
      <c r="FKC743" s="3796"/>
      <c r="FKD743" s="3796"/>
      <c r="FKE743" s="3796"/>
      <c r="FKF743" s="3796"/>
      <c r="FKG743" s="3796"/>
      <c r="FKH743" s="3796"/>
      <c r="FKI743" s="3796"/>
      <c r="FKJ743" s="3796"/>
      <c r="FKK743" s="3796"/>
      <c r="FKP743" s="3796"/>
      <c r="FKV743" s="3796"/>
      <c r="FKW743" s="3796"/>
      <c r="FKX743" s="3796"/>
      <c r="FLB743" s="3796"/>
      <c r="FLI743" s="3796"/>
      <c r="FLJ743" s="3796"/>
      <c r="FLK743" s="3796"/>
      <c r="FLL743" s="3796"/>
      <c r="FLM743" s="3796"/>
      <c r="FLN743" s="3796"/>
      <c r="FLO743" s="3796"/>
      <c r="FLP743" s="3796"/>
      <c r="FLQ743" s="3796"/>
      <c r="FLR743" s="3796"/>
      <c r="FLS743" s="3796"/>
      <c r="FLT743" s="3796"/>
      <c r="FLU743" s="3796"/>
      <c r="FLV743" s="3796"/>
      <c r="FLW743" s="3796"/>
      <c r="FLX743" s="3796"/>
      <c r="FLY743" s="3796"/>
      <c r="FLZ743" s="3796"/>
      <c r="FMA743" s="3796"/>
      <c r="FMB743" s="3796"/>
      <c r="FMC743" s="3796"/>
      <c r="FMD743" s="3796"/>
      <c r="FME743" s="3796"/>
      <c r="FMF743" s="3796"/>
      <c r="FMG743" s="3796"/>
      <c r="FMH743" s="3796"/>
      <c r="FMI743" s="3796"/>
      <c r="FMJ743" s="3796"/>
      <c r="FMK743" s="3796"/>
      <c r="FML743" s="3796"/>
      <c r="FMM743" s="3796"/>
      <c r="FMN743" s="3796"/>
      <c r="FMO743" s="3796"/>
      <c r="FMP743" s="3796"/>
      <c r="FMQ743" s="3796"/>
      <c r="FMR743" s="3796"/>
      <c r="FMS743" s="3796"/>
      <c r="FMT743" s="3796"/>
      <c r="FMU743" s="3796"/>
      <c r="FMV743" s="3796"/>
      <c r="FMW743" s="3796"/>
      <c r="FMX743" s="3796"/>
      <c r="FMY743" s="3796"/>
      <c r="FMZ743" s="3796"/>
      <c r="FNA743" s="3796"/>
      <c r="FNB743" s="3796"/>
      <c r="FNC743" s="3796"/>
      <c r="FND743" s="3796"/>
      <c r="FNE743" s="3796"/>
      <c r="FNF743" s="3796"/>
      <c r="FNG743" s="3796"/>
      <c r="FNH743" s="3796"/>
      <c r="FNI743" s="3796"/>
      <c r="FNJ743" s="3796"/>
      <c r="FNK743" s="3796"/>
      <c r="FNL743" s="3796"/>
      <c r="FNM743" s="3796"/>
      <c r="FNN743" s="3796"/>
      <c r="FNO743" s="3796"/>
      <c r="FNP743" s="3796"/>
      <c r="FNQ743" s="3796"/>
      <c r="FNR743" s="3796"/>
      <c r="FNS743" s="3796"/>
      <c r="FNT743" s="3796"/>
      <c r="FNU743" s="3796"/>
      <c r="FNV743" s="3796"/>
      <c r="FNW743" s="3796"/>
      <c r="FNX743" s="3796"/>
      <c r="FNY743" s="3796"/>
      <c r="FNZ743" s="3796"/>
      <c r="FOA743" s="3796"/>
      <c r="FOB743" s="3796"/>
      <c r="FOC743" s="3796"/>
      <c r="FOD743" s="3796"/>
      <c r="FOE743" s="3796"/>
      <c r="FOF743" s="3796"/>
      <c r="FOG743" s="3796"/>
      <c r="FOH743" s="3796"/>
      <c r="FOI743" s="3796"/>
      <c r="FOJ743" s="3796"/>
      <c r="FOK743" s="3796"/>
      <c r="FOL743" s="3796"/>
      <c r="FOM743" s="3796"/>
      <c r="FON743" s="3796"/>
      <c r="FOO743" s="3796"/>
      <c r="FOP743" s="3796"/>
      <c r="FOQ743" s="3796"/>
      <c r="FOR743" s="3796"/>
      <c r="FOS743" s="3796"/>
      <c r="FOT743" s="3796"/>
      <c r="FOU743" s="3796"/>
      <c r="FOV743" s="3796"/>
      <c r="FOW743" s="3796"/>
      <c r="FOX743" s="3796"/>
      <c r="FOY743" s="3796"/>
      <c r="FOZ743" s="3796"/>
      <c r="FPA743" s="3796"/>
      <c r="FPB743" s="3796"/>
      <c r="FPC743" s="3796"/>
      <c r="FPD743" s="3796"/>
      <c r="FPE743" s="3796"/>
      <c r="FPF743" s="3796"/>
      <c r="FPG743" s="3796"/>
      <c r="FPH743" s="3796"/>
      <c r="FPI743" s="3796"/>
      <c r="FPJ743" s="3796"/>
      <c r="FPK743" s="3796"/>
      <c r="FPL743" s="3796"/>
      <c r="FPM743" s="3796"/>
      <c r="FPN743" s="3796"/>
      <c r="FPO743" s="3796"/>
      <c r="FPP743" s="3796"/>
      <c r="FPQ743" s="3796"/>
      <c r="FPR743" s="3796"/>
      <c r="FPS743" s="3796"/>
      <c r="FPT743" s="3796"/>
      <c r="FPU743" s="3796"/>
      <c r="FPV743" s="3796"/>
      <c r="FPW743" s="3796"/>
      <c r="FPX743" s="3796"/>
      <c r="FPY743" s="3796"/>
      <c r="FPZ743" s="3796"/>
      <c r="FQA743" s="3796"/>
      <c r="FQB743" s="3796"/>
      <c r="FQC743" s="3796"/>
      <c r="FQD743" s="3796"/>
      <c r="FQE743" s="3796"/>
      <c r="FQF743" s="3796"/>
      <c r="FQG743" s="3796"/>
      <c r="FQH743" s="3796"/>
      <c r="FQI743" s="3796"/>
      <c r="FQJ743" s="3796"/>
      <c r="FQK743" s="3796"/>
      <c r="FQL743" s="3796"/>
      <c r="FQM743" s="3796"/>
      <c r="FQN743" s="3796"/>
      <c r="FQO743" s="3796"/>
      <c r="FQP743" s="3796"/>
      <c r="FQQ743" s="3796"/>
      <c r="FQR743" s="3796"/>
      <c r="FQS743" s="3796"/>
      <c r="FQT743" s="3796"/>
      <c r="FQU743" s="3796"/>
      <c r="FQV743" s="3796"/>
      <c r="FQW743" s="3796"/>
      <c r="FQX743" s="3796"/>
      <c r="FQY743" s="3796"/>
      <c r="FQZ743" s="3796"/>
      <c r="FRA743" s="3796"/>
      <c r="FRB743" s="3796"/>
      <c r="FRC743" s="3796"/>
      <c r="FRD743" s="3796"/>
      <c r="FRE743" s="3796"/>
      <c r="FRF743" s="3796"/>
      <c r="FRG743" s="3796"/>
      <c r="FRH743" s="3796"/>
      <c r="FRI743" s="3796"/>
      <c r="FRJ743" s="3796"/>
      <c r="FRK743" s="3796"/>
      <c r="FRL743" s="3796"/>
      <c r="FRM743" s="3796"/>
      <c r="FRN743" s="3796"/>
      <c r="FRO743" s="3796"/>
      <c r="FRP743" s="3796"/>
      <c r="FRQ743" s="3796"/>
      <c r="FRR743" s="3796"/>
      <c r="FRS743" s="3796"/>
      <c r="FRT743" s="3796"/>
      <c r="FRU743" s="3796"/>
      <c r="FRV743" s="3796"/>
      <c r="FRW743" s="3796"/>
      <c r="FRX743" s="3796"/>
      <c r="FRY743" s="3796"/>
      <c r="FRZ743" s="3796"/>
      <c r="FSA743" s="3796"/>
      <c r="FSB743" s="3796"/>
      <c r="FSC743" s="3796"/>
      <c r="FSD743" s="3796"/>
      <c r="FSE743" s="3796"/>
      <c r="FSF743" s="3796"/>
      <c r="FSG743" s="3796"/>
      <c r="FSH743" s="3796"/>
      <c r="FSI743" s="3796"/>
      <c r="FSJ743" s="3796"/>
      <c r="FSK743" s="3796"/>
      <c r="FSL743" s="3796"/>
      <c r="FSM743" s="3796"/>
      <c r="FSN743" s="3796"/>
      <c r="FSO743" s="3796"/>
      <c r="FSP743" s="3796"/>
      <c r="FSQ743" s="3796"/>
      <c r="FSR743" s="3796"/>
      <c r="FSS743" s="3796"/>
      <c r="FST743" s="3796"/>
      <c r="FSU743" s="3796"/>
      <c r="FSV743" s="3796"/>
      <c r="FSW743" s="3796"/>
      <c r="FSX743" s="3796"/>
      <c r="FSY743" s="3796"/>
      <c r="FSZ743" s="3796"/>
      <c r="FTA743" s="3796"/>
      <c r="FTB743" s="3796"/>
      <c r="FTC743" s="3796"/>
      <c r="FTD743" s="3796"/>
      <c r="FTE743" s="3796"/>
      <c r="FTF743" s="3796"/>
      <c r="FTG743" s="3796"/>
      <c r="FTH743" s="3796"/>
      <c r="FTI743" s="3796"/>
      <c r="FTJ743" s="3796"/>
      <c r="FTK743" s="3796"/>
      <c r="FTL743" s="3796"/>
      <c r="FTM743" s="3796"/>
      <c r="FTN743" s="3796"/>
      <c r="FTO743" s="3796"/>
      <c r="FTP743" s="3796"/>
      <c r="FTQ743" s="3796"/>
      <c r="FTR743" s="3796"/>
      <c r="FTS743" s="3796"/>
      <c r="FTT743" s="3796"/>
      <c r="FTU743" s="3796"/>
      <c r="FTV743" s="3796"/>
      <c r="FTW743" s="3796"/>
      <c r="FTX743" s="3796"/>
      <c r="FTY743" s="3796"/>
      <c r="FTZ743" s="3796"/>
      <c r="FUA743" s="3796"/>
      <c r="FUB743" s="3796"/>
      <c r="FUC743" s="3796"/>
      <c r="FUD743" s="3796"/>
      <c r="FUE743" s="3796"/>
      <c r="FUF743" s="3796"/>
      <c r="FUG743" s="3796"/>
      <c r="FUL743" s="3796"/>
      <c r="FUR743" s="3796"/>
      <c r="FUS743" s="3796"/>
      <c r="FUT743" s="3796"/>
      <c r="FUX743" s="3796"/>
      <c r="FVE743" s="3796"/>
      <c r="FVF743" s="3796"/>
      <c r="FVG743" s="3796"/>
      <c r="FVH743" s="3796"/>
      <c r="FVI743" s="3796"/>
      <c r="FVJ743" s="3796"/>
      <c r="FVK743" s="3796"/>
      <c r="FVL743" s="3796"/>
      <c r="FVM743" s="3796"/>
      <c r="FVN743" s="3796"/>
      <c r="FVO743" s="3796"/>
      <c r="FVP743" s="3796"/>
      <c r="FVQ743" s="3796"/>
      <c r="FVR743" s="3796"/>
      <c r="FVS743" s="3796"/>
      <c r="FVT743" s="3796"/>
      <c r="FVU743" s="3796"/>
      <c r="FVV743" s="3796"/>
      <c r="FVW743" s="3796"/>
      <c r="FVX743" s="3796"/>
      <c r="FVY743" s="3796"/>
      <c r="FVZ743" s="3796"/>
      <c r="FWA743" s="3796"/>
      <c r="FWB743" s="3796"/>
      <c r="FWC743" s="3796"/>
      <c r="FWD743" s="3796"/>
      <c r="FWE743" s="3796"/>
      <c r="FWF743" s="3796"/>
      <c r="FWG743" s="3796"/>
      <c r="FWH743" s="3796"/>
      <c r="FWI743" s="3796"/>
      <c r="FWJ743" s="3796"/>
      <c r="FWK743" s="3796"/>
      <c r="FWL743" s="3796"/>
      <c r="FWM743" s="3796"/>
      <c r="FWN743" s="3796"/>
      <c r="FWO743" s="3796"/>
      <c r="FWP743" s="3796"/>
      <c r="FWQ743" s="3796"/>
      <c r="FWR743" s="3796"/>
      <c r="FWS743" s="3796"/>
      <c r="FWT743" s="3796"/>
      <c r="FWU743" s="3796"/>
      <c r="FWV743" s="3796"/>
      <c r="FWW743" s="3796"/>
      <c r="FWX743" s="3796"/>
      <c r="FWY743" s="3796"/>
      <c r="FWZ743" s="3796"/>
      <c r="FXA743" s="3796"/>
      <c r="FXB743" s="3796"/>
      <c r="FXC743" s="3796"/>
      <c r="FXD743" s="3796"/>
      <c r="FXE743" s="3796"/>
      <c r="FXF743" s="3796"/>
      <c r="FXG743" s="3796"/>
      <c r="FXH743" s="3796"/>
      <c r="FXI743" s="3796"/>
      <c r="FXJ743" s="3796"/>
      <c r="FXK743" s="3796"/>
      <c r="FXL743" s="3796"/>
      <c r="FXM743" s="3796"/>
      <c r="FXN743" s="3796"/>
      <c r="FXO743" s="3796"/>
      <c r="FXP743" s="3796"/>
      <c r="FXQ743" s="3796"/>
      <c r="FXR743" s="3796"/>
      <c r="FXS743" s="3796"/>
      <c r="FXT743" s="3796"/>
      <c r="FXU743" s="3796"/>
      <c r="FXV743" s="3796"/>
      <c r="FXW743" s="3796"/>
      <c r="FXX743" s="3796"/>
      <c r="FXY743" s="3796"/>
      <c r="FXZ743" s="3796"/>
      <c r="FYA743" s="3796"/>
      <c r="FYB743" s="3796"/>
      <c r="FYC743" s="3796"/>
      <c r="FYD743" s="3796"/>
      <c r="FYE743" s="3796"/>
      <c r="FYF743" s="3796"/>
      <c r="FYG743" s="3796"/>
      <c r="FYH743" s="3796"/>
      <c r="FYI743" s="3796"/>
      <c r="FYJ743" s="3796"/>
      <c r="FYK743" s="3796"/>
      <c r="FYL743" s="3796"/>
      <c r="FYM743" s="3796"/>
      <c r="FYN743" s="3796"/>
      <c r="FYO743" s="3796"/>
      <c r="FYP743" s="3796"/>
      <c r="FYQ743" s="3796"/>
      <c r="FYR743" s="3796"/>
      <c r="FYS743" s="3796"/>
      <c r="FYT743" s="3796"/>
      <c r="FYU743" s="3796"/>
      <c r="FYV743" s="3796"/>
      <c r="FYW743" s="3796"/>
      <c r="FYX743" s="3796"/>
      <c r="FYY743" s="3796"/>
      <c r="FYZ743" s="3796"/>
      <c r="FZA743" s="3796"/>
      <c r="FZB743" s="3796"/>
      <c r="FZC743" s="3796"/>
      <c r="FZD743" s="3796"/>
      <c r="FZE743" s="3796"/>
      <c r="FZF743" s="3796"/>
      <c r="FZG743" s="3796"/>
      <c r="FZH743" s="3796"/>
      <c r="FZI743" s="3796"/>
      <c r="FZJ743" s="3796"/>
      <c r="FZK743" s="3796"/>
      <c r="FZL743" s="3796"/>
      <c r="FZM743" s="3796"/>
      <c r="FZN743" s="3796"/>
      <c r="FZO743" s="3796"/>
      <c r="FZP743" s="3796"/>
      <c r="FZQ743" s="3796"/>
      <c r="FZR743" s="3796"/>
      <c r="FZS743" s="3796"/>
      <c r="FZT743" s="3796"/>
      <c r="FZU743" s="3796"/>
      <c r="FZV743" s="3796"/>
      <c r="FZW743" s="3796"/>
      <c r="FZX743" s="3796"/>
      <c r="FZY743" s="3796"/>
      <c r="FZZ743" s="3796"/>
      <c r="GAA743" s="3796"/>
      <c r="GAB743" s="3796"/>
      <c r="GAC743" s="3796"/>
      <c r="GAD743" s="3796"/>
      <c r="GAE743" s="3796"/>
      <c r="GAF743" s="3796"/>
      <c r="GAG743" s="3796"/>
      <c r="GAH743" s="3796"/>
      <c r="GAI743" s="3796"/>
      <c r="GAJ743" s="3796"/>
      <c r="GAK743" s="3796"/>
      <c r="GAL743" s="3796"/>
      <c r="GAM743" s="3796"/>
      <c r="GAN743" s="3796"/>
      <c r="GAO743" s="3796"/>
      <c r="GAP743" s="3796"/>
      <c r="GAQ743" s="3796"/>
      <c r="GAR743" s="3796"/>
      <c r="GAS743" s="3796"/>
      <c r="GAT743" s="3796"/>
      <c r="GAU743" s="3796"/>
      <c r="GAV743" s="3796"/>
      <c r="GAW743" s="3796"/>
      <c r="GAX743" s="3796"/>
      <c r="GAY743" s="3796"/>
      <c r="GAZ743" s="3796"/>
      <c r="GBA743" s="3796"/>
      <c r="GBB743" s="3796"/>
      <c r="GBC743" s="3796"/>
      <c r="GBD743" s="3796"/>
      <c r="GBE743" s="3796"/>
      <c r="GBF743" s="3796"/>
      <c r="GBG743" s="3796"/>
      <c r="GBH743" s="3796"/>
      <c r="GBI743" s="3796"/>
      <c r="GBJ743" s="3796"/>
      <c r="GBK743" s="3796"/>
      <c r="GBL743" s="3796"/>
      <c r="GBM743" s="3796"/>
      <c r="GBN743" s="3796"/>
      <c r="GBO743" s="3796"/>
      <c r="GBP743" s="3796"/>
      <c r="GBQ743" s="3796"/>
      <c r="GBR743" s="3796"/>
      <c r="GBS743" s="3796"/>
      <c r="GBT743" s="3796"/>
      <c r="GBU743" s="3796"/>
      <c r="GBV743" s="3796"/>
      <c r="GBW743" s="3796"/>
      <c r="GBX743" s="3796"/>
      <c r="GBY743" s="3796"/>
      <c r="GBZ743" s="3796"/>
      <c r="GCA743" s="3796"/>
      <c r="GCB743" s="3796"/>
      <c r="GCC743" s="3796"/>
      <c r="GCD743" s="3796"/>
      <c r="GCE743" s="3796"/>
      <c r="GCF743" s="3796"/>
      <c r="GCG743" s="3796"/>
      <c r="GCH743" s="3796"/>
      <c r="GCI743" s="3796"/>
      <c r="GCJ743" s="3796"/>
      <c r="GCK743" s="3796"/>
      <c r="GCL743" s="3796"/>
      <c r="GCM743" s="3796"/>
      <c r="GCN743" s="3796"/>
      <c r="GCO743" s="3796"/>
      <c r="GCP743" s="3796"/>
      <c r="GCQ743" s="3796"/>
      <c r="GCR743" s="3796"/>
      <c r="GCS743" s="3796"/>
      <c r="GCT743" s="3796"/>
      <c r="GCU743" s="3796"/>
      <c r="GCV743" s="3796"/>
      <c r="GCW743" s="3796"/>
      <c r="GCX743" s="3796"/>
      <c r="GCY743" s="3796"/>
      <c r="GCZ743" s="3796"/>
      <c r="GDA743" s="3796"/>
      <c r="GDB743" s="3796"/>
      <c r="GDC743" s="3796"/>
      <c r="GDD743" s="3796"/>
      <c r="GDE743" s="3796"/>
      <c r="GDF743" s="3796"/>
      <c r="GDG743" s="3796"/>
      <c r="GDH743" s="3796"/>
      <c r="GDI743" s="3796"/>
      <c r="GDJ743" s="3796"/>
      <c r="GDK743" s="3796"/>
      <c r="GDL743" s="3796"/>
      <c r="GDM743" s="3796"/>
      <c r="GDN743" s="3796"/>
      <c r="GDO743" s="3796"/>
      <c r="GDP743" s="3796"/>
      <c r="GDQ743" s="3796"/>
      <c r="GDR743" s="3796"/>
      <c r="GDS743" s="3796"/>
      <c r="GDT743" s="3796"/>
      <c r="GDU743" s="3796"/>
      <c r="GDV743" s="3796"/>
      <c r="GDW743" s="3796"/>
      <c r="GDX743" s="3796"/>
      <c r="GDY743" s="3796"/>
      <c r="GDZ743" s="3796"/>
      <c r="GEA743" s="3796"/>
      <c r="GEB743" s="3796"/>
      <c r="GEC743" s="3796"/>
      <c r="GEH743" s="3796"/>
      <c r="GEN743" s="3796"/>
      <c r="GEO743" s="3796"/>
      <c r="GEP743" s="3796"/>
      <c r="GET743" s="3796"/>
      <c r="GFA743" s="3796"/>
      <c r="GFB743" s="3796"/>
      <c r="GFC743" s="3796"/>
      <c r="GFD743" s="3796"/>
      <c r="GFE743" s="3796"/>
      <c r="GFF743" s="3796"/>
      <c r="GFG743" s="3796"/>
      <c r="GFH743" s="3796"/>
      <c r="GFI743" s="3796"/>
      <c r="GFJ743" s="3796"/>
      <c r="GFK743" s="3796"/>
      <c r="GFL743" s="3796"/>
      <c r="GFM743" s="3796"/>
      <c r="GFN743" s="3796"/>
      <c r="GFO743" s="3796"/>
      <c r="GFP743" s="3796"/>
      <c r="GFQ743" s="3796"/>
      <c r="GFR743" s="3796"/>
      <c r="GFS743" s="3796"/>
      <c r="GFT743" s="3796"/>
      <c r="GFU743" s="3796"/>
      <c r="GFV743" s="3796"/>
      <c r="GFW743" s="3796"/>
      <c r="GFX743" s="3796"/>
      <c r="GFY743" s="3796"/>
      <c r="GFZ743" s="3796"/>
      <c r="GGA743" s="3796"/>
      <c r="GGB743" s="3796"/>
      <c r="GGC743" s="3796"/>
      <c r="GGD743" s="3796"/>
      <c r="GGE743" s="3796"/>
      <c r="GGF743" s="3796"/>
      <c r="GGG743" s="3796"/>
      <c r="GGH743" s="3796"/>
      <c r="GGI743" s="3796"/>
      <c r="GGJ743" s="3796"/>
      <c r="GGK743" s="3796"/>
      <c r="GGL743" s="3796"/>
      <c r="GGM743" s="3796"/>
      <c r="GGN743" s="3796"/>
      <c r="GGO743" s="3796"/>
      <c r="GGP743" s="3796"/>
      <c r="GGQ743" s="3796"/>
      <c r="GGR743" s="3796"/>
      <c r="GGS743" s="3796"/>
      <c r="GGT743" s="3796"/>
      <c r="GGU743" s="3796"/>
      <c r="GGV743" s="3796"/>
      <c r="GGW743" s="3796"/>
      <c r="GGX743" s="3796"/>
      <c r="GGY743" s="3796"/>
      <c r="GGZ743" s="3796"/>
      <c r="GHA743" s="3796"/>
      <c r="GHB743" s="3796"/>
      <c r="GHC743" s="3796"/>
      <c r="GHD743" s="3796"/>
      <c r="GHE743" s="3796"/>
      <c r="GHF743" s="3796"/>
      <c r="GHG743" s="3796"/>
      <c r="GHH743" s="3796"/>
      <c r="GHI743" s="3796"/>
      <c r="GHJ743" s="3796"/>
      <c r="GHK743" s="3796"/>
      <c r="GHL743" s="3796"/>
      <c r="GHM743" s="3796"/>
      <c r="GHN743" s="3796"/>
      <c r="GHO743" s="3796"/>
      <c r="GHP743" s="3796"/>
      <c r="GHQ743" s="3796"/>
      <c r="GHR743" s="3796"/>
      <c r="GHS743" s="3796"/>
      <c r="GHT743" s="3796"/>
      <c r="GHU743" s="3796"/>
      <c r="GHV743" s="3796"/>
      <c r="GHW743" s="3796"/>
      <c r="GHX743" s="3796"/>
      <c r="GHY743" s="3796"/>
      <c r="GHZ743" s="3796"/>
      <c r="GIA743" s="3796"/>
      <c r="GIB743" s="3796"/>
      <c r="GIC743" s="3796"/>
      <c r="GID743" s="3796"/>
      <c r="GIE743" s="3796"/>
      <c r="GIF743" s="3796"/>
      <c r="GIG743" s="3796"/>
      <c r="GIH743" s="3796"/>
      <c r="GII743" s="3796"/>
      <c r="GIJ743" s="3796"/>
      <c r="GIK743" s="3796"/>
      <c r="GIL743" s="3796"/>
      <c r="GIM743" s="3796"/>
      <c r="GIN743" s="3796"/>
      <c r="GIO743" s="3796"/>
      <c r="GIP743" s="3796"/>
      <c r="GIQ743" s="3796"/>
      <c r="GIR743" s="3796"/>
      <c r="GIS743" s="3796"/>
      <c r="GIT743" s="3796"/>
      <c r="GIU743" s="3796"/>
      <c r="GIV743" s="3796"/>
      <c r="GIW743" s="3796"/>
      <c r="GIX743" s="3796"/>
      <c r="GIY743" s="3796"/>
      <c r="GIZ743" s="3796"/>
      <c r="GJA743" s="3796"/>
      <c r="GJB743" s="3796"/>
      <c r="GJC743" s="3796"/>
      <c r="GJD743" s="3796"/>
      <c r="GJE743" s="3796"/>
      <c r="GJF743" s="3796"/>
      <c r="GJG743" s="3796"/>
      <c r="GJH743" s="3796"/>
      <c r="GJI743" s="3796"/>
      <c r="GJJ743" s="3796"/>
      <c r="GJK743" s="3796"/>
      <c r="GJL743" s="3796"/>
      <c r="GJM743" s="3796"/>
      <c r="GJN743" s="3796"/>
      <c r="GJO743" s="3796"/>
      <c r="GJP743" s="3796"/>
      <c r="GJQ743" s="3796"/>
      <c r="GJR743" s="3796"/>
      <c r="GJS743" s="3796"/>
      <c r="GJT743" s="3796"/>
      <c r="GJU743" s="3796"/>
      <c r="GJV743" s="3796"/>
      <c r="GJW743" s="3796"/>
      <c r="GJX743" s="3796"/>
      <c r="GJY743" s="3796"/>
      <c r="GJZ743" s="3796"/>
      <c r="GKA743" s="3796"/>
      <c r="GKB743" s="3796"/>
      <c r="GKC743" s="3796"/>
      <c r="GKD743" s="3796"/>
      <c r="GKE743" s="3796"/>
      <c r="GKF743" s="3796"/>
      <c r="GKG743" s="3796"/>
      <c r="GKH743" s="3796"/>
      <c r="GKI743" s="3796"/>
      <c r="GKJ743" s="3796"/>
      <c r="GKK743" s="3796"/>
      <c r="GKL743" s="3796"/>
      <c r="GKM743" s="3796"/>
      <c r="GKN743" s="3796"/>
      <c r="GKO743" s="3796"/>
      <c r="GKP743" s="3796"/>
      <c r="GKQ743" s="3796"/>
      <c r="GKR743" s="3796"/>
      <c r="GKS743" s="3796"/>
      <c r="GKT743" s="3796"/>
      <c r="GKU743" s="3796"/>
      <c r="GKV743" s="3796"/>
      <c r="GKW743" s="3796"/>
      <c r="GKX743" s="3796"/>
      <c r="GKY743" s="3796"/>
      <c r="GKZ743" s="3796"/>
      <c r="GLA743" s="3796"/>
      <c r="GLB743" s="3796"/>
      <c r="GLC743" s="3796"/>
      <c r="GLD743" s="3796"/>
      <c r="GLE743" s="3796"/>
      <c r="GLF743" s="3796"/>
      <c r="GLG743" s="3796"/>
      <c r="GLH743" s="3796"/>
      <c r="GLI743" s="3796"/>
      <c r="GLJ743" s="3796"/>
      <c r="GLK743" s="3796"/>
      <c r="GLL743" s="3796"/>
      <c r="GLM743" s="3796"/>
      <c r="GLN743" s="3796"/>
      <c r="GLO743" s="3796"/>
      <c r="GLP743" s="3796"/>
      <c r="GLQ743" s="3796"/>
      <c r="GLR743" s="3796"/>
      <c r="GLS743" s="3796"/>
      <c r="GLT743" s="3796"/>
      <c r="GLU743" s="3796"/>
      <c r="GLV743" s="3796"/>
      <c r="GLW743" s="3796"/>
      <c r="GLX743" s="3796"/>
      <c r="GLY743" s="3796"/>
      <c r="GLZ743" s="3796"/>
      <c r="GMA743" s="3796"/>
      <c r="GMB743" s="3796"/>
      <c r="GMC743" s="3796"/>
      <c r="GMD743" s="3796"/>
      <c r="GME743" s="3796"/>
      <c r="GMF743" s="3796"/>
      <c r="GMG743" s="3796"/>
      <c r="GMH743" s="3796"/>
      <c r="GMI743" s="3796"/>
      <c r="GMJ743" s="3796"/>
      <c r="GMK743" s="3796"/>
      <c r="GML743" s="3796"/>
      <c r="GMM743" s="3796"/>
      <c r="GMN743" s="3796"/>
      <c r="GMO743" s="3796"/>
      <c r="GMP743" s="3796"/>
      <c r="GMQ743" s="3796"/>
      <c r="GMR743" s="3796"/>
      <c r="GMS743" s="3796"/>
      <c r="GMT743" s="3796"/>
      <c r="GMU743" s="3796"/>
      <c r="GMV743" s="3796"/>
      <c r="GMW743" s="3796"/>
      <c r="GMX743" s="3796"/>
      <c r="GMY743" s="3796"/>
      <c r="GMZ743" s="3796"/>
      <c r="GNA743" s="3796"/>
      <c r="GNB743" s="3796"/>
      <c r="GNC743" s="3796"/>
      <c r="GND743" s="3796"/>
      <c r="GNE743" s="3796"/>
      <c r="GNF743" s="3796"/>
      <c r="GNG743" s="3796"/>
      <c r="GNH743" s="3796"/>
      <c r="GNI743" s="3796"/>
      <c r="GNJ743" s="3796"/>
      <c r="GNK743" s="3796"/>
      <c r="GNL743" s="3796"/>
      <c r="GNM743" s="3796"/>
      <c r="GNN743" s="3796"/>
      <c r="GNO743" s="3796"/>
      <c r="GNP743" s="3796"/>
      <c r="GNQ743" s="3796"/>
      <c r="GNR743" s="3796"/>
      <c r="GNS743" s="3796"/>
      <c r="GNT743" s="3796"/>
      <c r="GNU743" s="3796"/>
      <c r="GNV743" s="3796"/>
      <c r="GNW743" s="3796"/>
      <c r="GNX743" s="3796"/>
      <c r="GNY743" s="3796"/>
      <c r="GOD743" s="3796"/>
      <c r="GOJ743" s="3796"/>
      <c r="GOK743" s="3796"/>
      <c r="GOL743" s="3796"/>
      <c r="GOP743" s="3796"/>
      <c r="GOW743" s="3796"/>
      <c r="GOX743" s="3796"/>
      <c r="GOY743" s="3796"/>
      <c r="GOZ743" s="3796"/>
      <c r="GPA743" s="3796"/>
      <c r="GPB743" s="3796"/>
      <c r="GPC743" s="3796"/>
      <c r="GPD743" s="3796"/>
      <c r="GPE743" s="3796"/>
      <c r="GPF743" s="3796"/>
      <c r="GPG743" s="3796"/>
      <c r="GPH743" s="3796"/>
      <c r="GPI743" s="3796"/>
      <c r="GPJ743" s="3796"/>
      <c r="GPK743" s="3796"/>
      <c r="GPL743" s="3796"/>
      <c r="GPM743" s="3796"/>
      <c r="GPN743" s="3796"/>
      <c r="GPO743" s="3796"/>
      <c r="GPP743" s="3796"/>
      <c r="GPQ743" s="3796"/>
      <c r="GPR743" s="3796"/>
      <c r="GPS743" s="3796"/>
      <c r="GPT743" s="3796"/>
      <c r="GPU743" s="3796"/>
      <c r="GPV743" s="3796"/>
      <c r="GPW743" s="3796"/>
      <c r="GPX743" s="3796"/>
      <c r="GPY743" s="3796"/>
      <c r="GPZ743" s="3796"/>
      <c r="GQA743" s="3796"/>
      <c r="GQB743" s="3796"/>
      <c r="GQC743" s="3796"/>
      <c r="GQD743" s="3796"/>
      <c r="GQE743" s="3796"/>
      <c r="GQF743" s="3796"/>
      <c r="GQG743" s="3796"/>
      <c r="GQH743" s="3796"/>
      <c r="GQI743" s="3796"/>
      <c r="GQJ743" s="3796"/>
      <c r="GQK743" s="3796"/>
      <c r="GQL743" s="3796"/>
      <c r="GQM743" s="3796"/>
      <c r="GQN743" s="3796"/>
      <c r="GQO743" s="3796"/>
      <c r="GQP743" s="3796"/>
      <c r="GQQ743" s="3796"/>
      <c r="GQR743" s="3796"/>
      <c r="GQS743" s="3796"/>
      <c r="GQT743" s="3796"/>
      <c r="GQU743" s="3796"/>
      <c r="GQV743" s="3796"/>
      <c r="GQW743" s="3796"/>
      <c r="GQX743" s="3796"/>
      <c r="GQY743" s="3796"/>
      <c r="GQZ743" s="3796"/>
      <c r="GRA743" s="3796"/>
      <c r="GRB743" s="3796"/>
      <c r="GRC743" s="3796"/>
      <c r="GRD743" s="3796"/>
      <c r="GRE743" s="3796"/>
      <c r="GRF743" s="3796"/>
      <c r="GRG743" s="3796"/>
      <c r="GRH743" s="3796"/>
      <c r="GRI743" s="3796"/>
      <c r="GRJ743" s="3796"/>
      <c r="GRK743" s="3796"/>
      <c r="GRL743" s="3796"/>
      <c r="GRM743" s="3796"/>
      <c r="GRN743" s="3796"/>
      <c r="GRO743" s="3796"/>
      <c r="GRP743" s="3796"/>
      <c r="GRQ743" s="3796"/>
      <c r="GRR743" s="3796"/>
      <c r="GRS743" s="3796"/>
      <c r="GRT743" s="3796"/>
      <c r="GRU743" s="3796"/>
      <c r="GRV743" s="3796"/>
      <c r="GRW743" s="3796"/>
      <c r="GRX743" s="3796"/>
      <c r="GRY743" s="3796"/>
      <c r="GRZ743" s="3796"/>
      <c r="GSA743" s="3796"/>
      <c r="GSB743" s="3796"/>
      <c r="GSC743" s="3796"/>
      <c r="GSD743" s="3796"/>
      <c r="GSE743" s="3796"/>
      <c r="GSF743" s="3796"/>
      <c r="GSG743" s="3796"/>
      <c r="GSH743" s="3796"/>
      <c r="GSI743" s="3796"/>
      <c r="GSJ743" s="3796"/>
      <c r="GSK743" s="3796"/>
      <c r="GSL743" s="3796"/>
      <c r="GSM743" s="3796"/>
      <c r="GSN743" s="3796"/>
      <c r="GSO743" s="3796"/>
      <c r="GSP743" s="3796"/>
      <c r="GSQ743" s="3796"/>
      <c r="GSR743" s="3796"/>
      <c r="GSS743" s="3796"/>
      <c r="GST743" s="3796"/>
      <c r="GSU743" s="3796"/>
      <c r="GSV743" s="3796"/>
      <c r="GSW743" s="3796"/>
      <c r="GSX743" s="3796"/>
      <c r="GSY743" s="3796"/>
      <c r="GSZ743" s="3796"/>
      <c r="GTA743" s="3796"/>
      <c r="GTB743" s="3796"/>
      <c r="GTC743" s="3796"/>
      <c r="GTD743" s="3796"/>
      <c r="GTE743" s="3796"/>
      <c r="GTF743" s="3796"/>
      <c r="GTG743" s="3796"/>
      <c r="GTH743" s="3796"/>
      <c r="GTI743" s="3796"/>
      <c r="GTJ743" s="3796"/>
      <c r="GTK743" s="3796"/>
      <c r="GTL743" s="3796"/>
      <c r="GTM743" s="3796"/>
      <c r="GTN743" s="3796"/>
      <c r="GTO743" s="3796"/>
      <c r="GTP743" s="3796"/>
      <c r="GTQ743" s="3796"/>
      <c r="GTR743" s="3796"/>
      <c r="GTS743" s="3796"/>
      <c r="GTT743" s="3796"/>
      <c r="GTU743" s="3796"/>
      <c r="GTV743" s="3796"/>
      <c r="GTW743" s="3796"/>
      <c r="GTX743" s="3796"/>
      <c r="GTY743" s="3796"/>
      <c r="GTZ743" s="3796"/>
      <c r="GUA743" s="3796"/>
      <c r="GUB743" s="3796"/>
      <c r="GUC743" s="3796"/>
      <c r="GUD743" s="3796"/>
      <c r="GUE743" s="3796"/>
      <c r="GUF743" s="3796"/>
      <c r="GUG743" s="3796"/>
      <c r="GUH743" s="3796"/>
      <c r="GUI743" s="3796"/>
      <c r="GUJ743" s="3796"/>
      <c r="GUK743" s="3796"/>
      <c r="GUL743" s="3796"/>
      <c r="GUM743" s="3796"/>
      <c r="GUN743" s="3796"/>
      <c r="GUO743" s="3796"/>
      <c r="GUP743" s="3796"/>
      <c r="GUQ743" s="3796"/>
      <c r="GUR743" s="3796"/>
      <c r="GUS743" s="3796"/>
      <c r="GUT743" s="3796"/>
      <c r="GUU743" s="3796"/>
      <c r="GUV743" s="3796"/>
      <c r="GUW743" s="3796"/>
      <c r="GUX743" s="3796"/>
      <c r="GUY743" s="3796"/>
      <c r="GUZ743" s="3796"/>
      <c r="GVA743" s="3796"/>
      <c r="GVB743" s="3796"/>
      <c r="GVC743" s="3796"/>
      <c r="GVD743" s="3796"/>
      <c r="GVE743" s="3796"/>
      <c r="GVF743" s="3796"/>
      <c r="GVG743" s="3796"/>
      <c r="GVH743" s="3796"/>
      <c r="GVI743" s="3796"/>
      <c r="GVJ743" s="3796"/>
      <c r="GVK743" s="3796"/>
      <c r="GVL743" s="3796"/>
      <c r="GVM743" s="3796"/>
      <c r="GVN743" s="3796"/>
      <c r="GVO743" s="3796"/>
      <c r="GVP743" s="3796"/>
      <c r="GVQ743" s="3796"/>
      <c r="GVR743" s="3796"/>
      <c r="GVS743" s="3796"/>
      <c r="GVT743" s="3796"/>
      <c r="GVU743" s="3796"/>
      <c r="GVV743" s="3796"/>
      <c r="GVW743" s="3796"/>
      <c r="GVX743" s="3796"/>
      <c r="GVY743" s="3796"/>
      <c r="GVZ743" s="3796"/>
      <c r="GWA743" s="3796"/>
      <c r="GWB743" s="3796"/>
      <c r="GWC743" s="3796"/>
      <c r="GWD743" s="3796"/>
      <c r="GWE743" s="3796"/>
      <c r="GWF743" s="3796"/>
      <c r="GWG743" s="3796"/>
      <c r="GWH743" s="3796"/>
      <c r="GWI743" s="3796"/>
      <c r="GWJ743" s="3796"/>
      <c r="GWK743" s="3796"/>
      <c r="GWL743" s="3796"/>
      <c r="GWM743" s="3796"/>
      <c r="GWN743" s="3796"/>
      <c r="GWO743" s="3796"/>
      <c r="GWP743" s="3796"/>
      <c r="GWQ743" s="3796"/>
      <c r="GWR743" s="3796"/>
      <c r="GWS743" s="3796"/>
      <c r="GWT743" s="3796"/>
      <c r="GWU743" s="3796"/>
      <c r="GWV743" s="3796"/>
      <c r="GWW743" s="3796"/>
      <c r="GWX743" s="3796"/>
      <c r="GWY743" s="3796"/>
      <c r="GWZ743" s="3796"/>
      <c r="GXA743" s="3796"/>
      <c r="GXB743" s="3796"/>
      <c r="GXC743" s="3796"/>
      <c r="GXD743" s="3796"/>
      <c r="GXE743" s="3796"/>
      <c r="GXF743" s="3796"/>
      <c r="GXG743" s="3796"/>
      <c r="GXH743" s="3796"/>
      <c r="GXI743" s="3796"/>
      <c r="GXJ743" s="3796"/>
      <c r="GXK743" s="3796"/>
      <c r="GXL743" s="3796"/>
      <c r="GXM743" s="3796"/>
      <c r="GXN743" s="3796"/>
      <c r="GXO743" s="3796"/>
      <c r="GXP743" s="3796"/>
      <c r="GXQ743" s="3796"/>
      <c r="GXR743" s="3796"/>
      <c r="GXS743" s="3796"/>
      <c r="GXT743" s="3796"/>
      <c r="GXU743" s="3796"/>
      <c r="GXZ743" s="3796"/>
      <c r="GYF743" s="3796"/>
      <c r="GYG743" s="3796"/>
      <c r="GYH743" s="3796"/>
      <c r="GYL743" s="3796"/>
      <c r="GYS743" s="3796"/>
      <c r="GYT743" s="3796"/>
      <c r="GYU743" s="3796"/>
      <c r="GYV743" s="3796"/>
      <c r="GYW743" s="3796"/>
      <c r="GYX743" s="3796"/>
      <c r="GYY743" s="3796"/>
      <c r="GYZ743" s="3796"/>
      <c r="GZA743" s="3796"/>
      <c r="GZB743" s="3796"/>
      <c r="GZC743" s="3796"/>
      <c r="GZD743" s="3796"/>
      <c r="GZE743" s="3796"/>
      <c r="GZF743" s="3796"/>
      <c r="GZG743" s="3796"/>
      <c r="GZH743" s="3796"/>
      <c r="GZI743" s="3796"/>
      <c r="GZJ743" s="3796"/>
      <c r="GZK743" s="3796"/>
      <c r="GZL743" s="3796"/>
      <c r="GZM743" s="3796"/>
      <c r="GZN743" s="3796"/>
      <c r="GZO743" s="3796"/>
      <c r="GZP743" s="3796"/>
      <c r="GZQ743" s="3796"/>
      <c r="GZR743" s="3796"/>
      <c r="GZS743" s="3796"/>
      <c r="GZT743" s="3796"/>
      <c r="GZU743" s="3796"/>
      <c r="GZV743" s="3796"/>
      <c r="GZW743" s="3796"/>
      <c r="GZX743" s="3796"/>
      <c r="GZY743" s="3796"/>
      <c r="GZZ743" s="3796"/>
      <c r="HAA743" s="3796"/>
      <c r="HAB743" s="3796"/>
      <c r="HAC743" s="3796"/>
      <c r="HAD743" s="3796"/>
      <c r="HAE743" s="3796"/>
      <c r="HAF743" s="3796"/>
      <c r="HAG743" s="3796"/>
      <c r="HAH743" s="3796"/>
      <c r="HAI743" s="3796"/>
      <c r="HAJ743" s="3796"/>
      <c r="HAK743" s="3796"/>
      <c r="HAL743" s="3796"/>
      <c r="HAM743" s="3796"/>
      <c r="HAN743" s="3796"/>
      <c r="HAO743" s="3796"/>
      <c r="HAP743" s="3796"/>
      <c r="HAQ743" s="3796"/>
      <c r="HAR743" s="3796"/>
      <c r="HAS743" s="3796"/>
      <c r="HAT743" s="3796"/>
      <c r="HAU743" s="3796"/>
      <c r="HAV743" s="3796"/>
      <c r="HAW743" s="3796"/>
      <c r="HAX743" s="3796"/>
      <c r="HAY743" s="3796"/>
      <c r="HAZ743" s="3796"/>
      <c r="HBA743" s="3796"/>
      <c r="HBB743" s="3796"/>
      <c r="HBC743" s="3796"/>
      <c r="HBD743" s="3796"/>
      <c r="HBE743" s="3796"/>
      <c r="HBF743" s="3796"/>
      <c r="HBG743" s="3796"/>
      <c r="HBH743" s="3796"/>
      <c r="HBI743" s="3796"/>
      <c r="HBJ743" s="3796"/>
      <c r="HBK743" s="3796"/>
      <c r="HBL743" s="3796"/>
      <c r="HBM743" s="3796"/>
      <c r="HBN743" s="3796"/>
      <c r="HBO743" s="3796"/>
      <c r="HBP743" s="3796"/>
      <c r="HBQ743" s="3796"/>
      <c r="HBR743" s="3796"/>
      <c r="HBS743" s="3796"/>
      <c r="HBT743" s="3796"/>
      <c r="HBU743" s="3796"/>
      <c r="HBV743" s="3796"/>
      <c r="HBW743" s="3796"/>
      <c r="HBX743" s="3796"/>
      <c r="HBY743" s="3796"/>
      <c r="HBZ743" s="3796"/>
      <c r="HCA743" s="3796"/>
      <c r="HCB743" s="3796"/>
      <c r="HCC743" s="3796"/>
      <c r="HCD743" s="3796"/>
      <c r="HCE743" s="3796"/>
      <c r="HCF743" s="3796"/>
      <c r="HCG743" s="3796"/>
      <c r="HCH743" s="3796"/>
      <c r="HCI743" s="3796"/>
      <c r="HCJ743" s="3796"/>
      <c r="HCK743" s="3796"/>
      <c r="HCL743" s="3796"/>
      <c r="HCM743" s="3796"/>
      <c r="HCN743" s="3796"/>
      <c r="HCO743" s="3796"/>
      <c r="HCP743" s="3796"/>
      <c r="HCQ743" s="3796"/>
      <c r="HCR743" s="3796"/>
      <c r="HCS743" s="3796"/>
      <c r="HCT743" s="3796"/>
      <c r="HCU743" s="3796"/>
      <c r="HCV743" s="3796"/>
      <c r="HCW743" s="3796"/>
      <c r="HCX743" s="3796"/>
      <c r="HCY743" s="3796"/>
      <c r="HCZ743" s="3796"/>
      <c r="HDA743" s="3796"/>
      <c r="HDB743" s="3796"/>
      <c r="HDC743" s="3796"/>
      <c r="HDD743" s="3796"/>
      <c r="HDE743" s="3796"/>
      <c r="HDF743" s="3796"/>
      <c r="HDG743" s="3796"/>
      <c r="HDH743" s="3796"/>
      <c r="HDI743" s="3796"/>
      <c r="HDJ743" s="3796"/>
      <c r="HDK743" s="3796"/>
      <c r="HDL743" s="3796"/>
      <c r="HDM743" s="3796"/>
      <c r="HDN743" s="3796"/>
      <c r="HDO743" s="3796"/>
      <c r="HDP743" s="3796"/>
      <c r="HDQ743" s="3796"/>
      <c r="HDR743" s="3796"/>
      <c r="HDS743" s="3796"/>
      <c r="HDT743" s="3796"/>
      <c r="HDU743" s="3796"/>
      <c r="HDV743" s="3796"/>
      <c r="HDW743" s="3796"/>
      <c r="HDX743" s="3796"/>
      <c r="HDY743" s="3796"/>
      <c r="HDZ743" s="3796"/>
      <c r="HEA743" s="3796"/>
      <c r="HEB743" s="3796"/>
      <c r="HEC743" s="3796"/>
      <c r="HED743" s="3796"/>
      <c r="HEE743" s="3796"/>
      <c r="HEF743" s="3796"/>
      <c r="HEG743" s="3796"/>
      <c r="HEH743" s="3796"/>
      <c r="HEI743" s="3796"/>
      <c r="HEJ743" s="3796"/>
      <c r="HEK743" s="3796"/>
      <c r="HEL743" s="3796"/>
      <c r="HEM743" s="3796"/>
      <c r="HEN743" s="3796"/>
      <c r="HEO743" s="3796"/>
      <c r="HEP743" s="3796"/>
      <c r="HEQ743" s="3796"/>
      <c r="HER743" s="3796"/>
      <c r="HES743" s="3796"/>
      <c r="HET743" s="3796"/>
      <c r="HEU743" s="3796"/>
      <c r="HEV743" s="3796"/>
      <c r="HEW743" s="3796"/>
      <c r="HEX743" s="3796"/>
      <c r="HEY743" s="3796"/>
      <c r="HEZ743" s="3796"/>
      <c r="HFA743" s="3796"/>
      <c r="HFB743" s="3796"/>
      <c r="HFC743" s="3796"/>
      <c r="HFD743" s="3796"/>
      <c r="HFE743" s="3796"/>
      <c r="HFF743" s="3796"/>
      <c r="HFG743" s="3796"/>
      <c r="HFH743" s="3796"/>
      <c r="HFI743" s="3796"/>
      <c r="HFJ743" s="3796"/>
      <c r="HFK743" s="3796"/>
      <c r="HFL743" s="3796"/>
      <c r="HFM743" s="3796"/>
      <c r="HFN743" s="3796"/>
      <c r="HFO743" s="3796"/>
      <c r="HFP743" s="3796"/>
      <c r="HFQ743" s="3796"/>
      <c r="HFR743" s="3796"/>
      <c r="HFS743" s="3796"/>
      <c r="HFT743" s="3796"/>
      <c r="HFU743" s="3796"/>
      <c r="HFV743" s="3796"/>
      <c r="HFW743" s="3796"/>
      <c r="HFX743" s="3796"/>
      <c r="HFY743" s="3796"/>
      <c r="HFZ743" s="3796"/>
      <c r="HGA743" s="3796"/>
      <c r="HGB743" s="3796"/>
      <c r="HGC743" s="3796"/>
      <c r="HGD743" s="3796"/>
      <c r="HGE743" s="3796"/>
      <c r="HGF743" s="3796"/>
      <c r="HGG743" s="3796"/>
      <c r="HGH743" s="3796"/>
      <c r="HGI743" s="3796"/>
      <c r="HGJ743" s="3796"/>
      <c r="HGK743" s="3796"/>
      <c r="HGL743" s="3796"/>
      <c r="HGM743" s="3796"/>
      <c r="HGN743" s="3796"/>
      <c r="HGO743" s="3796"/>
      <c r="HGP743" s="3796"/>
      <c r="HGQ743" s="3796"/>
      <c r="HGR743" s="3796"/>
      <c r="HGS743" s="3796"/>
      <c r="HGT743" s="3796"/>
      <c r="HGU743" s="3796"/>
      <c r="HGV743" s="3796"/>
      <c r="HGW743" s="3796"/>
      <c r="HGX743" s="3796"/>
      <c r="HGY743" s="3796"/>
      <c r="HGZ743" s="3796"/>
      <c r="HHA743" s="3796"/>
      <c r="HHB743" s="3796"/>
      <c r="HHC743" s="3796"/>
      <c r="HHD743" s="3796"/>
      <c r="HHE743" s="3796"/>
      <c r="HHF743" s="3796"/>
      <c r="HHG743" s="3796"/>
      <c r="HHH743" s="3796"/>
      <c r="HHI743" s="3796"/>
      <c r="HHJ743" s="3796"/>
      <c r="HHK743" s="3796"/>
      <c r="HHL743" s="3796"/>
      <c r="HHM743" s="3796"/>
      <c r="HHN743" s="3796"/>
      <c r="HHO743" s="3796"/>
      <c r="HHP743" s="3796"/>
      <c r="HHQ743" s="3796"/>
      <c r="HHV743" s="3796"/>
      <c r="HIB743" s="3796"/>
      <c r="HIC743" s="3796"/>
      <c r="HID743" s="3796"/>
      <c r="HIH743" s="3796"/>
      <c r="HIO743" s="3796"/>
      <c r="HIP743" s="3796"/>
      <c r="HIQ743" s="3796"/>
      <c r="HIR743" s="3796"/>
      <c r="HIS743" s="3796"/>
      <c r="HIT743" s="3796"/>
      <c r="HIU743" s="3796"/>
      <c r="HIV743" s="3796"/>
      <c r="HIW743" s="3796"/>
      <c r="HIX743" s="3796"/>
      <c r="HIY743" s="3796"/>
      <c r="HIZ743" s="3796"/>
      <c r="HJA743" s="3796"/>
      <c r="HJB743" s="3796"/>
      <c r="HJC743" s="3796"/>
      <c r="HJD743" s="3796"/>
      <c r="HJE743" s="3796"/>
      <c r="HJF743" s="3796"/>
      <c r="HJG743" s="3796"/>
      <c r="HJH743" s="3796"/>
      <c r="HJI743" s="3796"/>
      <c r="HJJ743" s="3796"/>
      <c r="HJK743" s="3796"/>
      <c r="HJL743" s="3796"/>
      <c r="HJM743" s="3796"/>
      <c r="HJN743" s="3796"/>
      <c r="HJO743" s="3796"/>
      <c r="HJP743" s="3796"/>
      <c r="HJQ743" s="3796"/>
      <c r="HJR743" s="3796"/>
      <c r="HJS743" s="3796"/>
      <c r="HJT743" s="3796"/>
      <c r="HJU743" s="3796"/>
      <c r="HJV743" s="3796"/>
      <c r="HJW743" s="3796"/>
      <c r="HJX743" s="3796"/>
      <c r="HJY743" s="3796"/>
      <c r="HJZ743" s="3796"/>
      <c r="HKA743" s="3796"/>
      <c r="HKB743" s="3796"/>
      <c r="HKC743" s="3796"/>
      <c r="HKD743" s="3796"/>
      <c r="HKE743" s="3796"/>
      <c r="HKF743" s="3796"/>
      <c r="HKG743" s="3796"/>
      <c r="HKH743" s="3796"/>
      <c r="HKI743" s="3796"/>
      <c r="HKJ743" s="3796"/>
      <c r="HKK743" s="3796"/>
      <c r="HKL743" s="3796"/>
      <c r="HKM743" s="3796"/>
      <c r="HKN743" s="3796"/>
      <c r="HKO743" s="3796"/>
      <c r="HKP743" s="3796"/>
      <c r="HKQ743" s="3796"/>
      <c r="HKR743" s="3796"/>
      <c r="HKS743" s="3796"/>
      <c r="HKT743" s="3796"/>
      <c r="HKU743" s="3796"/>
      <c r="HKV743" s="3796"/>
      <c r="HKW743" s="3796"/>
      <c r="HKX743" s="3796"/>
      <c r="HKY743" s="3796"/>
      <c r="HKZ743" s="3796"/>
      <c r="HLA743" s="3796"/>
      <c r="HLB743" s="3796"/>
      <c r="HLC743" s="3796"/>
      <c r="HLD743" s="3796"/>
      <c r="HLE743" s="3796"/>
      <c r="HLF743" s="3796"/>
      <c r="HLG743" s="3796"/>
      <c r="HLH743" s="3796"/>
      <c r="HLI743" s="3796"/>
      <c r="HLJ743" s="3796"/>
      <c r="HLK743" s="3796"/>
      <c r="HLL743" s="3796"/>
      <c r="HLM743" s="3796"/>
      <c r="HLN743" s="3796"/>
      <c r="HLO743" s="3796"/>
      <c r="HLP743" s="3796"/>
      <c r="HLQ743" s="3796"/>
      <c r="HLR743" s="3796"/>
      <c r="HLS743" s="3796"/>
      <c r="HLT743" s="3796"/>
      <c r="HLU743" s="3796"/>
      <c r="HLV743" s="3796"/>
      <c r="HLW743" s="3796"/>
      <c r="HLX743" s="3796"/>
      <c r="HLY743" s="3796"/>
      <c r="HLZ743" s="3796"/>
      <c r="HMA743" s="3796"/>
      <c r="HMB743" s="3796"/>
      <c r="HMC743" s="3796"/>
      <c r="HMD743" s="3796"/>
      <c r="HME743" s="3796"/>
      <c r="HMF743" s="3796"/>
      <c r="HMG743" s="3796"/>
      <c r="HMH743" s="3796"/>
      <c r="HMI743" s="3796"/>
      <c r="HMJ743" s="3796"/>
      <c r="HMK743" s="3796"/>
      <c r="HML743" s="3796"/>
      <c r="HMM743" s="3796"/>
      <c r="HMN743" s="3796"/>
      <c r="HMO743" s="3796"/>
      <c r="HMP743" s="3796"/>
      <c r="HMQ743" s="3796"/>
      <c r="HMR743" s="3796"/>
      <c r="HMS743" s="3796"/>
      <c r="HMT743" s="3796"/>
      <c r="HMU743" s="3796"/>
      <c r="HMV743" s="3796"/>
      <c r="HMW743" s="3796"/>
      <c r="HMX743" s="3796"/>
      <c r="HMY743" s="3796"/>
      <c r="HMZ743" s="3796"/>
      <c r="HNA743" s="3796"/>
      <c r="HNB743" s="3796"/>
      <c r="HNC743" s="3796"/>
      <c r="HND743" s="3796"/>
      <c r="HNE743" s="3796"/>
      <c r="HNF743" s="3796"/>
      <c r="HNG743" s="3796"/>
      <c r="HNH743" s="3796"/>
      <c r="HNI743" s="3796"/>
      <c r="HNJ743" s="3796"/>
      <c r="HNK743" s="3796"/>
      <c r="HNL743" s="3796"/>
      <c r="HNM743" s="3796"/>
      <c r="HNN743" s="3796"/>
      <c r="HNO743" s="3796"/>
      <c r="HNP743" s="3796"/>
      <c r="HNQ743" s="3796"/>
      <c r="HNR743" s="3796"/>
      <c r="HNS743" s="3796"/>
      <c r="HNT743" s="3796"/>
      <c r="HNU743" s="3796"/>
      <c r="HNV743" s="3796"/>
      <c r="HNW743" s="3796"/>
      <c r="HNX743" s="3796"/>
      <c r="HNY743" s="3796"/>
      <c r="HNZ743" s="3796"/>
      <c r="HOA743" s="3796"/>
      <c r="HOB743" s="3796"/>
      <c r="HOC743" s="3796"/>
      <c r="HOD743" s="3796"/>
      <c r="HOE743" s="3796"/>
      <c r="HOF743" s="3796"/>
      <c r="HOG743" s="3796"/>
      <c r="HOH743" s="3796"/>
      <c r="HOI743" s="3796"/>
      <c r="HOJ743" s="3796"/>
      <c r="HOK743" s="3796"/>
      <c r="HOL743" s="3796"/>
      <c r="HOM743" s="3796"/>
      <c r="HON743" s="3796"/>
      <c r="HOO743" s="3796"/>
      <c r="HOP743" s="3796"/>
      <c r="HOQ743" s="3796"/>
      <c r="HOR743" s="3796"/>
      <c r="HOS743" s="3796"/>
      <c r="HOT743" s="3796"/>
      <c r="HOU743" s="3796"/>
      <c r="HOV743" s="3796"/>
      <c r="HOW743" s="3796"/>
      <c r="HOX743" s="3796"/>
      <c r="HOY743" s="3796"/>
      <c r="HOZ743" s="3796"/>
      <c r="HPA743" s="3796"/>
      <c r="HPB743" s="3796"/>
      <c r="HPC743" s="3796"/>
      <c r="HPD743" s="3796"/>
      <c r="HPE743" s="3796"/>
      <c r="HPF743" s="3796"/>
      <c r="HPG743" s="3796"/>
      <c r="HPH743" s="3796"/>
      <c r="HPI743" s="3796"/>
      <c r="HPJ743" s="3796"/>
      <c r="HPK743" s="3796"/>
      <c r="HPL743" s="3796"/>
      <c r="HPM743" s="3796"/>
      <c r="HPN743" s="3796"/>
      <c r="HPO743" s="3796"/>
      <c r="HPP743" s="3796"/>
      <c r="HPQ743" s="3796"/>
      <c r="HPR743" s="3796"/>
      <c r="HPS743" s="3796"/>
      <c r="HPT743" s="3796"/>
      <c r="HPU743" s="3796"/>
      <c r="HPV743" s="3796"/>
      <c r="HPW743" s="3796"/>
      <c r="HPX743" s="3796"/>
      <c r="HPY743" s="3796"/>
      <c r="HPZ743" s="3796"/>
      <c r="HQA743" s="3796"/>
      <c r="HQB743" s="3796"/>
      <c r="HQC743" s="3796"/>
      <c r="HQD743" s="3796"/>
      <c r="HQE743" s="3796"/>
      <c r="HQF743" s="3796"/>
      <c r="HQG743" s="3796"/>
      <c r="HQH743" s="3796"/>
      <c r="HQI743" s="3796"/>
      <c r="HQJ743" s="3796"/>
      <c r="HQK743" s="3796"/>
      <c r="HQL743" s="3796"/>
      <c r="HQM743" s="3796"/>
      <c r="HQN743" s="3796"/>
      <c r="HQO743" s="3796"/>
      <c r="HQP743" s="3796"/>
      <c r="HQQ743" s="3796"/>
      <c r="HQR743" s="3796"/>
      <c r="HQS743" s="3796"/>
      <c r="HQT743" s="3796"/>
      <c r="HQU743" s="3796"/>
      <c r="HQV743" s="3796"/>
      <c r="HQW743" s="3796"/>
      <c r="HQX743" s="3796"/>
      <c r="HQY743" s="3796"/>
      <c r="HQZ743" s="3796"/>
      <c r="HRA743" s="3796"/>
      <c r="HRB743" s="3796"/>
      <c r="HRC743" s="3796"/>
      <c r="HRD743" s="3796"/>
      <c r="HRE743" s="3796"/>
      <c r="HRF743" s="3796"/>
      <c r="HRG743" s="3796"/>
      <c r="HRH743" s="3796"/>
      <c r="HRI743" s="3796"/>
      <c r="HRJ743" s="3796"/>
      <c r="HRK743" s="3796"/>
      <c r="HRL743" s="3796"/>
      <c r="HRM743" s="3796"/>
      <c r="HRR743" s="3796"/>
      <c r="HRX743" s="3796"/>
      <c r="HRY743" s="3796"/>
      <c r="HRZ743" s="3796"/>
      <c r="HSD743" s="3796"/>
      <c r="HSK743" s="3796"/>
      <c r="HSL743" s="3796"/>
      <c r="HSM743" s="3796"/>
      <c r="HSN743" s="3796"/>
      <c r="HSO743" s="3796"/>
      <c r="HSP743" s="3796"/>
      <c r="HSQ743" s="3796"/>
      <c r="HSR743" s="3796"/>
      <c r="HSS743" s="3796"/>
      <c r="HST743" s="3796"/>
      <c r="HSU743" s="3796"/>
      <c r="HSV743" s="3796"/>
      <c r="HSW743" s="3796"/>
      <c r="HSX743" s="3796"/>
      <c r="HSY743" s="3796"/>
      <c r="HSZ743" s="3796"/>
      <c r="HTA743" s="3796"/>
      <c r="HTB743" s="3796"/>
      <c r="HTC743" s="3796"/>
      <c r="HTD743" s="3796"/>
      <c r="HTE743" s="3796"/>
      <c r="HTF743" s="3796"/>
      <c r="HTG743" s="3796"/>
      <c r="HTH743" s="3796"/>
      <c r="HTI743" s="3796"/>
      <c r="HTJ743" s="3796"/>
      <c r="HTK743" s="3796"/>
      <c r="HTL743" s="3796"/>
      <c r="HTM743" s="3796"/>
      <c r="HTN743" s="3796"/>
      <c r="HTO743" s="3796"/>
      <c r="HTP743" s="3796"/>
      <c r="HTQ743" s="3796"/>
      <c r="HTR743" s="3796"/>
      <c r="HTS743" s="3796"/>
      <c r="HTT743" s="3796"/>
      <c r="HTU743" s="3796"/>
      <c r="HTV743" s="3796"/>
      <c r="HTW743" s="3796"/>
      <c r="HTX743" s="3796"/>
      <c r="HTY743" s="3796"/>
      <c r="HTZ743" s="3796"/>
      <c r="HUA743" s="3796"/>
      <c r="HUB743" s="3796"/>
      <c r="HUC743" s="3796"/>
      <c r="HUD743" s="3796"/>
      <c r="HUE743" s="3796"/>
      <c r="HUF743" s="3796"/>
      <c r="HUG743" s="3796"/>
      <c r="HUH743" s="3796"/>
      <c r="HUI743" s="3796"/>
      <c r="HUJ743" s="3796"/>
      <c r="HUK743" s="3796"/>
      <c r="HUL743" s="3796"/>
      <c r="HUM743" s="3796"/>
      <c r="HUN743" s="3796"/>
      <c r="HUO743" s="3796"/>
      <c r="HUP743" s="3796"/>
      <c r="HUQ743" s="3796"/>
      <c r="HUR743" s="3796"/>
      <c r="HUS743" s="3796"/>
      <c r="HUT743" s="3796"/>
      <c r="HUU743" s="3796"/>
      <c r="HUV743" s="3796"/>
      <c r="HUW743" s="3796"/>
      <c r="HUX743" s="3796"/>
      <c r="HUY743" s="3796"/>
      <c r="HUZ743" s="3796"/>
      <c r="HVA743" s="3796"/>
      <c r="HVB743" s="3796"/>
      <c r="HVC743" s="3796"/>
      <c r="HVD743" s="3796"/>
      <c r="HVE743" s="3796"/>
      <c r="HVF743" s="3796"/>
      <c r="HVG743" s="3796"/>
      <c r="HVH743" s="3796"/>
      <c r="HVI743" s="3796"/>
      <c r="HVJ743" s="3796"/>
      <c r="HVK743" s="3796"/>
      <c r="HVL743" s="3796"/>
      <c r="HVM743" s="3796"/>
      <c r="HVN743" s="3796"/>
      <c r="HVO743" s="3796"/>
      <c r="HVP743" s="3796"/>
      <c r="HVQ743" s="3796"/>
      <c r="HVR743" s="3796"/>
      <c r="HVS743" s="3796"/>
      <c r="HVT743" s="3796"/>
      <c r="HVU743" s="3796"/>
      <c r="HVV743" s="3796"/>
      <c r="HVW743" s="3796"/>
      <c r="HVX743" s="3796"/>
      <c r="HVY743" s="3796"/>
      <c r="HVZ743" s="3796"/>
      <c r="HWA743" s="3796"/>
      <c r="HWB743" s="3796"/>
      <c r="HWC743" s="3796"/>
      <c r="HWD743" s="3796"/>
      <c r="HWE743" s="3796"/>
      <c r="HWF743" s="3796"/>
      <c r="HWG743" s="3796"/>
      <c r="HWH743" s="3796"/>
      <c r="HWI743" s="3796"/>
      <c r="HWJ743" s="3796"/>
      <c r="HWK743" s="3796"/>
      <c r="HWL743" s="3796"/>
      <c r="HWM743" s="3796"/>
      <c r="HWN743" s="3796"/>
      <c r="HWO743" s="3796"/>
      <c r="HWP743" s="3796"/>
      <c r="HWQ743" s="3796"/>
      <c r="HWR743" s="3796"/>
      <c r="HWS743" s="3796"/>
      <c r="HWT743" s="3796"/>
      <c r="HWU743" s="3796"/>
      <c r="HWV743" s="3796"/>
      <c r="HWW743" s="3796"/>
      <c r="HWX743" s="3796"/>
      <c r="HWY743" s="3796"/>
      <c r="HWZ743" s="3796"/>
      <c r="HXA743" s="3796"/>
      <c r="HXB743" s="3796"/>
      <c r="HXC743" s="3796"/>
      <c r="HXD743" s="3796"/>
      <c r="HXE743" s="3796"/>
      <c r="HXF743" s="3796"/>
      <c r="HXG743" s="3796"/>
      <c r="HXH743" s="3796"/>
      <c r="HXI743" s="3796"/>
      <c r="HXJ743" s="3796"/>
      <c r="HXK743" s="3796"/>
      <c r="HXL743" s="3796"/>
      <c r="HXM743" s="3796"/>
      <c r="HXN743" s="3796"/>
      <c r="HXO743" s="3796"/>
      <c r="HXP743" s="3796"/>
      <c r="HXQ743" s="3796"/>
      <c r="HXR743" s="3796"/>
      <c r="HXS743" s="3796"/>
      <c r="HXT743" s="3796"/>
      <c r="HXU743" s="3796"/>
      <c r="HXV743" s="3796"/>
      <c r="HXW743" s="3796"/>
      <c r="HXX743" s="3796"/>
      <c r="HXY743" s="3796"/>
      <c r="HXZ743" s="3796"/>
      <c r="HYA743" s="3796"/>
      <c r="HYB743" s="3796"/>
      <c r="HYC743" s="3796"/>
      <c r="HYD743" s="3796"/>
      <c r="HYE743" s="3796"/>
      <c r="HYF743" s="3796"/>
      <c r="HYG743" s="3796"/>
      <c r="HYH743" s="3796"/>
      <c r="HYI743" s="3796"/>
      <c r="HYJ743" s="3796"/>
      <c r="HYK743" s="3796"/>
      <c r="HYL743" s="3796"/>
      <c r="HYM743" s="3796"/>
      <c r="HYN743" s="3796"/>
      <c r="HYO743" s="3796"/>
      <c r="HYP743" s="3796"/>
      <c r="HYQ743" s="3796"/>
      <c r="HYR743" s="3796"/>
      <c r="HYS743" s="3796"/>
      <c r="HYT743" s="3796"/>
      <c r="HYU743" s="3796"/>
      <c r="HYV743" s="3796"/>
      <c r="HYW743" s="3796"/>
      <c r="HYX743" s="3796"/>
      <c r="HYY743" s="3796"/>
      <c r="HYZ743" s="3796"/>
      <c r="HZA743" s="3796"/>
      <c r="HZB743" s="3796"/>
      <c r="HZC743" s="3796"/>
      <c r="HZD743" s="3796"/>
      <c r="HZE743" s="3796"/>
      <c r="HZF743" s="3796"/>
      <c r="HZG743" s="3796"/>
      <c r="HZH743" s="3796"/>
      <c r="HZI743" s="3796"/>
      <c r="HZJ743" s="3796"/>
      <c r="HZK743" s="3796"/>
      <c r="HZL743" s="3796"/>
      <c r="HZM743" s="3796"/>
      <c r="HZN743" s="3796"/>
      <c r="HZO743" s="3796"/>
      <c r="HZP743" s="3796"/>
      <c r="HZQ743" s="3796"/>
      <c r="HZR743" s="3796"/>
      <c r="HZS743" s="3796"/>
      <c r="HZT743" s="3796"/>
      <c r="HZU743" s="3796"/>
      <c r="HZV743" s="3796"/>
      <c r="HZW743" s="3796"/>
      <c r="HZX743" s="3796"/>
      <c r="HZY743" s="3796"/>
      <c r="HZZ743" s="3796"/>
      <c r="IAA743" s="3796"/>
      <c r="IAB743" s="3796"/>
      <c r="IAC743" s="3796"/>
      <c r="IAD743" s="3796"/>
      <c r="IAE743" s="3796"/>
      <c r="IAF743" s="3796"/>
      <c r="IAG743" s="3796"/>
      <c r="IAH743" s="3796"/>
      <c r="IAI743" s="3796"/>
      <c r="IAJ743" s="3796"/>
      <c r="IAK743" s="3796"/>
      <c r="IAL743" s="3796"/>
      <c r="IAM743" s="3796"/>
      <c r="IAN743" s="3796"/>
      <c r="IAO743" s="3796"/>
      <c r="IAP743" s="3796"/>
      <c r="IAQ743" s="3796"/>
      <c r="IAR743" s="3796"/>
      <c r="IAS743" s="3796"/>
      <c r="IAT743" s="3796"/>
      <c r="IAU743" s="3796"/>
      <c r="IAV743" s="3796"/>
      <c r="IAW743" s="3796"/>
      <c r="IAX743" s="3796"/>
      <c r="IAY743" s="3796"/>
      <c r="IAZ743" s="3796"/>
      <c r="IBA743" s="3796"/>
      <c r="IBB743" s="3796"/>
      <c r="IBC743" s="3796"/>
      <c r="IBD743" s="3796"/>
      <c r="IBE743" s="3796"/>
      <c r="IBF743" s="3796"/>
      <c r="IBG743" s="3796"/>
      <c r="IBH743" s="3796"/>
      <c r="IBI743" s="3796"/>
      <c r="IBN743" s="3796"/>
      <c r="IBT743" s="3796"/>
      <c r="IBU743" s="3796"/>
      <c r="IBV743" s="3796"/>
      <c r="IBZ743" s="3796"/>
      <c r="ICG743" s="3796"/>
      <c r="ICH743" s="3796"/>
      <c r="ICI743" s="3796"/>
      <c r="ICJ743" s="3796"/>
      <c r="ICK743" s="3796"/>
      <c r="ICL743" s="3796"/>
      <c r="ICM743" s="3796"/>
      <c r="ICN743" s="3796"/>
      <c r="ICO743" s="3796"/>
      <c r="ICP743" s="3796"/>
      <c r="ICQ743" s="3796"/>
      <c r="ICR743" s="3796"/>
      <c r="ICS743" s="3796"/>
      <c r="ICT743" s="3796"/>
      <c r="ICU743" s="3796"/>
      <c r="ICV743" s="3796"/>
      <c r="ICW743" s="3796"/>
      <c r="ICX743" s="3796"/>
      <c r="ICY743" s="3796"/>
      <c r="ICZ743" s="3796"/>
      <c r="IDA743" s="3796"/>
      <c r="IDB743" s="3796"/>
      <c r="IDC743" s="3796"/>
      <c r="IDD743" s="3796"/>
      <c r="IDE743" s="3796"/>
      <c r="IDF743" s="3796"/>
      <c r="IDG743" s="3796"/>
      <c r="IDH743" s="3796"/>
      <c r="IDI743" s="3796"/>
      <c r="IDJ743" s="3796"/>
      <c r="IDK743" s="3796"/>
      <c r="IDL743" s="3796"/>
      <c r="IDM743" s="3796"/>
      <c r="IDN743" s="3796"/>
      <c r="IDO743" s="3796"/>
      <c r="IDP743" s="3796"/>
      <c r="IDQ743" s="3796"/>
      <c r="IDR743" s="3796"/>
      <c r="IDS743" s="3796"/>
      <c r="IDT743" s="3796"/>
      <c r="IDU743" s="3796"/>
      <c r="IDV743" s="3796"/>
      <c r="IDW743" s="3796"/>
      <c r="IDX743" s="3796"/>
      <c r="IDY743" s="3796"/>
      <c r="IDZ743" s="3796"/>
      <c r="IEA743" s="3796"/>
      <c r="IEB743" s="3796"/>
      <c r="IEC743" s="3796"/>
      <c r="IED743" s="3796"/>
      <c r="IEE743" s="3796"/>
      <c r="IEF743" s="3796"/>
      <c r="IEG743" s="3796"/>
      <c r="IEH743" s="3796"/>
      <c r="IEI743" s="3796"/>
      <c r="IEJ743" s="3796"/>
      <c r="IEK743" s="3796"/>
      <c r="IEL743" s="3796"/>
      <c r="IEM743" s="3796"/>
      <c r="IEN743" s="3796"/>
      <c r="IEO743" s="3796"/>
      <c r="IEP743" s="3796"/>
      <c r="IEQ743" s="3796"/>
      <c r="IER743" s="3796"/>
      <c r="IES743" s="3796"/>
      <c r="IET743" s="3796"/>
      <c r="IEU743" s="3796"/>
      <c r="IEV743" s="3796"/>
      <c r="IEW743" s="3796"/>
      <c r="IEX743" s="3796"/>
      <c r="IEY743" s="3796"/>
      <c r="IEZ743" s="3796"/>
      <c r="IFA743" s="3796"/>
      <c r="IFB743" s="3796"/>
      <c r="IFC743" s="3796"/>
      <c r="IFD743" s="3796"/>
      <c r="IFE743" s="3796"/>
      <c r="IFF743" s="3796"/>
      <c r="IFG743" s="3796"/>
      <c r="IFH743" s="3796"/>
      <c r="IFI743" s="3796"/>
      <c r="IFJ743" s="3796"/>
      <c r="IFK743" s="3796"/>
      <c r="IFL743" s="3796"/>
      <c r="IFM743" s="3796"/>
      <c r="IFN743" s="3796"/>
      <c r="IFO743" s="3796"/>
      <c r="IFP743" s="3796"/>
      <c r="IFQ743" s="3796"/>
      <c r="IFR743" s="3796"/>
      <c r="IFS743" s="3796"/>
      <c r="IFT743" s="3796"/>
      <c r="IFU743" s="3796"/>
      <c r="IFV743" s="3796"/>
      <c r="IFW743" s="3796"/>
      <c r="IFX743" s="3796"/>
      <c r="IFY743" s="3796"/>
      <c r="IFZ743" s="3796"/>
      <c r="IGA743" s="3796"/>
      <c r="IGB743" s="3796"/>
      <c r="IGC743" s="3796"/>
      <c r="IGD743" s="3796"/>
      <c r="IGE743" s="3796"/>
      <c r="IGF743" s="3796"/>
      <c r="IGG743" s="3796"/>
      <c r="IGH743" s="3796"/>
      <c r="IGI743" s="3796"/>
      <c r="IGJ743" s="3796"/>
      <c r="IGK743" s="3796"/>
      <c r="IGL743" s="3796"/>
      <c r="IGM743" s="3796"/>
      <c r="IGN743" s="3796"/>
      <c r="IGO743" s="3796"/>
      <c r="IGP743" s="3796"/>
      <c r="IGQ743" s="3796"/>
      <c r="IGR743" s="3796"/>
      <c r="IGS743" s="3796"/>
      <c r="IGT743" s="3796"/>
      <c r="IGU743" s="3796"/>
      <c r="IGV743" s="3796"/>
      <c r="IGW743" s="3796"/>
      <c r="IGX743" s="3796"/>
      <c r="IGY743" s="3796"/>
      <c r="IGZ743" s="3796"/>
      <c r="IHA743" s="3796"/>
      <c r="IHB743" s="3796"/>
      <c r="IHC743" s="3796"/>
      <c r="IHD743" s="3796"/>
      <c r="IHE743" s="3796"/>
      <c r="IHF743" s="3796"/>
      <c r="IHG743" s="3796"/>
      <c r="IHH743" s="3796"/>
      <c r="IHI743" s="3796"/>
      <c r="IHJ743" s="3796"/>
      <c r="IHK743" s="3796"/>
      <c r="IHL743" s="3796"/>
      <c r="IHM743" s="3796"/>
      <c r="IHN743" s="3796"/>
      <c r="IHO743" s="3796"/>
      <c r="IHP743" s="3796"/>
      <c r="IHQ743" s="3796"/>
      <c r="IHR743" s="3796"/>
      <c r="IHS743" s="3796"/>
      <c r="IHT743" s="3796"/>
      <c r="IHU743" s="3796"/>
      <c r="IHV743" s="3796"/>
      <c r="IHW743" s="3796"/>
      <c r="IHX743" s="3796"/>
      <c r="IHY743" s="3796"/>
      <c r="IHZ743" s="3796"/>
      <c r="IIA743" s="3796"/>
      <c r="IIB743" s="3796"/>
      <c r="IIC743" s="3796"/>
      <c r="IID743" s="3796"/>
      <c r="IIE743" s="3796"/>
      <c r="IIF743" s="3796"/>
      <c r="IIG743" s="3796"/>
      <c r="IIH743" s="3796"/>
      <c r="III743" s="3796"/>
      <c r="IIJ743" s="3796"/>
      <c r="IIK743" s="3796"/>
      <c r="IIL743" s="3796"/>
      <c r="IIM743" s="3796"/>
      <c r="IIN743" s="3796"/>
      <c r="IIO743" s="3796"/>
      <c r="IIP743" s="3796"/>
      <c r="IIQ743" s="3796"/>
      <c r="IIR743" s="3796"/>
      <c r="IIS743" s="3796"/>
      <c r="IIT743" s="3796"/>
      <c r="IIU743" s="3796"/>
      <c r="IIV743" s="3796"/>
      <c r="IIW743" s="3796"/>
      <c r="IIX743" s="3796"/>
      <c r="IIY743" s="3796"/>
      <c r="IIZ743" s="3796"/>
      <c r="IJA743" s="3796"/>
      <c r="IJB743" s="3796"/>
      <c r="IJC743" s="3796"/>
      <c r="IJD743" s="3796"/>
      <c r="IJE743" s="3796"/>
      <c r="IJF743" s="3796"/>
      <c r="IJG743" s="3796"/>
      <c r="IJH743" s="3796"/>
      <c r="IJI743" s="3796"/>
      <c r="IJJ743" s="3796"/>
      <c r="IJK743" s="3796"/>
      <c r="IJL743" s="3796"/>
      <c r="IJM743" s="3796"/>
      <c r="IJN743" s="3796"/>
      <c r="IJO743" s="3796"/>
      <c r="IJP743" s="3796"/>
      <c r="IJQ743" s="3796"/>
      <c r="IJR743" s="3796"/>
      <c r="IJS743" s="3796"/>
      <c r="IJT743" s="3796"/>
      <c r="IJU743" s="3796"/>
      <c r="IJV743" s="3796"/>
      <c r="IJW743" s="3796"/>
      <c r="IJX743" s="3796"/>
      <c r="IJY743" s="3796"/>
      <c r="IJZ743" s="3796"/>
      <c r="IKA743" s="3796"/>
      <c r="IKB743" s="3796"/>
      <c r="IKC743" s="3796"/>
      <c r="IKD743" s="3796"/>
      <c r="IKE743" s="3796"/>
      <c r="IKF743" s="3796"/>
      <c r="IKG743" s="3796"/>
      <c r="IKH743" s="3796"/>
      <c r="IKI743" s="3796"/>
      <c r="IKJ743" s="3796"/>
      <c r="IKK743" s="3796"/>
      <c r="IKL743" s="3796"/>
      <c r="IKM743" s="3796"/>
      <c r="IKN743" s="3796"/>
      <c r="IKO743" s="3796"/>
      <c r="IKP743" s="3796"/>
      <c r="IKQ743" s="3796"/>
      <c r="IKR743" s="3796"/>
      <c r="IKS743" s="3796"/>
      <c r="IKT743" s="3796"/>
      <c r="IKU743" s="3796"/>
      <c r="IKV743" s="3796"/>
      <c r="IKW743" s="3796"/>
      <c r="IKX743" s="3796"/>
      <c r="IKY743" s="3796"/>
      <c r="IKZ743" s="3796"/>
      <c r="ILA743" s="3796"/>
      <c r="ILB743" s="3796"/>
      <c r="ILC743" s="3796"/>
      <c r="ILD743" s="3796"/>
      <c r="ILE743" s="3796"/>
      <c r="ILJ743" s="3796"/>
      <c r="ILP743" s="3796"/>
      <c r="ILQ743" s="3796"/>
      <c r="ILR743" s="3796"/>
      <c r="ILV743" s="3796"/>
      <c r="IMC743" s="3796"/>
      <c r="IMD743" s="3796"/>
      <c r="IME743" s="3796"/>
      <c r="IMF743" s="3796"/>
      <c r="IMG743" s="3796"/>
      <c r="IMH743" s="3796"/>
      <c r="IMI743" s="3796"/>
      <c r="IMJ743" s="3796"/>
      <c r="IMK743" s="3796"/>
      <c r="IML743" s="3796"/>
      <c r="IMM743" s="3796"/>
      <c r="IMN743" s="3796"/>
      <c r="IMO743" s="3796"/>
      <c r="IMP743" s="3796"/>
      <c r="IMQ743" s="3796"/>
      <c r="IMR743" s="3796"/>
      <c r="IMS743" s="3796"/>
      <c r="IMT743" s="3796"/>
      <c r="IMU743" s="3796"/>
      <c r="IMV743" s="3796"/>
      <c r="IMW743" s="3796"/>
      <c r="IMX743" s="3796"/>
      <c r="IMY743" s="3796"/>
      <c r="IMZ743" s="3796"/>
      <c r="INA743" s="3796"/>
      <c r="INB743" s="3796"/>
      <c r="INC743" s="3796"/>
      <c r="IND743" s="3796"/>
      <c r="INE743" s="3796"/>
      <c r="INF743" s="3796"/>
      <c r="ING743" s="3796"/>
      <c r="INH743" s="3796"/>
      <c r="INI743" s="3796"/>
      <c r="INJ743" s="3796"/>
      <c r="INK743" s="3796"/>
      <c r="INL743" s="3796"/>
      <c r="INM743" s="3796"/>
      <c r="INN743" s="3796"/>
      <c r="INO743" s="3796"/>
      <c r="INP743" s="3796"/>
      <c r="INQ743" s="3796"/>
      <c r="INR743" s="3796"/>
      <c r="INS743" s="3796"/>
      <c r="INT743" s="3796"/>
      <c r="INU743" s="3796"/>
      <c r="INV743" s="3796"/>
      <c r="INW743" s="3796"/>
      <c r="INX743" s="3796"/>
      <c r="INY743" s="3796"/>
      <c r="INZ743" s="3796"/>
      <c r="IOA743" s="3796"/>
      <c r="IOB743" s="3796"/>
      <c r="IOC743" s="3796"/>
      <c r="IOD743" s="3796"/>
      <c r="IOE743" s="3796"/>
      <c r="IOF743" s="3796"/>
      <c r="IOG743" s="3796"/>
      <c r="IOH743" s="3796"/>
      <c r="IOI743" s="3796"/>
      <c r="IOJ743" s="3796"/>
      <c r="IOK743" s="3796"/>
      <c r="IOL743" s="3796"/>
      <c r="IOM743" s="3796"/>
      <c r="ION743" s="3796"/>
      <c r="IOO743" s="3796"/>
      <c r="IOP743" s="3796"/>
      <c r="IOQ743" s="3796"/>
      <c r="IOR743" s="3796"/>
      <c r="IOS743" s="3796"/>
      <c r="IOT743" s="3796"/>
      <c r="IOU743" s="3796"/>
      <c r="IOV743" s="3796"/>
      <c r="IOW743" s="3796"/>
      <c r="IOX743" s="3796"/>
      <c r="IOY743" s="3796"/>
      <c r="IOZ743" s="3796"/>
      <c r="IPA743" s="3796"/>
      <c r="IPB743" s="3796"/>
      <c r="IPC743" s="3796"/>
      <c r="IPD743" s="3796"/>
      <c r="IPE743" s="3796"/>
      <c r="IPF743" s="3796"/>
      <c r="IPG743" s="3796"/>
      <c r="IPH743" s="3796"/>
      <c r="IPI743" s="3796"/>
      <c r="IPJ743" s="3796"/>
      <c r="IPK743" s="3796"/>
      <c r="IPL743" s="3796"/>
      <c r="IPM743" s="3796"/>
      <c r="IPN743" s="3796"/>
      <c r="IPO743" s="3796"/>
      <c r="IPP743" s="3796"/>
      <c r="IPQ743" s="3796"/>
      <c r="IPR743" s="3796"/>
      <c r="IPS743" s="3796"/>
      <c r="IPT743" s="3796"/>
      <c r="IPU743" s="3796"/>
      <c r="IPV743" s="3796"/>
      <c r="IPW743" s="3796"/>
      <c r="IPX743" s="3796"/>
      <c r="IPY743" s="3796"/>
      <c r="IPZ743" s="3796"/>
      <c r="IQA743" s="3796"/>
      <c r="IQB743" s="3796"/>
      <c r="IQC743" s="3796"/>
      <c r="IQD743" s="3796"/>
      <c r="IQE743" s="3796"/>
      <c r="IQF743" s="3796"/>
      <c r="IQG743" s="3796"/>
      <c r="IQH743" s="3796"/>
      <c r="IQI743" s="3796"/>
      <c r="IQJ743" s="3796"/>
      <c r="IQK743" s="3796"/>
      <c r="IQL743" s="3796"/>
      <c r="IQM743" s="3796"/>
      <c r="IQN743" s="3796"/>
      <c r="IQO743" s="3796"/>
      <c r="IQP743" s="3796"/>
      <c r="IQQ743" s="3796"/>
      <c r="IQR743" s="3796"/>
      <c r="IQS743" s="3796"/>
      <c r="IQT743" s="3796"/>
      <c r="IQU743" s="3796"/>
      <c r="IQV743" s="3796"/>
      <c r="IQW743" s="3796"/>
      <c r="IQX743" s="3796"/>
      <c r="IQY743" s="3796"/>
      <c r="IQZ743" s="3796"/>
      <c r="IRA743" s="3796"/>
      <c r="IRB743" s="3796"/>
      <c r="IRC743" s="3796"/>
      <c r="IRD743" s="3796"/>
      <c r="IRE743" s="3796"/>
      <c r="IRF743" s="3796"/>
      <c r="IRG743" s="3796"/>
      <c r="IRH743" s="3796"/>
      <c r="IRI743" s="3796"/>
      <c r="IRJ743" s="3796"/>
      <c r="IRK743" s="3796"/>
      <c r="IRL743" s="3796"/>
      <c r="IRM743" s="3796"/>
      <c r="IRN743" s="3796"/>
      <c r="IRO743" s="3796"/>
      <c r="IRP743" s="3796"/>
      <c r="IRQ743" s="3796"/>
      <c r="IRR743" s="3796"/>
      <c r="IRS743" s="3796"/>
      <c r="IRT743" s="3796"/>
      <c r="IRU743" s="3796"/>
      <c r="IRV743" s="3796"/>
      <c r="IRW743" s="3796"/>
      <c r="IRX743" s="3796"/>
      <c r="IRY743" s="3796"/>
      <c r="IRZ743" s="3796"/>
      <c r="ISA743" s="3796"/>
      <c r="ISB743" s="3796"/>
      <c r="ISC743" s="3796"/>
      <c r="ISD743" s="3796"/>
      <c r="ISE743" s="3796"/>
      <c r="ISF743" s="3796"/>
      <c r="ISG743" s="3796"/>
      <c r="ISH743" s="3796"/>
      <c r="ISI743" s="3796"/>
      <c r="ISJ743" s="3796"/>
      <c r="ISK743" s="3796"/>
      <c r="ISL743" s="3796"/>
      <c r="ISM743" s="3796"/>
      <c r="ISN743" s="3796"/>
      <c r="ISO743" s="3796"/>
      <c r="ISP743" s="3796"/>
      <c r="ISQ743" s="3796"/>
      <c r="ISR743" s="3796"/>
      <c r="ISS743" s="3796"/>
      <c r="IST743" s="3796"/>
      <c r="ISU743" s="3796"/>
      <c r="ISV743" s="3796"/>
      <c r="ISW743" s="3796"/>
      <c r="ISX743" s="3796"/>
      <c r="ISY743" s="3796"/>
      <c r="ISZ743" s="3796"/>
      <c r="ITA743" s="3796"/>
      <c r="ITB743" s="3796"/>
      <c r="ITC743" s="3796"/>
      <c r="ITD743" s="3796"/>
      <c r="ITE743" s="3796"/>
      <c r="ITF743" s="3796"/>
      <c r="ITG743" s="3796"/>
      <c r="ITH743" s="3796"/>
      <c r="ITI743" s="3796"/>
      <c r="ITJ743" s="3796"/>
      <c r="ITK743" s="3796"/>
      <c r="ITL743" s="3796"/>
      <c r="ITM743" s="3796"/>
      <c r="ITN743" s="3796"/>
      <c r="ITO743" s="3796"/>
      <c r="ITP743" s="3796"/>
      <c r="ITQ743" s="3796"/>
      <c r="ITR743" s="3796"/>
      <c r="ITS743" s="3796"/>
      <c r="ITT743" s="3796"/>
      <c r="ITU743" s="3796"/>
      <c r="ITV743" s="3796"/>
      <c r="ITW743" s="3796"/>
      <c r="ITX743" s="3796"/>
      <c r="ITY743" s="3796"/>
      <c r="ITZ743" s="3796"/>
      <c r="IUA743" s="3796"/>
      <c r="IUB743" s="3796"/>
      <c r="IUC743" s="3796"/>
      <c r="IUD743" s="3796"/>
      <c r="IUE743" s="3796"/>
      <c r="IUF743" s="3796"/>
      <c r="IUG743" s="3796"/>
      <c r="IUH743" s="3796"/>
      <c r="IUI743" s="3796"/>
      <c r="IUJ743" s="3796"/>
      <c r="IUK743" s="3796"/>
      <c r="IUL743" s="3796"/>
      <c r="IUM743" s="3796"/>
      <c r="IUN743" s="3796"/>
      <c r="IUO743" s="3796"/>
      <c r="IUP743" s="3796"/>
      <c r="IUQ743" s="3796"/>
      <c r="IUR743" s="3796"/>
      <c r="IUS743" s="3796"/>
      <c r="IUT743" s="3796"/>
      <c r="IUU743" s="3796"/>
      <c r="IUV743" s="3796"/>
      <c r="IUW743" s="3796"/>
      <c r="IUX743" s="3796"/>
      <c r="IUY743" s="3796"/>
      <c r="IUZ743" s="3796"/>
      <c r="IVA743" s="3796"/>
      <c r="IVF743" s="3796"/>
      <c r="IVL743" s="3796"/>
      <c r="IVM743" s="3796"/>
      <c r="IVN743" s="3796"/>
      <c r="IVR743" s="3796"/>
      <c r="IVY743" s="3796"/>
      <c r="IVZ743" s="3796"/>
      <c r="IWA743" s="3796"/>
      <c r="IWB743" s="3796"/>
      <c r="IWC743" s="3796"/>
      <c r="IWD743" s="3796"/>
      <c r="IWE743" s="3796"/>
      <c r="IWF743" s="3796"/>
      <c r="IWG743" s="3796"/>
      <c r="IWH743" s="3796"/>
      <c r="IWI743" s="3796"/>
      <c r="IWJ743" s="3796"/>
      <c r="IWK743" s="3796"/>
      <c r="IWL743" s="3796"/>
      <c r="IWM743" s="3796"/>
      <c r="IWN743" s="3796"/>
      <c r="IWO743" s="3796"/>
      <c r="IWP743" s="3796"/>
      <c r="IWQ743" s="3796"/>
      <c r="IWR743" s="3796"/>
      <c r="IWS743" s="3796"/>
      <c r="IWT743" s="3796"/>
      <c r="IWU743" s="3796"/>
      <c r="IWV743" s="3796"/>
      <c r="IWW743" s="3796"/>
      <c r="IWX743" s="3796"/>
      <c r="IWY743" s="3796"/>
      <c r="IWZ743" s="3796"/>
      <c r="IXA743" s="3796"/>
      <c r="IXB743" s="3796"/>
      <c r="IXC743" s="3796"/>
      <c r="IXD743" s="3796"/>
      <c r="IXE743" s="3796"/>
      <c r="IXF743" s="3796"/>
      <c r="IXG743" s="3796"/>
      <c r="IXH743" s="3796"/>
      <c r="IXI743" s="3796"/>
      <c r="IXJ743" s="3796"/>
      <c r="IXK743" s="3796"/>
      <c r="IXL743" s="3796"/>
      <c r="IXM743" s="3796"/>
      <c r="IXN743" s="3796"/>
      <c r="IXO743" s="3796"/>
      <c r="IXP743" s="3796"/>
      <c r="IXQ743" s="3796"/>
      <c r="IXR743" s="3796"/>
      <c r="IXS743" s="3796"/>
      <c r="IXT743" s="3796"/>
      <c r="IXU743" s="3796"/>
      <c r="IXV743" s="3796"/>
      <c r="IXW743" s="3796"/>
      <c r="IXX743" s="3796"/>
      <c r="IXY743" s="3796"/>
      <c r="IXZ743" s="3796"/>
      <c r="IYA743" s="3796"/>
      <c r="IYB743" s="3796"/>
      <c r="IYC743" s="3796"/>
      <c r="IYD743" s="3796"/>
      <c r="IYE743" s="3796"/>
      <c r="IYF743" s="3796"/>
      <c r="IYG743" s="3796"/>
      <c r="IYH743" s="3796"/>
      <c r="IYI743" s="3796"/>
      <c r="IYJ743" s="3796"/>
      <c r="IYK743" s="3796"/>
      <c r="IYL743" s="3796"/>
      <c r="IYM743" s="3796"/>
      <c r="IYN743" s="3796"/>
      <c r="IYO743" s="3796"/>
      <c r="IYP743" s="3796"/>
      <c r="IYQ743" s="3796"/>
      <c r="IYR743" s="3796"/>
      <c r="IYS743" s="3796"/>
      <c r="IYT743" s="3796"/>
      <c r="IYU743" s="3796"/>
      <c r="IYV743" s="3796"/>
      <c r="IYW743" s="3796"/>
      <c r="IYX743" s="3796"/>
      <c r="IYY743" s="3796"/>
      <c r="IYZ743" s="3796"/>
      <c r="IZA743" s="3796"/>
      <c r="IZB743" s="3796"/>
      <c r="IZC743" s="3796"/>
      <c r="IZD743" s="3796"/>
      <c r="IZE743" s="3796"/>
      <c r="IZF743" s="3796"/>
      <c r="IZG743" s="3796"/>
      <c r="IZH743" s="3796"/>
      <c r="IZI743" s="3796"/>
      <c r="IZJ743" s="3796"/>
      <c r="IZK743" s="3796"/>
      <c r="IZL743" s="3796"/>
      <c r="IZM743" s="3796"/>
      <c r="IZN743" s="3796"/>
      <c r="IZO743" s="3796"/>
      <c r="IZP743" s="3796"/>
      <c r="IZQ743" s="3796"/>
      <c r="IZR743" s="3796"/>
      <c r="IZS743" s="3796"/>
      <c r="IZT743" s="3796"/>
      <c r="IZU743" s="3796"/>
      <c r="IZV743" s="3796"/>
      <c r="IZW743" s="3796"/>
      <c r="IZX743" s="3796"/>
      <c r="IZY743" s="3796"/>
      <c r="IZZ743" s="3796"/>
      <c r="JAA743" s="3796"/>
      <c r="JAB743" s="3796"/>
      <c r="JAC743" s="3796"/>
      <c r="JAD743" s="3796"/>
      <c r="JAE743" s="3796"/>
      <c r="JAF743" s="3796"/>
      <c r="JAG743" s="3796"/>
      <c r="JAH743" s="3796"/>
      <c r="JAI743" s="3796"/>
      <c r="JAJ743" s="3796"/>
      <c r="JAK743" s="3796"/>
      <c r="JAL743" s="3796"/>
      <c r="JAM743" s="3796"/>
      <c r="JAN743" s="3796"/>
      <c r="JAO743" s="3796"/>
      <c r="JAP743" s="3796"/>
      <c r="JAQ743" s="3796"/>
      <c r="JAR743" s="3796"/>
      <c r="JAS743" s="3796"/>
      <c r="JAT743" s="3796"/>
      <c r="JAU743" s="3796"/>
      <c r="JAV743" s="3796"/>
      <c r="JAW743" s="3796"/>
      <c r="JAX743" s="3796"/>
      <c r="JAY743" s="3796"/>
      <c r="JAZ743" s="3796"/>
      <c r="JBA743" s="3796"/>
      <c r="JBB743" s="3796"/>
      <c r="JBC743" s="3796"/>
      <c r="JBD743" s="3796"/>
      <c r="JBE743" s="3796"/>
      <c r="JBF743" s="3796"/>
      <c r="JBG743" s="3796"/>
      <c r="JBH743" s="3796"/>
      <c r="JBI743" s="3796"/>
      <c r="JBJ743" s="3796"/>
      <c r="JBK743" s="3796"/>
      <c r="JBL743" s="3796"/>
      <c r="JBM743" s="3796"/>
      <c r="JBN743" s="3796"/>
      <c r="JBO743" s="3796"/>
      <c r="JBP743" s="3796"/>
      <c r="JBQ743" s="3796"/>
      <c r="JBR743" s="3796"/>
      <c r="JBS743" s="3796"/>
      <c r="JBT743" s="3796"/>
      <c r="JBU743" s="3796"/>
      <c r="JBV743" s="3796"/>
      <c r="JBW743" s="3796"/>
      <c r="JBX743" s="3796"/>
      <c r="JBY743" s="3796"/>
      <c r="JBZ743" s="3796"/>
      <c r="JCA743" s="3796"/>
      <c r="JCB743" s="3796"/>
      <c r="JCC743" s="3796"/>
      <c r="JCD743" s="3796"/>
      <c r="JCE743" s="3796"/>
      <c r="JCF743" s="3796"/>
      <c r="JCG743" s="3796"/>
      <c r="JCH743" s="3796"/>
      <c r="JCI743" s="3796"/>
      <c r="JCJ743" s="3796"/>
      <c r="JCK743" s="3796"/>
      <c r="JCL743" s="3796"/>
      <c r="JCM743" s="3796"/>
      <c r="JCN743" s="3796"/>
      <c r="JCO743" s="3796"/>
      <c r="JCP743" s="3796"/>
      <c r="JCQ743" s="3796"/>
      <c r="JCR743" s="3796"/>
      <c r="JCS743" s="3796"/>
      <c r="JCT743" s="3796"/>
      <c r="JCU743" s="3796"/>
      <c r="JCV743" s="3796"/>
      <c r="JCW743" s="3796"/>
      <c r="JCX743" s="3796"/>
      <c r="JCY743" s="3796"/>
      <c r="JCZ743" s="3796"/>
      <c r="JDA743" s="3796"/>
      <c r="JDB743" s="3796"/>
      <c r="JDC743" s="3796"/>
      <c r="JDD743" s="3796"/>
      <c r="JDE743" s="3796"/>
      <c r="JDF743" s="3796"/>
      <c r="JDG743" s="3796"/>
      <c r="JDH743" s="3796"/>
      <c r="JDI743" s="3796"/>
      <c r="JDJ743" s="3796"/>
      <c r="JDK743" s="3796"/>
      <c r="JDL743" s="3796"/>
      <c r="JDM743" s="3796"/>
      <c r="JDN743" s="3796"/>
      <c r="JDO743" s="3796"/>
      <c r="JDP743" s="3796"/>
      <c r="JDQ743" s="3796"/>
      <c r="JDR743" s="3796"/>
      <c r="JDS743" s="3796"/>
      <c r="JDT743" s="3796"/>
      <c r="JDU743" s="3796"/>
      <c r="JDV743" s="3796"/>
      <c r="JDW743" s="3796"/>
      <c r="JDX743" s="3796"/>
      <c r="JDY743" s="3796"/>
      <c r="JDZ743" s="3796"/>
      <c r="JEA743" s="3796"/>
      <c r="JEB743" s="3796"/>
      <c r="JEC743" s="3796"/>
      <c r="JED743" s="3796"/>
      <c r="JEE743" s="3796"/>
      <c r="JEF743" s="3796"/>
      <c r="JEG743" s="3796"/>
      <c r="JEH743" s="3796"/>
      <c r="JEI743" s="3796"/>
      <c r="JEJ743" s="3796"/>
      <c r="JEK743" s="3796"/>
      <c r="JEL743" s="3796"/>
      <c r="JEM743" s="3796"/>
      <c r="JEN743" s="3796"/>
      <c r="JEO743" s="3796"/>
      <c r="JEP743" s="3796"/>
      <c r="JEQ743" s="3796"/>
      <c r="JER743" s="3796"/>
      <c r="JES743" s="3796"/>
      <c r="JET743" s="3796"/>
      <c r="JEU743" s="3796"/>
      <c r="JEV743" s="3796"/>
      <c r="JEW743" s="3796"/>
      <c r="JFB743" s="3796"/>
      <c r="JFH743" s="3796"/>
      <c r="JFI743" s="3796"/>
      <c r="JFJ743" s="3796"/>
      <c r="JFN743" s="3796"/>
      <c r="JFU743" s="3796"/>
      <c r="JFV743" s="3796"/>
      <c r="JFW743" s="3796"/>
      <c r="JFX743" s="3796"/>
      <c r="JFY743" s="3796"/>
      <c r="JFZ743" s="3796"/>
      <c r="JGA743" s="3796"/>
      <c r="JGB743" s="3796"/>
      <c r="JGC743" s="3796"/>
      <c r="JGD743" s="3796"/>
      <c r="JGE743" s="3796"/>
      <c r="JGF743" s="3796"/>
      <c r="JGG743" s="3796"/>
      <c r="JGH743" s="3796"/>
      <c r="JGI743" s="3796"/>
      <c r="JGJ743" s="3796"/>
      <c r="JGK743" s="3796"/>
      <c r="JGL743" s="3796"/>
      <c r="JGM743" s="3796"/>
      <c r="JGN743" s="3796"/>
      <c r="JGO743" s="3796"/>
      <c r="JGP743" s="3796"/>
      <c r="JGQ743" s="3796"/>
      <c r="JGR743" s="3796"/>
      <c r="JGS743" s="3796"/>
      <c r="JGT743" s="3796"/>
      <c r="JGU743" s="3796"/>
      <c r="JGV743" s="3796"/>
      <c r="JGW743" s="3796"/>
      <c r="JGX743" s="3796"/>
      <c r="JGY743" s="3796"/>
      <c r="JGZ743" s="3796"/>
      <c r="JHA743" s="3796"/>
      <c r="JHB743" s="3796"/>
      <c r="JHC743" s="3796"/>
      <c r="JHD743" s="3796"/>
      <c r="JHE743" s="3796"/>
      <c r="JHF743" s="3796"/>
      <c r="JHG743" s="3796"/>
      <c r="JHH743" s="3796"/>
      <c r="JHI743" s="3796"/>
      <c r="JHJ743" s="3796"/>
      <c r="JHK743" s="3796"/>
      <c r="JHL743" s="3796"/>
      <c r="JHM743" s="3796"/>
      <c r="JHN743" s="3796"/>
      <c r="JHO743" s="3796"/>
      <c r="JHP743" s="3796"/>
      <c r="JHQ743" s="3796"/>
      <c r="JHR743" s="3796"/>
      <c r="JHS743" s="3796"/>
      <c r="JHT743" s="3796"/>
      <c r="JHU743" s="3796"/>
      <c r="JHV743" s="3796"/>
      <c r="JHW743" s="3796"/>
      <c r="JHX743" s="3796"/>
      <c r="JHY743" s="3796"/>
      <c r="JHZ743" s="3796"/>
      <c r="JIA743" s="3796"/>
      <c r="JIB743" s="3796"/>
      <c r="JIC743" s="3796"/>
      <c r="JID743" s="3796"/>
      <c r="JIE743" s="3796"/>
      <c r="JIF743" s="3796"/>
      <c r="JIG743" s="3796"/>
      <c r="JIH743" s="3796"/>
      <c r="JII743" s="3796"/>
      <c r="JIJ743" s="3796"/>
      <c r="JIK743" s="3796"/>
      <c r="JIL743" s="3796"/>
      <c r="JIM743" s="3796"/>
      <c r="JIN743" s="3796"/>
      <c r="JIO743" s="3796"/>
      <c r="JIP743" s="3796"/>
      <c r="JIQ743" s="3796"/>
      <c r="JIR743" s="3796"/>
      <c r="JIS743" s="3796"/>
      <c r="JIT743" s="3796"/>
      <c r="JIU743" s="3796"/>
      <c r="JIV743" s="3796"/>
      <c r="JIW743" s="3796"/>
      <c r="JIX743" s="3796"/>
      <c r="JIY743" s="3796"/>
      <c r="JIZ743" s="3796"/>
      <c r="JJA743" s="3796"/>
      <c r="JJB743" s="3796"/>
      <c r="JJC743" s="3796"/>
      <c r="JJD743" s="3796"/>
      <c r="JJE743" s="3796"/>
      <c r="JJF743" s="3796"/>
      <c r="JJG743" s="3796"/>
      <c r="JJH743" s="3796"/>
      <c r="JJI743" s="3796"/>
      <c r="JJJ743" s="3796"/>
      <c r="JJK743" s="3796"/>
      <c r="JJL743" s="3796"/>
      <c r="JJM743" s="3796"/>
      <c r="JJN743" s="3796"/>
      <c r="JJO743" s="3796"/>
      <c r="JJP743" s="3796"/>
      <c r="JJQ743" s="3796"/>
      <c r="JJR743" s="3796"/>
      <c r="JJS743" s="3796"/>
      <c r="JJT743" s="3796"/>
      <c r="JJU743" s="3796"/>
      <c r="JJV743" s="3796"/>
      <c r="JJW743" s="3796"/>
      <c r="JJX743" s="3796"/>
      <c r="JJY743" s="3796"/>
      <c r="JJZ743" s="3796"/>
      <c r="JKA743" s="3796"/>
      <c r="JKB743" s="3796"/>
      <c r="JKC743" s="3796"/>
      <c r="JKD743" s="3796"/>
      <c r="JKE743" s="3796"/>
      <c r="JKF743" s="3796"/>
      <c r="JKG743" s="3796"/>
      <c r="JKH743" s="3796"/>
      <c r="JKI743" s="3796"/>
      <c r="JKJ743" s="3796"/>
      <c r="JKK743" s="3796"/>
      <c r="JKL743" s="3796"/>
      <c r="JKM743" s="3796"/>
      <c r="JKN743" s="3796"/>
      <c r="JKO743" s="3796"/>
      <c r="JKP743" s="3796"/>
      <c r="JKQ743" s="3796"/>
      <c r="JKR743" s="3796"/>
      <c r="JKS743" s="3796"/>
      <c r="JKT743" s="3796"/>
      <c r="JKU743" s="3796"/>
      <c r="JKV743" s="3796"/>
      <c r="JKW743" s="3796"/>
      <c r="JKX743" s="3796"/>
      <c r="JKY743" s="3796"/>
      <c r="JKZ743" s="3796"/>
      <c r="JLA743" s="3796"/>
      <c r="JLB743" s="3796"/>
      <c r="JLC743" s="3796"/>
      <c r="JLD743" s="3796"/>
      <c r="JLE743" s="3796"/>
      <c r="JLF743" s="3796"/>
      <c r="JLG743" s="3796"/>
      <c r="JLH743" s="3796"/>
      <c r="JLI743" s="3796"/>
      <c r="JLJ743" s="3796"/>
      <c r="JLK743" s="3796"/>
      <c r="JLL743" s="3796"/>
      <c r="JLM743" s="3796"/>
      <c r="JLN743" s="3796"/>
      <c r="JLO743" s="3796"/>
      <c r="JLP743" s="3796"/>
      <c r="JLQ743" s="3796"/>
      <c r="JLR743" s="3796"/>
      <c r="JLS743" s="3796"/>
      <c r="JLT743" s="3796"/>
      <c r="JLU743" s="3796"/>
      <c r="JLV743" s="3796"/>
      <c r="JLW743" s="3796"/>
      <c r="JLX743" s="3796"/>
      <c r="JLY743" s="3796"/>
      <c r="JLZ743" s="3796"/>
      <c r="JMA743" s="3796"/>
      <c r="JMB743" s="3796"/>
      <c r="JMC743" s="3796"/>
      <c r="JMD743" s="3796"/>
      <c r="JME743" s="3796"/>
      <c r="JMF743" s="3796"/>
      <c r="JMG743" s="3796"/>
      <c r="JMH743" s="3796"/>
      <c r="JMI743" s="3796"/>
      <c r="JMJ743" s="3796"/>
      <c r="JMK743" s="3796"/>
      <c r="JML743" s="3796"/>
      <c r="JMM743" s="3796"/>
      <c r="JMN743" s="3796"/>
      <c r="JMO743" s="3796"/>
      <c r="JMP743" s="3796"/>
      <c r="JMQ743" s="3796"/>
      <c r="JMR743" s="3796"/>
      <c r="JMS743" s="3796"/>
      <c r="JMT743" s="3796"/>
      <c r="JMU743" s="3796"/>
      <c r="JMV743" s="3796"/>
      <c r="JMW743" s="3796"/>
      <c r="JMX743" s="3796"/>
      <c r="JMY743" s="3796"/>
      <c r="JMZ743" s="3796"/>
      <c r="JNA743" s="3796"/>
      <c r="JNB743" s="3796"/>
      <c r="JNC743" s="3796"/>
      <c r="JND743" s="3796"/>
      <c r="JNE743" s="3796"/>
      <c r="JNF743" s="3796"/>
      <c r="JNG743" s="3796"/>
      <c r="JNH743" s="3796"/>
      <c r="JNI743" s="3796"/>
      <c r="JNJ743" s="3796"/>
      <c r="JNK743" s="3796"/>
      <c r="JNL743" s="3796"/>
      <c r="JNM743" s="3796"/>
      <c r="JNN743" s="3796"/>
      <c r="JNO743" s="3796"/>
      <c r="JNP743" s="3796"/>
      <c r="JNQ743" s="3796"/>
      <c r="JNR743" s="3796"/>
      <c r="JNS743" s="3796"/>
      <c r="JNT743" s="3796"/>
      <c r="JNU743" s="3796"/>
      <c r="JNV743" s="3796"/>
      <c r="JNW743" s="3796"/>
      <c r="JNX743" s="3796"/>
      <c r="JNY743" s="3796"/>
      <c r="JNZ743" s="3796"/>
      <c r="JOA743" s="3796"/>
      <c r="JOB743" s="3796"/>
      <c r="JOC743" s="3796"/>
      <c r="JOD743" s="3796"/>
      <c r="JOE743" s="3796"/>
      <c r="JOF743" s="3796"/>
      <c r="JOG743" s="3796"/>
      <c r="JOH743" s="3796"/>
      <c r="JOI743" s="3796"/>
      <c r="JOJ743" s="3796"/>
      <c r="JOK743" s="3796"/>
      <c r="JOL743" s="3796"/>
      <c r="JOM743" s="3796"/>
      <c r="JON743" s="3796"/>
      <c r="JOO743" s="3796"/>
      <c r="JOP743" s="3796"/>
      <c r="JOQ743" s="3796"/>
      <c r="JOR743" s="3796"/>
      <c r="JOS743" s="3796"/>
      <c r="JOX743" s="3796"/>
      <c r="JPD743" s="3796"/>
      <c r="JPE743" s="3796"/>
      <c r="JPF743" s="3796"/>
      <c r="JPJ743" s="3796"/>
      <c r="JPQ743" s="3796"/>
      <c r="JPR743" s="3796"/>
      <c r="JPS743" s="3796"/>
      <c r="JPT743" s="3796"/>
      <c r="JPU743" s="3796"/>
      <c r="JPV743" s="3796"/>
      <c r="JPW743" s="3796"/>
      <c r="JPX743" s="3796"/>
      <c r="JPY743" s="3796"/>
      <c r="JPZ743" s="3796"/>
      <c r="JQA743" s="3796"/>
      <c r="JQB743" s="3796"/>
      <c r="JQC743" s="3796"/>
      <c r="JQD743" s="3796"/>
      <c r="JQE743" s="3796"/>
      <c r="JQF743" s="3796"/>
      <c r="JQG743" s="3796"/>
      <c r="JQH743" s="3796"/>
      <c r="JQI743" s="3796"/>
      <c r="JQJ743" s="3796"/>
      <c r="JQK743" s="3796"/>
      <c r="JQL743" s="3796"/>
      <c r="JQM743" s="3796"/>
      <c r="JQN743" s="3796"/>
      <c r="JQO743" s="3796"/>
      <c r="JQP743" s="3796"/>
      <c r="JQQ743" s="3796"/>
      <c r="JQR743" s="3796"/>
      <c r="JQS743" s="3796"/>
      <c r="JQT743" s="3796"/>
      <c r="JQU743" s="3796"/>
      <c r="JQV743" s="3796"/>
      <c r="JQW743" s="3796"/>
      <c r="JQX743" s="3796"/>
      <c r="JQY743" s="3796"/>
      <c r="JQZ743" s="3796"/>
      <c r="JRA743" s="3796"/>
      <c r="JRB743" s="3796"/>
      <c r="JRC743" s="3796"/>
      <c r="JRD743" s="3796"/>
      <c r="JRE743" s="3796"/>
      <c r="JRF743" s="3796"/>
      <c r="JRG743" s="3796"/>
      <c r="JRH743" s="3796"/>
      <c r="JRI743" s="3796"/>
      <c r="JRJ743" s="3796"/>
      <c r="JRK743" s="3796"/>
      <c r="JRL743" s="3796"/>
      <c r="JRM743" s="3796"/>
      <c r="JRN743" s="3796"/>
      <c r="JRO743" s="3796"/>
      <c r="JRP743" s="3796"/>
      <c r="JRQ743" s="3796"/>
      <c r="JRR743" s="3796"/>
      <c r="JRS743" s="3796"/>
      <c r="JRT743" s="3796"/>
      <c r="JRU743" s="3796"/>
      <c r="JRV743" s="3796"/>
      <c r="JRW743" s="3796"/>
      <c r="JRX743" s="3796"/>
      <c r="JRY743" s="3796"/>
      <c r="JRZ743" s="3796"/>
      <c r="JSA743" s="3796"/>
      <c r="JSB743" s="3796"/>
      <c r="JSC743" s="3796"/>
      <c r="JSD743" s="3796"/>
      <c r="JSE743" s="3796"/>
      <c r="JSF743" s="3796"/>
      <c r="JSG743" s="3796"/>
      <c r="JSH743" s="3796"/>
      <c r="JSI743" s="3796"/>
      <c r="JSJ743" s="3796"/>
      <c r="JSK743" s="3796"/>
      <c r="JSL743" s="3796"/>
      <c r="JSM743" s="3796"/>
      <c r="JSN743" s="3796"/>
      <c r="JSO743" s="3796"/>
      <c r="JSP743" s="3796"/>
      <c r="JSQ743" s="3796"/>
      <c r="JSR743" s="3796"/>
      <c r="JSS743" s="3796"/>
      <c r="JST743" s="3796"/>
      <c r="JSU743" s="3796"/>
      <c r="JSV743" s="3796"/>
      <c r="JSW743" s="3796"/>
      <c r="JSX743" s="3796"/>
      <c r="JSY743" s="3796"/>
      <c r="JSZ743" s="3796"/>
      <c r="JTA743" s="3796"/>
      <c r="JTB743" s="3796"/>
      <c r="JTC743" s="3796"/>
      <c r="JTD743" s="3796"/>
      <c r="JTE743" s="3796"/>
      <c r="JTF743" s="3796"/>
      <c r="JTG743" s="3796"/>
      <c r="JTH743" s="3796"/>
      <c r="JTI743" s="3796"/>
      <c r="JTJ743" s="3796"/>
      <c r="JTK743" s="3796"/>
      <c r="JTL743" s="3796"/>
      <c r="JTM743" s="3796"/>
      <c r="JTN743" s="3796"/>
      <c r="JTO743" s="3796"/>
      <c r="JTP743" s="3796"/>
      <c r="JTQ743" s="3796"/>
      <c r="JTR743" s="3796"/>
      <c r="JTS743" s="3796"/>
      <c r="JTT743" s="3796"/>
      <c r="JTU743" s="3796"/>
      <c r="JTV743" s="3796"/>
      <c r="JTW743" s="3796"/>
      <c r="JTX743" s="3796"/>
      <c r="JTY743" s="3796"/>
      <c r="JTZ743" s="3796"/>
      <c r="JUA743" s="3796"/>
      <c r="JUB743" s="3796"/>
      <c r="JUC743" s="3796"/>
      <c r="JUD743" s="3796"/>
      <c r="JUE743" s="3796"/>
      <c r="JUF743" s="3796"/>
      <c r="JUG743" s="3796"/>
      <c r="JUH743" s="3796"/>
      <c r="JUI743" s="3796"/>
      <c r="JUJ743" s="3796"/>
      <c r="JUK743" s="3796"/>
      <c r="JUL743" s="3796"/>
      <c r="JUM743" s="3796"/>
      <c r="JUN743" s="3796"/>
      <c r="JUO743" s="3796"/>
      <c r="JUP743" s="3796"/>
      <c r="JUQ743" s="3796"/>
      <c r="JUR743" s="3796"/>
      <c r="JUS743" s="3796"/>
      <c r="JUT743" s="3796"/>
      <c r="JUU743" s="3796"/>
      <c r="JUV743" s="3796"/>
      <c r="JUW743" s="3796"/>
      <c r="JUX743" s="3796"/>
      <c r="JUY743" s="3796"/>
      <c r="JUZ743" s="3796"/>
      <c r="JVA743" s="3796"/>
      <c r="JVB743" s="3796"/>
      <c r="JVC743" s="3796"/>
      <c r="JVD743" s="3796"/>
      <c r="JVE743" s="3796"/>
      <c r="JVF743" s="3796"/>
      <c r="JVG743" s="3796"/>
      <c r="JVH743" s="3796"/>
      <c r="JVI743" s="3796"/>
      <c r="JVJ743" s="3796"/>
      <c r="JVK743" s="3796"/>
      <c r="JVL743" s="3796"/>
      <c r="JVM743" s="3796"/>
      <c r="JVN743" s="3796"/>
      <c r="JVO743" s="3796"/>
      <c r="JVP743" s="3796"/>
      <c r="JVQ743" s="3796"/>
      <c r="JVR743" s="3796"/>
      <c r="JVS743" s="3796"/>
      <c r="JVT743" s="3796"/>
      <c r="JVU743" s="3796"/>
      <c r="JVV743" s="3796"/>
      <c r="JVW743" s="3796"/>
      <c r="JVX743" s="3796"/>
      <c r="JVY743" s="3796"/>
      <c r="JVZ743" s="3796"/>
      <c r="JWA743" s="3796"/>
      <c r="JWB743" s="3796"/>
      <c r="JWC743" s="3796"/>
      <c r="JWD743" s="3796"/>
      <c r="JWE743" s="3796"/>
      <c r="JWF743" s="3796"/>
      <c r="JWG743" s="3796"/>
      <c r="JWH743" s="3796"/>
      <c r="JWI743" s="3796"/>
      <c r="JWJ743" s="3796"/>
      <c r="JWK743" s="3796"/>
      <c r="JWL743" s="3796"/>
      <c r="JWM743" s="3796"/>
      <c r="JWN743" s="3796"/>
      <c r="JWO743" s="3796"/>
      <c r="JWP743" s="3796"/>
      <c r="JWQ743" s="3796"/>
      <c r="JWR743" s="3796"/>
      <c r="JWS743" s="3796"/>
      <c r="JWT743" s="3796"/>
      <c r="JWU743" s="3796"/>
      <c r="JWV743" s="3796"/>
      <c r="JWW743" s="3796"/>
      <c r="JWX743" s="3796"/>
      <c r="JWY743" s="3796"/>
      <c r="JWZ743" s="3796"/>
      <c r="JXA743" s="3796"/>
      <c r="JXB743" s="3796"/>
      <c r="JXC743" s="3796"/>
      <c r="JXD743" s="3796"/>
      <c r="JXE743" s="3796"/>
      <c r="JXF743" s="3796"/>
      <c r="JXG743" s="3796"/>
      <c r="JXH743" s="3796"/>
      <c r="JXI743" s="3796"/>
      <c r="JXJ743" s="3796"/>
      <c r="JXK743" s="3796"/>
      <c r="JXL743" s="3796"/>
      <c r="JXM743" s="3796"/>
      <c r="JXN743" s="3796"/>
      <c r="JXO743" s="3796"/>
      <c r="JXP743" s="3796"/>
      <c r="JXQ743" s="3796"/>
      <c r="JXR743" s="3796"/>
      <c r="JXS743" s="3796"/>
      <c r="JXT743" s="3796"/>
      <c r="JXU743" s="3796"/>
      <c r="JXV743" s="3796"/>
      <c r="JXW743" s="3796"/>
      <c r="JXX743" s="3796"/>
      <c r="JXY743" s="3796"/>
      <c r="JXZ743" s="3796"/>
      <c r="JYA743" s="3796"/>
      <c r="JYB743" s="3796"/>
      <c r="JYC743" s="3796"/>
      <c r="JYD743" s="3796"/>
      <c r="JYE743" s="3796"/>
      <c r="JYF743" s="3796"/>
      <c r="JYG743" s="3796"/>
      <c r="JYH743" s="3796"/>
      <c r="JYI743" s="3796"/>
      <c r="JYJ743" s="3796"/>
      <c r="JYK743" s="3796"/>
      <c r="JYL743" s="3796"/>
      <c r="JYM743" s="3796"/>
      <c r="JYN743" s="3796"/>
      <c r="JYO743" s="3796"/>
      <c r="JYT743" s="3796"/>
      <c r="JYZ743" s="3796"/>
      <c r="JZA743" s="3796"/>
      <c r="JZB743" s="3796"/>
      <c r="JZF743" s="3796"/>
      <c r="JZM743" s="3796"/>
      <c r="JZN743" s="3796"/>
      <c r="JZO743" s="3796"/>
      <c r="JZP743" s="3796"/>
      <c r="JZQ743" s="3796"/>
      <c r="JZR743" s="3796"/>
      <c r="JZS743" s="3796"/>
      <c r="JZT743" s="3796"/>
      <c r="JZU743" s="3796"/>
      <c r="JZV743" s="3796"/>
      <c r="JZW743" s="3796"/>
      <c r="JZX743" s="3796"/>
      <c r="JZY743" s="3796"/>
      <c r="JZZ743" s="3796"/>
      <c r="KAA743" s="3796"/>
      <c r="KAB743" s="3796"/>
      <c r="KAC743" s="3796"/>
      <c r="KAD743" s="3796"/>
      <c r="KAE743" s="3796"/>
      <c r="KAF743" s="3796"/>
      <c r="KAG743" s="3796"/>
      <c r="KAH743" s="3796"/>
      <c r="KAI743" s="3796"/>
      <c r="KAJ743" s="3796"/>
      <c r="KAK743" s="3796"/>
      <c r="KAL743" s="3796"/>
      <c r="KAM743" s="3796"/>
      <c r="KAN743" s="3796"/>
      <c r="KAO743" s="3796"/>
      <c r="KAP743" s="3796"/>
      <c r="KAQ743" s="3796"/>
      <c r="KAR743" s="3796"/>
      <c r="KAS743" s="3796"/>
      <c r="KAT743" s="3796"/>
      <c r="KAU743" s="3796"/>
      <c r="KAV743" s="3796"/>
      <c r="KAW743" s="3796"/>
      <c r="KAX743" s="3796"/>
      <c r="KAY743" s="3796"/>
      <c r="KAZ743" s="3796"/>
      <c r="KBA743" s="3796"/>
      <c r="KBB743" s="3796"/>
      <c r="KBC743" s="3796"/>
      <c r="KBD743" s="3796"/>
      <c r="KBE743" s="3796"/>
      <c r="KBF743" s="3796"/>
      <c r="KBG743" s="3796"/>
      <c r="KBH743" s="3796"/>
      <c r="KBI743" s="3796"/>
      <c r="KBJ743" s="3796"/>
      <c r="KBK743" s="3796"/>
      <c r="KBL743" s="3796"/>
      <c r="KBM743" s="3796"/>
      <c r="KBN743" s="3796"/>
      <c r="KBO743" s="3796"/>
      <c r="KBP743" s="3796"/>
      <c r="KBQ743" s="3796"/>
      <c r="KBR743" s="3796"/>
      <c r="KBS743" s="3796"/>
      <c r="KBT743" s="3796"/>
      <c r="KBU743" s="3796"/>
      <c r="KBV743" s="3796"/>
      <c r="KBW743" s="3796"/>
      <c r="KBX743" s="3796"/>
      <c r="KBY743" s="3796"/>
      <c r="KBZ743" s="3796"/>
      <c r="KCA743" s="3796"/>
      <c r="KCB743" s="3796"/>
      <c r="KCC743" s="3796"/>
      <c r="KCD743" s="3796"/>
      <c r="KCE743" s="3796"/>
      <c r="KCF743" s="3796"/>
      <c r="KCG743" s="3796"/>
      <c r="KCH743" s="3796"/>
      <c r="KCI743" s="3796"/>
      <c r="KCJ743" s="3796"/>
      <c r="KCK743" s="3796"/>
      <c r="KCL743" s="3796"/>
      <c r="KCM743" s="3796"/>
      <c r="KCN743" s="3796"/>
      <c r="KCO743" s="3796"/>
      <c r="KCP743" s="3796"/>
      <c r="KCQ743" s="3796"/>
      <c r="KCR743" s="3796"/>
      <c r="KCS743" s="3796"/>
      <c r="KCT743" s="3796"/>
      <c r="KCU743" s="3796"/>
      <c r="KCV743" s="3796"/>
      <c r="KCW743" s="3796"/>
      <c r="KCX743" s="3796"/>
      <c r="KCY743" s="3796"/>
      <c r="KCZ743" s="3796"/>
      <c r="KDA743" s="3796"/>
      <c r="KDB743" s="3796"/>
      <c r="KDC743" s="3796"/>
      <c r="KDD743" s="3796"/>
      <c r="KDE743" s="3796"/>
      <c r="KDF743" s="3796"/>
      <c r="KDG743" s="3796"/>
      <c r="KDH743" s="3796"/>
      <c r="KDI743" s="3796"/>
      <c r="KDJ743" s="3796"/>
      <c r="KDK743" s="3796"/>
      <c r="KDL743" s="3796"/>
      <c r="KDM743" s="3796"/>
      <c r="KDN743" s="3796"/>
      <c r="KDO743" s="3796"/>
      <c r="KDP743" s="3796"/>
      <c r="KDQ743" s="3796"/>
      <c r="KDR743" s="3796"/>
      <c r="KDS743" s="3796"/>
      <c r="KDT743" s="3796"/>
      <c r="KDU743" s="3796"/>
      <c r="KDV743" s="3796"/>
      <c r="KDW743" s="3796"/>
      <c r="KDX743" s="3796"/>
      <c r="KDY743" s="3796"/>
      <c r="KDZ743" s="3796"/>
      <c r="KEA743" s="3796"/>
      <c r="KEB743" s="3796"/>
      <c r="KEC743" s="3796"/>
      <c r="KED743" s="3796"/>
      <c r="KEE743" s="3796"/>
      <c r="KEF743" s="3796"/>
      <c r="KEG743" s="3796"/>
      <c r="KEH743" s="3796"/>
      <c r="KEI743" s="3796"/>
      <c r="KEJ743" s="3796"/>
      <c r="KEK743" s="3796"/>
      <c r="KEL743" s="3796"/>
      <c r="KEM743" s="3796"/>
      <c r="KEN743" s="3796"/>
      <c r="KEO743" s="3796"/>
      <c r="KEP743" s="3796"/>
      <c r="KEQ743" s="3796"/>
      <c r="KER743" s="3796"/>
      <c r="KES743" s="3796"/>
      <c r="KET743" s="3796"/>
      <c r="KEU743" s="3796"/>
      <c r="KEV743" s="3796"/>
      <c r="KEW743" s="3796"/>
      <c r="KEX743" s="3796"/>
      <c r="KEY743" s="3796"/>
      <c r="KEZ743" s="3796"/>
      <c r="KFA743" s="3796"/>
      <c r="KFB743" s="3796"/>
      <c r="KFC743" s="3796"/>
      <c r="KFD743" s="3796"/>
      <c r="KFE743" s="3796"/>
      <c r="KFF743" s="3796"/>
      <c r="KFG743" s="3796"/>
      <c r="KFH743" s="3796"/>
      <c r="KFI743" s="3796"/>
      <c r="KFJ743" s="3796"/>
      <c r="KFK743" s="3796"/>
      <c r="KFL743" s="3796"/>
      <c r="KFM743" s="3796"/>
      <c r="KFN743" s="3796"/>
      <c r="KFO743" s="3796"/>
      <c r="KFP743" s="3796"/>
      <c r="KFQ743" s="3796"/>
      <c r="KFR743" s="3796"/>
      <c r="KFS743" s="3796"/>
      <c r="KFT743" s="3796"/>
      <c r="KFU743" s="3796"/>
      <c r="KFV743" s="3796"/>
      <c r="KFW743" s="3796"/>
      <c r="KFX743" s="3796"/>
      <c r="KFY743" s="3796"/>
      <c r="KFZ743" s="3796"/>
      <c r="KGA743" s="3796"/>
      <c r="KGB743" s="3796"/>
      <c r="KGC743" s="3796"/>
      <c r="KGD743" s="3796"/>
      <c r="KGE743" s="3796"/>
      <c r="KGF743" s="3796"/>
      <c r="KGG743" s="3796"/>
      <c r="KGH743" s="3796"/>
      <c r="KGI743" s="3796"/>
      <c r="KGJ743" s="3796"/>
      <c r="KGK743" s="3796"/>
      <c r="KGL743" s="3796"/>
      <c r="KGM743" s="3796"/>
      <c r="KGN743" s="3796"/>
      <c r="KGO743" s="3796"/>
      <c r="KGP743" s="3796"/>
      <c r="KGQ743" s="3796"/>
      <c r="KGR743" s="3796"/>
      <c r="KGS743" s="3796"/>
      <c r="KGT743" s="3796"/>
      <c r="KGU743" s="3796"/>
      <c r="KGV743" s="3796"/>
      <c r="KGW743" s="3796"/>
      <c r="KGX743" s="3796"/>
      <c r="KGY743" s="3796"/>
      <c r="KGZ743" s="3796"/>
      <c r="KHA743" s="3796"/>
      <c r="KHB743" s="3796"/>
      <c r="KHC743" s="3796"/>
      <c r="KHD743" s="3796"/>
      <c r="KHE743" s="3796"/>
      <c r="KHF743" s="3796"/>
      <c r="KHG743" s="3796"/>
      <c r="KHH743" s="3796"/>
      <c r="KHI743" s="3796"/>
      <c r="KHJ743" s="3796"/>
      <c r="KHK743" s="3796"/>
      <c r="KHL743" s="3796"/>
      <c r="KHM743" s="3796"/>
      <c r="KHN743" s="3796"/>
      <c r="KHO743" s="3796"/>
      <c r="KHP743" s="3796"/>
      <c r="KHQ743" s="3796"/>
      <c r="KHR743" s="3796"/>
      <c r="KHS743" s="3796"/>
      <c r="KHT743" s="3796"/>
      <c r="KHU743" s="3796"/>
      <c r="KHV743" s="3796"/>
      <c r="KHW743" s="3796"/>
      <c r="KHX743" s="3796"/>
      <c r="KHY743" s="3796"/>
      <c r="KHZ743" s="3796"/>
      <c r="KIA743" s="3796"/>
      <c r="KIB743" s="3796"/>
      <c r="KIC743" s="3796"/>
      <c r="KID743" s="3796"/>
      <c r="KIE743" s="3796"/>
      <c r="KIF743" s="3796"/>
      <c r="KIG743" s="3796"/>
      <c r="KIH743" s="3796"/>
      <c r="KII743" s="3796"/>
      <c r="KIJ743" s="3796"/>
      <c r="KIK743" s="3796"/>
      <c r="KIP743" s="3796"/>
      <c r="KIV743" s="3796"/>
      <c r="KIW743" s="3796"/>
      <c r="KIX743" s="3796"/>
      <c r="KJB743" s="3796"/>
      <c r="KJI743" s="3796"/>
      <c r="KJJ743" s="3796"/>
      <c r="KJK743" s="3796"/>
      <c r="KJL743" s="3796"/>
      <c r="KJM743" s="3796"/>
      <c r="KJN743" s="3796"/>
      <c r="KJO743" s="3796"/>
      <c r="KJP743" s="3796"/>
      <c r="KJQ743" s="3796"/>
      <c r="KJR743" s="3796"/>
      <c r="KJS743" s="3796"/>
      <c r="KJT743" s="3796"/>
      <c r="KJU743" s="3796"/>
      <c r="KJV743" s="3796"/>
      <c r="KJW743" s="3796"/>
      <c r="KJX743" s="3796"/>
      <c r="KJY743" s="3796"/>
      <c r="KJZ743" s="3796"/>
      <c r="KKA743" s="3796"/>
      <c r="KKB743" s="3796"/>
      <c r="KKC743" s="3796"/>
      <c r="KKD743" s="3796"/>
      <c r="KKE743" s="3796"/>
      <c r="KKF743" s="3796"/>
      <c r="KKG743" s="3796"/>
      <c r="KKH743" s="3796"/>
      <c r="KKI743" s="3796"/>
      <c r="KKJ743" s="3796"/>
      <c r="KKK743" s="3796"/>
      <c r="KKL743" s="3796"/>
      <c r="KKM743" s="3796"/>
      <c r="KKN743" s="3796"/>
      <c r="KKO743" s="3796"/>
      <c r="KKP743" s="3796"/>
      <c r="KKQ743" s="3796"/>
      <c r="KKR743" s="3796"/>
      <c r="KKS743" s="3796"/>
      <c r="KKT743" s="3796"/>
      <c r="KKU743" s="3796"/>
      <c r="KKV743" s="3796"/>
      <c r="KKW743" s="3796"/>
      <c r="KKX743" s="3796"/>
      <c r="KKY743" s="3796"/>
      <c r="KKZ743" s="3796"/>
      <c r="KLA743" s="3796"/>
      <c r="KLB743" s="3796"/>
      <c r="KLC743" s="3796"/>
      <c r="KLD743" s="3796"/>
      <c r="KLE743" s="3796"/>
      <c r="KLF743" s="3796"/>
      <c r="KLG743" s="3796"/>
      <c r="KLH743" s="3796"/>
      <c r="KLI743" s="3796"/>
      <c r="KLJ743" s="3796"/>
      <c r="KLK743" s="3796"/>
      <c r="KLL743" s="3796"/>
      <c r="KLM743" s="3796"/>
      <c r="KLN743" s="3796"/>
      <c r="KLO743" s="3796"/>
      <c r="KLP743" s="3796"/>
      <c r="KLQ743" s="3796"/>
      <c r="KLR743" s="3796"/>
      <c r="KLS743" s="3796"/>
      <c r="KLT743" s="3796"/>
      <c r="KLU743" s="3796"/>
      <c r="KLV743" s="3796"/>
      <c r="KLW743" s="3796"/>
      <c r="KLX743" s="3796"/>
      <c r="KLY743" s="3796"/>
      <c r="KLZ743" s="3796"/>
      <c r="KMA743" s="3796"/>
      <c r="KMB743" s="3796"/>
      <c r="KMC743" s="3796"/>
      <c r="KMD743" s="3796"/>
      <c r="KME743" s="3796"/>
      <c r="KMF743" s="3796"/>
      <c r="KMG743" s="3796"/>
      <c r="KMH743" s="3796"/>
      <c r="KMI743" s="3796"/>
      <c r="KMJ743" s="3796"/>
      <c r="KMK743" s="3796"/>
      <c r="KML743" s="3796"/>
      <c r="KMM743" s="3796"/>
      <c r="KMN743" s="3796"/>
      <c r="KMO743" s="3796"/>
      <c r="KMP743" s="3796"/>
      <c r="KMQ743" s="3796"/>
      <c r="KMR743" s="3796"/>
      <c r="KMS743" s="3796"/>
      <c r="KMT743" s="3796"/>
      <c r="KMU743" s="3796"/>
      <c r="KMV743" s="3796"/>
      <c r="KMW743" s="3796"/>
      <c r="KMX743" s="3796"/>
      <c r="KMY743" s="3796"/>
      <c r="KMZ743" s="3796"/>
      <c r="KNA743" s="3796"/>
      <c r="KNB743" s="3796"/>
      <c r="KNC743" s="3796"/>
      <c r="KND743" s="3796"/>
      <c r="KNE743" s="3796"/>
      <c r="KNF743" s="3796"/>
      <c r="KNG743" s="3796"/>
      <c r="KNH743" s="3796"/>
      <c r="KNI743" s="3796"/>
      <c r="KNJ743" s="3796"/>
      <c r="KNK743" s="3796"/>
      <c r="KNL743" s="3796"/>
      <c r="KNM743" s="3796"/>
      <c r="KNN743" s="3796"/>
      <c r="KNO743" s="3796"/>
      <c r="KNP743" s="3796"/>
      <c r="KNQ743" s="3796"/>
      <c r="KNR743" s="3796"/>
      <c r="KNS743" s="3796"/>
      <c r="KNT743" s="3796"/>
      <c r="KNU743" s="3796"/>
      <c r="KNV743" s="3796"/>
      <c r="KNW743" s="3796"/>
      <c r="KNX743" s="3796"/>
      <c r="KNY743" s="3796"/>
      <c r="KNZ743" s="3796"/>
      <c r="KOA743" s="3796"/>
      <c r="KOB743" s="3796"/>
      <c r="KOC743" s="3796"/>
      <c r="KOD743" s="3796"/>
      <c r="KOE743" s="3796"/>
      <c r="KOF743" s="3796"/>
      <c r="KOG743" s="3796"/>
      <c r="KOH743" s="3796"/>
      <c r="KOI743" s="3796"/>
      <c r="KOJ743" s="3796"/>
      <c r="KOK743" s="3796"/>
      <c r="KOL743" s="3796"/>
      <c r="KOM743" s="3796"/>
      <c r="KON743" s="3796"/>
      <c r="KOO743" s="3796"/>
      <c r="KOP743" s="3796"/>
      <c r="KOQ743" s="3796"/>
      <c r="KOR743" s="3796"/>
      <c r="KOS743" s="3796"/>
      <c r="KOT743" s="3796"/>
      <c r="KOU743" s="3796"/>
      <c r="KOV743" s="3796"/>
      <c r="KOW743" s="3796"/>
      <c r="KOX743" s="3796"/>
      <c r="KOY743" s="3796"/>
      <c r="KOZ743" s="3796"/>
      <c r="KPA743" s="3796"/>
      <c r="KPB743" s="3796"/>
      <c r="KPC743" s="3796"/>
      <c r="KPD743" s="3796"/>
      <c r="KPE743" s="3796"/>
      <c r="KPF743" s="3796"/>
      <c r="KPG743" s="3796"/>
      <c r="KPH743" s="3796"/>
      <c r="KPI743" s="3796"/>
      <c r="KPJ743" s="3796"/>
      <c r="KPK743" s="3796"/>
      <c r="KPL743" s="3796"/>
      <c r="KPM743" s="3796"/>
      <c r="KPN743" s="3796"/>
      <c r="KPO743" s="3796"/>
      <c r="KPP743" s="3796"/>
      <c r="KPQ743" s="3796"/>
      <c r="KPR743" s="3796"/>
      <c r="KPS743" s="3796"/>
      <c r="KPT743" s="3796"/>
      <c r="KPU743" s="3796"/>
      <c r="KPV743" s="3796"/>
      <c r="KPW743" s="3796"/>
      <c r="KPX743" s="3796"/>
      <c r="KPY743" s="3796"/>
      <c r="KPZ743" s="3796"/>
      <c r="KQA743" s="3796"/>
      <c r="KQB743" s="3796"/>
      <c r="KQC743" s="3796"/>
      <c r="KQD743" s="3796"/>
      <c r="KQE743" s="3796"/>
      <c r="KQF743" s="3796"/>
      <c r="KQG743" s="3796"/>
      <c r="KQH743" s="3796"/>
      <c r="KQI743" s="3796"/>
      <c r="KQJ743" s="3796"/>
      <c r="KQK743" s="3796"/>
      <c r="KQL743" s="3796"/>
      <c r="KQM743" s="3796"/>
      <c r="KQN743" s="3796"/>
      <c r="KQO743" s="3796"/>
      <c r="KQP743" s="3796"/>
      <c r="KQQ743" s="3796"/>
      <c r="KQR743" s="3796"/>
      <c r="KQS743" s="3796"/>
      <c r="KQT743" s="3796"/>
      <c r="KQU743" s="3796"/>
      <c r="KQV743" s="3796"/>
      <c r="KQW743" s="3796"/>
      <c r="KQX743" s="3796"/>
      <c r="KQY743" s="3796"/>
      <c r="KQZ743" s="3796"/>
      <c r="KRA743" s="3796"/>
      <c r="KRB743" s="3796"/>
      <c r="KRC743" s="3796"/>
      <c r="KRD743" s="3796"/>
      <c r="KRE743" s="3796"/>
      <c r="KRF743" s="3796"/>
      <c r="KRG743" s="3796"/>
      <c r="KRH743" s="3796"/>
      <c r="KRI743" s="3796"/>
      <c r="KRJ743" s="3796"/>
      <c r="KRK743" s="3796"/>
      <c r="KRL743" s="3796"/>
      <c r="KRM743" s="3796"/>
      <c r="KRN743" s="3796"/>
      <c r="KRO743" s="3796"/>
      <c r="KRP743" s="3796"/>
      <c r="KRQ743" s="3796"/>
      <c r="KRR743" s="3796"/>
      <c r="KRS743" s="3796"/>
      <c r="KRT743" s="3796"/>
      <c r="KRU743" s="3796"/>
      <c r="KRV743" s="3796"/>
      <c r="KRW743" s="3796"/>
      <c r="KRX743" s="3796"/>
      <c r="KRY743" s="3796"/>
      <c r="KRZ743" s="3796"/>
      <c r="KSA743" s="3796"/>
      <c r="KSB743" s="3796"/>
      <c r="KSC743" s="3796"/>
      <c r="KSD743" s="3796"/>
      <c r="KSE743" s="3796"/>
      <c r="KSF743" s="3796"/>
      <c r="KSG743" s="3796"/>
      <c r="KSL743" s="3796"/>
      <c r="KSR743" s="3796"/>
      <c r="KSS743" s="3796"/>
      <c r="KST743" s="3796"/>
      <c r="KSX743" s="3796"/>
      <c r="KTE743" s="3796"/>
      <c r="KTF743" s="3796"/>
      <c r="KTG743" s="3796"/>
      <c r="KTH743" s="3796"/>
      <c r="KTI743" s="3796"/>
      <c r="KTJ743" s="3796"/>
      <c r="KTK743" s="3796"/>
      <c r="KTL743" s="3796"/>
      <c r="KTM743" s="3796"/>
      <c r="KTN743" s="3796"/>
      <c r="KTO743" s="3796"/>
      <c r="KTP743" s="3796"/>
      <c r="KTQ743" s="3796"/>
      <c r="KTR743" s="3796"/>
      <c r="KTS743" s="3796"/>
      <c r="KTT743" s="3796"/>
      <c r="KTU743" s="3796"/>
      <c r="KTV743" s="3796"/>
      <c r="KTW743" s="3796"/>
      <c r="KTX743" s="3796"/>
      <c r="KTY743" s="3796"/>
      <c r="KTZ743" s="3796"/>
      <c r="KUA743" s="3796"/>
      <c r="KUB743" s="3796"/>
      <c r="KUC743" s="3796"/>
      <c r="KUD743" s="3796"/>
      <c r="KUE743" s="3796"/>
      <c r="KUF743" s="3796"/>
      <c r="KUG743" s="3796"/>
      <c r="KUH743" s="3796"/>
      <c r="KUI743" s="3796"/>
      <c r="KUJ743" s="3796"/>
      <c r="KUK743" s="3796"/>
      <c r="KUL743" s="3796"/>
      <c r="KUM743" s="3796"/>
      <c r="KUN743" s="3796"/>
      <c r="KUO743" s="3796"/>
      <c r="KUP743" s="3796"/>
      <c r="KUQ743" s="3796"/>
      <c r="KUR743" s="3796"/>
      <c r="KUS743" s="3796"/>
      <c r="KUT743" s="3796"/>
      <c r="KUU743" s="3796"/>
      <c r="KUV743" s="3796"/>
      <c r="KUW743" s="3796"/>
      <c r="KUX743" s="3796"/>
      <c r="KUY743" s="3796"/>
      <c r="KUZ743" s="3796"/>
      <c r="KVA743" s="3796"/>
      <c r="KVB743" s="3796"/>
      <c r="KVC743" s="3796"/>
      <c r="KVD743" s="3796"/>
      <c r="KVE743" s="3796"/>
      <c r="KVF743" s="3796"/>
      <c r="KVG743" s="3796"/>
      <c r="KVH743" s="3796"/>
      <c r="KVI743" s="3796"/>
      <c r="KVJ743" s="3796"/>
      <c r="KVK743" s="3796"/>
      <c r="KVL743" s="3796"/>
      <c r="KVM743" s="3796"/>
      <c r="KVN743" s="3796"/>
      <c r="KVO743" s="3796"/>
      <c r="KVP743" s="3796"/>
      <c r="KVQ743" s="3796"/>
      <c r="KVR743" s="3796"/>
      <c r="KVS743" s="3796"/>
      <c r="KVT743" s="3796"/>
      <c r="KVU743" s="3796"/>
      <c r="KVV743" s="3796"/>
      <c r="KVW743" s="3796"/>
      <c r="KVX743" s="3796"/>
      <c r="KVY743" s="3796"/>
      <c r="KVZ743" s="3796"/>
      <c r="KWA743" s="3796"/>
      <c r="KWB743" s="3796"/>
      <c r="KWC743" s="3796"/>
      <c r="KWD743" s="3796"/>
      <c r="KWE743" s="3796"/>
      <c r="KWF743" s="3796"/>
      <c r="KWG743" s="3796"/>
      <c r="KWH743" s="3796"/>
      <c r="KWI743" s="3796"/>
      <c r="KWJ743" s="3796"/>
      <c r="KWK743" s="3796"/>
      <c r="KWL743" s="3796"/>
      <c r="KWM743" s="3796"/>
      <c r="KWN743" s="3796"/>
      <c r="KWO743" s="3796"/>
      <c r="KWP743" s="3796"/>
      <c r="KWQ743" s="3796"/>
      <c r="KWR743" s="3796"/>
      <c r="KWS743" s="3796"/>
      <c r="KWT743" s="3796"/>
      <c r="KWU743" s="3796"/>
      <c r="KWV743" s="3796"/>
      <c r="KWW743" s="3796"/>
      <c r="KWX743" s="3796"/>
      <c r="KWY743" s="3796"/>
      <c r="KWZ743" s="3796"/>
      <c r="KXA743" s="3796"/>
      <c r="KXB743" s="3796"/>
      <c r="KXC743" s="3796"/>
      <c r="KXD743" s="3796"/>
      <c r="KXE743" s="3796"/>
      <c r="KXF743" s="3796"/>
      <c r="KXG743" s="3796"/>
      <c r="KXH743" s="3796"/>
      <c r="KXI743" s="3796"/>
      <c r="KXJ743" s="3796"/>
      <c r="KXK743" s="3796"/>
      <c r="KXL743" s="3796"/>
      <c r="KXM743" s="3796"/>
      <c r="KXN743" s="3796"/>
      <c r="KXO743" s="3796"/>
      <c r="KXP743" s="3796"/>
      <c r="KXQ743" s="3796"/>
      <c r="KXR743" s="3796"/>
      <c r="KXS743" s="3796"/>
      <c r="KXT743" s="3796"/>
      <c r="KXU743" s="3796"/>
      <c r="KXV743" s="3796"/>
      <c r="KXW743" s="3796"/>
      <c r="KXX743" s="3796"/>
      <c r="KXY743" s="3796"/>
      <c r="KXZ743" s="3796"/>
      <c r="KYA743" s="3796"/>
      <c r="KYB743" s="3796"/>
      <c r="KYC743" s="3796"/>
      <c r="KYD743" s="3796"/>
      <c r="KYE743" s="3796"/>
      <c r="KYF743" s="3796"/>
      <c r="KYG743" s="3796"/>
      <c r="KYH743" s="3796"/>
      <c r="KYI743" s="3796"/>
      <c r="KYJ743" s="3796"/>
      <c r="KYK743" s="3796"/>
      <c r="KYL743" s="3796"/>
      <c r="KYM743" s="3796"/>
      <c r="KYN743" s="3796"/>
      <c r="KYO743" s="3796"/>
      <c r="KYP743" s="3796"/>
      <c r="KYQ743" s="3796"/>
      <c r="KYR743" s="3796"/>
      <c r="KYS743" s="3796"/>
      <c r="KYT743" s="3796"/>
      <c r="KYU743" s="3796"/>
      <c r="KYV743" s="3796"/>
      <c r="KYW743" s="3796"/>
      <c r="KYX743" s="3796"/>
      <c r="KYY743" s="3796"/>
      <c r="KYZ743" s="3796"/>
      <c r="KZA743" s="3796"/>
      <c r="KZB743" s="3796"/>
      <c r="KZC743" s="3796"/>
      <c r="KZD743" s="3796"/>
      <c r="KZE743" s="3796"/>
      <c r="KZF743" s="3796"/>
      <c r="KZG743" s="3796"/>
      <c r="KZH743" s="3796"/>
      <c r="KZI743" s="3796"/>
      <c r="KZJ743" s="3796"/>
      <c r="KZK743" s="3796"/>
      <c r="KZL743" s="3796"/>
      <c r="KZM743" s="3796"/>
      <c r="KZN743" s="3796"/>
      <c r="KZO743" s="3796"/>
      <c r="KZP743" s="3796"/>
      <c r="KZQ743" s="3796"/>
      <c r="KZR743" s="3796"/>
      <c r="KZS743" s="3796"/>
      <c r="KZT743" s="3796"/>
      <c r="KZU743" s="3796"/>
      <c r="KZV743" s="3796"/>
      <c r="KZW743" s="3796"/>
      <c r="KZX743" s="3796"/>
      <c r="KZY743" s="3796"/>
      <c r="KZZ743" s="3796"/>
      <c r="LAA743" s="3796"/>
      <c r="LAB743" s="3796"/>
      <c r="LAC743" s="3796"/>
      <c r="LAD743" s="3796"/>
      <c r="LAE743" s="3796"/>
      <c r="LAF743" s="3796"/>
      <c r="LAG743" s="3796"/>
      <c r="LAH743" s="3796"/>
      <c r="LAI743" s="3796"/>
      <c r="LAJ743" s="3796"/>
      <c r="LAK743" s="3796"/>
      <c r="LAL743" s="3796"/>
      <c r="LAM743" s="3796"/>
      <c r="LAN743" s="3796"/>
      <c r="LAO743" s="3796"/>
      <c r="LAP743" s="3796"/>
      <c r="LAQ743" s="3796"/>
      <c r="LAR743" s="3796"/>
      <c r="LAS743" s="3796"/>
      <c r="LAT743" s="3796"/>
      <c r="LAU743" s="3796"/>
      <c r="LAV743" s="3796"/>
      <c r="LAW743" s="3796"/>
      <c r="LAX743" s="3796"/>
      <c r="LAY743" s="3796"/>
      <c r="LAZ743" s="3796"/>
      <c r="LBA743" s="3796"/>
      <c r="LBB743" s="3796"/>
      <c r="LBC743" s="3796"/>
      <c r="LBD743" s="3796"/>
      <c r="LBE743" s="3796"/>
      <c r="LBF743" s="3796"/>
      <c r="LBG743" s="3796"/>
      <c r="LBH743" s="3796"/>
      <c r="LBI743" s="3796"/>
      <c r="LBJ743" s="3796"/>
      <c r="LBK743" s="3796"/>
      <c r="LBL743" s="3796"/>
      <c r="LBM743" s="3796"/>
      <c r="LBN743" s="3796"/>
      <c r="LBO743" s="3796"/>
      <c r="LBP743" s="3796"/>
      <c r="LBQ743" s="3796"/>
      <c r="LBR743" s="3796"/>
      <c r="LBS743" s="3796"/>
      <c r="LBT743" s="3796"/>
      <c r="LBU743" s="3796"/>
      <c r="LBV743" s="3796"/>
      <c r="LBW743" s="3796"/>
      <c r="LBX743" s="3796"/>
      <c r="LBY743" s="3796"/>
      <c r="LBZ743" s="3796"/>
      <c r="LCA743" s="3796"/>
      <c r="LCB743" s="3796"/>
      <c r="LCC743" s="3796"/>
      <c r="LCH743" s="3796"/>
      <c r="LCN743" s="3796"/>
      <c r="LCO743" s="3796"/>
      <c r="LCP743" s="3796"/>
      <c r="LCT743" s="3796"/>
      <c r="LDA743" s="3796"/>
      <c r="LDB743" s="3796"/>
      <c r="LDC743" s="3796"/>
      <c r="LDD743" s="3796"/>
      <c r="LDE743" s="3796"/>
      <c r="LDF743" s="3796"/>
      <c r="LDG743" s="3796"/>
      <c r="LDH743" s="3796"/>
      <c r="LDI743" s="3796"/>
      <c r="LDJ743" s="3796"/>
      <c r="LDK743" s="3796"/>
      <c r="LDL743" s="3796"/>
      <c r="LDM743" s="3796"/>
      <c r="LDN743" s="3796"/>
      <c r="LDO743" s="3796"/>
      <c r="LDP743" s="3796"/>
      <c r="LDQ743" s="3796"/>
      <c r="LDR743" s="3796"/>
      <c r="LDS743" s="3796"/>
      <c r="LDT743" s="3796"/>
      <c r="LDU743" s="3796"/>
      <c r="LDV743" s="3796"/>
      <c r="LDW743" s="3796"/>
      <c r="LDX743" s="3796"/>
      <c r="LDY743" s="3796"/>
      <c r="LDZ743" s="3796"/>
      <c r="LEA743" s="3796"/>
      <c r="LEB743" s="3796"/>
      <c r="LEC743" s="3796"/>
      <c r="LED743" s="3796"/>
      <c r="LEE743" s="3796"/>
      <c r="LEF743" s="3796"/>
      <c r="LEG743" s="3796"/>
      <c r="LEH743" s="3796"/>
      <c r="LEI743" s="3796"/>
      <c r="LEJ743" s="3796"/>
      <c r="LEK743" s="3796"/>
      <c r="LEL743" s="3796"/>
      <c r="LEM743" s="3796"/>
      <c r="LEN743" s="3796"/>
      <c r="LEO743" s="3796"/>
      <c r="LEP743" s="3796"/>
      <c r="LEQ743" s="3796"/>
      <c r="LER743" s="3796"/>
      <c r="LES743" s="3796"/>
      <c r="LET743" s="3796"/>
      <c r="LEU743" s="3796"/>
      <c r="LEV743" s="3796"/>
      <c r="LEW743" s="3796"/>
      <c r="LEX743" s="3796"/>
      <c r="LEY743" s="3796"/>
      <c r="LEZ743" s="3796"/>
      <c r="LFA743" s="3796"/>
      <c r="LFB743" s="3796"/>
      <c r="LFC743" s="3796"/>
      <c r="LFD743" s="3796"/>
      <c r="LFE743" s="3796"/>
      <c r="LFF743" s="3796"/>
      <c r="LFG743" s="3796"/>
      <c r="LFH743" s="3796"/>
      <c r="LFI743" s="3796"/>
      <c r="LFJ743" s="3796"/>
      <c r="LFK743" s="3796"/>
      <c r="LFL743" s="3796"/>
      <c r="LFM743" s="3796"/>
      <c r="LFN743" s="3796"/>
      <c r="LFO743" s="3796"/>
      <c r="LFP743" s="3796"/>
      <c r="LFQ743" s="3796"/>
      <c r="LFR743" s="3796"/>
      <c r="LFS743" s="3796"/>
      <c r="LFT743" s="3796"/>
      <c r="LFU743" s="3796"/>
      <c r="LFV743" s="3796"/>
      <c r="LFW743" s="3796"/>
      <c r="LFX743" s="3796"/>
      <c r="LFY743" s="3796"/>
      <c r="LFZ743" s="3796"/>
      <c r="LGA743" s="3796"/>
      <c r="LGB743" s="3796"/>
      <c r="LGC743" s="3796"/>
      <c r="LGD743" s="3796"/>
      <c r="LGE743" s="3796"/>
      <c r="LGF743" s="3796"/>
      <c r="LGG743" s="3796"/>
      <c r="LGH743" s="3796"/>
      <c r="LGI743" s="3796"/>
      <c r="LGJ743" s="3796"/>
      <c r="LGK743" s="3796"/>
      <c r="LGL743" s="3796"/>
      <c r="LGM743" s="3796"/>
      <c r="LGN743" s="3796"/>
      <c r="LGO743" s="3796"/>
      <c r="LGP743" s="3796"/>
      <c r="LGQ743" s="3796"/>
      <c r="LGR743" s="3796"/>
      <c r="LGS743" s="3796"/>
      <c r="LGT743" s="3796"/>
      <c r="LGU743" s="3796"/>
      <c r="LGV743" s="3796"/>
      <c r="LGW743" s="3796"/>
      <c r="LGX743" s="3796"/>
      <c r="LGY743" s="3796"/>
      <c r="LGZ743" s="3796"/>
      <c r="LHA743" s="3796"/>
      <c r="LHB743" s="3796"/>
      <c r="LHC743" s="3796"/>
      <c r="LHD743" s="3796"/>
      <c r="LHE743" s="3796"/>
      <c r="LHF743" s="3796"/>
      <c r="LHG743" s="3796"/>
      <c r="LHH743" s="3796"/>
      <c r="LHI743" s="3796"/>
      <c r="LHJ743" s="3796"/>
      <c r="LHK743" s="3796"/>
      <c r="LHL743" s="3796"/>
      <c r="LHM743" s="3796"/>
      <c r="LHN743" s="3796"/>
      <c r="LHO743" s="3796"/>
      <c r="LHP743" s="3796"/>
      <c r="LHQ743" s="3796"/>
      <c r="LHR743" s="3796"/>
      <c r="LHS743" s="3796"/>
      <c r="LHT743" s="3796"/>
      <c r="LHU743" s="3796"/>
      <c r="LHV743" s="3796"/>
      <c r="LHW743" s="3796"/>
      <c r="LHX743" s="3796"/>
      <c r="LHY743" s="3796"/>
      <c r="LHZ743" s="3796"/>
      <c r="LIA743" s="3796"/>
      <c r="LIB743" s="3796"/>
      <c r="LIC743" s="3796"/>
      <c r="LID743" s="3796"/>
      <c r="LIE743" s="3796"/>
      <c r="LIF743" s="3796"/>
      <c r="LIG743" s="3796"/>
      <c r="LIH743" s="3796"/>
      <c r="LII743" s="3796"/>
      <c r="LIJ743" s="3796"/>
      <c r="LIK743" s="3796"/>
      <c r="LIL743" s="3796"/>
      <c r="LIM743" s="3796"/>
      <c r="LIN743" s="3796"/>
      <c r="LIO743" s="3796"/>
      <c r="LIP743" s="3796"/>
      <c r="LIQ743" s="3796"/>
      <c r="LIR743" s="3796"/>
      <c r="LIS743" s="3796"/>
      <c r="LIT743" s="3796"/>
      <c r="LIU743" s="3796"/>
      <c r="LIV743" s="3796"/>
      <c r="LIW743" s="3796"/>
      <c r="LIX743" s="3796"/>
      <c r="LIY743" s="3796"/>
      <c r="LIZ743" s="3796"/>
      <c r="LJA743" s="3796"/>
      <c r="LJB743" s="3796"/>
      <c r="LJC743" s="3796"/>
      <c r="LJD743" s="3796"/>
      <c r="LJE743" s="3796"/>
      <c r="LJF743" s="3796"/>
      <c r="LJG743" s="3796"/>
      <c r="LJH743" s="3796"/>
      <c r="LJI743" s="3796"/>
      <c r="LJJ743" s="3796"/>
      <c r="LJK743" s="3796"/>
      <c r="LJL743" s="3796"/>
      <c r="LJM743" s="3796"/>
      <c r="LJN743" s="3796"/>
      <c r="LJO743" s="3796"/>
      <c r="LJP743" s="3796"/>
      <c r="LJQ743" s="3796"/>
      <c r="LJR743" s="3796"/>
      <c r="LJS743" s="3796"/>
      <c r="LJT743" s="3796"/>
      <c r="LJU743" s="3796"/>
      <c r="LJV743" s="3796"/>
      <c r="LJW743" s="3796"/>
      <c r="LJX743" s="3796"/>
      <c r="LJY743" s="3796"/>
      <c r="LJZ743" s="3796"/>
      <c r="LKA743" s="3796"/>
      <c r="LKB743" s="3796"/>
      <c r="LKC743" s="3796"/>
      <c r="LKD743" s="3796"/>
      <c r="LKE743" s="3796"/>
      <c r="LKF743" s="3796"/>
      <c r="LKG743" s="3796"/>
      <c r="LKH743" s="3796"/>
      <c r="LKI743" s="3796"/>
      <c r="LKJ743" s="3796"/>
      <c r="LKK743" s="3796"/>
      <c r="LKL743" s="3796"/>
      <c r="LKM743" s="3796"/>
      <c r="LKN743" s="3796"/>
      <c r="LKO743" s="3796"/>
      <c r="LKP743" s="3796"/>
      <c r="LKQ743" s="3796"/>
      <c r="LKR743" s="3796"/>
      <c r="LKS743" s="3796"/>
      <c r="LKT743" s="3796"/>
      <c r="LKU743" s="3796"/>
      <c r="LKV743" s="3796"/>
      <c r="LKW743" s="3796"/>
      <c r="LKX743" s="3796"/>
      <c r="LKY743" s="3796"/>
      <c r="LKZ743" s="3796"/>
      <c r="LLA743" s="3796"/>
      <c r="LLB743" s="3796"/>
      <c r="LLC743" s="3796"/>
      <c r="LLD743" s="3796"/>
      <c r="LLE743" s="3796"/>
      <c r="LLF743" s="3796"/>
      <c r="LLG743" s="3796"/>
      <c r="LLH743" s="3796"/>
      <c r="LLI743" s="3796"/>
      <c r="LLJ743" s="3796"/>
      <c r="LLK743" s="3796"/>
      <c r="LLL743" s="3796"/>
      <c r="LLM743" s="3796"/>
      <c r="LLN743" s="3796"/>
      <c r="LLO743" s="3796"/>
      <c r="LLP743" s="3796"/>
      <c r="LLQ743" s="3796"/>
      <c r="LLR743" s="3796"/>
      <c r="LLS743" s="3796"/>
      <c r="LLT743" s="3796"/>
      <c r="LLU743" s="3796"/>
      <c r="LLV743" s="3796"/>
      <c r="LLW743" s="3796"/>
      <c r="LLX743" s="3796"/>
      <c r="LLY743" s="3796"/>
      <c r="LMD743" s="3796"/>
      <c r="LMJ743" s="3796"/>
      <c r="LMK743" s="3796"/>
      <c r="LML743" s="3796"/>
      <c r="LMP743" s="3796"/>
      <c r="LMW743" s="3796"/>
      <c r="LMX743" s="3796"/>
      <c r="LMY743" s="3796"/>
      <c r="LMZ743" s="3796"/>
      <c r="LNA743" s="3796"/>
      <c r="LNB743" s="3796"/>
      <c r="LNC743" s="3796"/>
      <c r="LND743" s="3796"/>
      <c r="LNE743" s="3796"/>
      <c r="LNF743" s="3796"/>
      <c r="LNG743" s="3796"/>
      <c r="LNH743" s="3796"/>
      <c r="LNI743" s="3796"/>
      <c r="LNJ743" s="3796"/>
      <c r="LNK743" s="3796"/>
      <c r="LNL743" s="3796"/>
      <c r="LNM743" s="3796"/>
      <c r="LNN743" s="3796"/>
      <c r="LNO743" s="3796"/>
      <c r="LNP743" s="3796"/>
      <c r="LNQ743" s="3796"/>
      <c r="LNR743" s="3796"/>
      <c r="LNS743" s="3796"/>
      <c r="LNT743" s="3796"/>
      <c r="LNU743" s="3796"/>
      <c r="LNV743" s="3796"/>
      <c r="LNW743" s="3796"/>
      <c r="LNX743" s="3796"/>
      <c r="LNY743" s="3796"/>
      <c r="LNZ743" s="3796"/>
      <c r="LOA743" s="3796"/>
      <c r="LOB743" s="3796"/>
      <c r="LOC743" s="3796"/>
      <c r="LOD743" s="3796"/>
      <c r="LOE743" s="3796"/>
      <c r="LOF743" s="3796"/>
      <c r="LOG743" s="3796"/>
      <c r="LOH743" s="3796"/>
      <c r="LOI743" s="3796"/>
      <c r="LOJ743" s="3796"/>
      <c r="LOK743" s="3796"/>
      <c r="LOL743" s="3796"/>
      <c r="LOM743" s="3796"/>
      <c r="LON743" s="3796"/>
      <c r="LOO743" s="3796"/>
      <c r="LOP743" s="3796"/>
      <c r="LOQ743" s="3796"/>
      <c r="LOR743" s="3796"/>
      <c r="LOS743" s="3796"/>
      <c r="LOT743" s="3796"/>
      <c r="LOU743" s="3796"/>
      <c r="LOV743" s="3796"/>
      <c r="LOW743" s="3796"/>
      <c r="LOX743" s="3796"/>
      <c r="LOY743" s="3796"/>
      <c r="LOZ743" s="3796"/>
      <c r="LPA743" s="3796"/>
      <c r="LPB743" s="3796"/>
      <c r="LPC743" s="3796"/>
      <c r="LPD743" s="3796"/>
      <c r="LPE743" s="3796"/>
      <c r="LPF743" s="3796"/>
      <c r="LPG743" s="3796"/>
      <c r="LPH743" s="3796"/>
      <c r="LPI743" s="3796"/>
      <c r="LPJ743" s="3796"/>
      <c r="LPK743" s="3796"/>
      <c r="LPL743" s="3796"/>
      <c r="LPM743" s="3796"/>
      <c r="LPN743" s="3796"/>
      <c r="LPO743" s="3796"/>
      <c r="LPP743" s="3796"/>
      <c r="LPQ743" s="3796"/>
      <c r="LPR743" s="3796"/>
      <c r="LPS743" s="3796"/>
      <c r="LPT743" s="3796"/>
      <c r="LPU743" s="3796"/>
      <c r="LPV743" s="3796"/>
      <c r="LPW743" s="3796"/>
      <c r="LPX743" s="3796"/>
      <c r="LPY743" s="3796"/>
      <c r="LPZ743" s="3796"/>
      <c r="LQA743" s="3796"/>
      <c r="LQB743" s="3796"/>
      <c r="LQC743" s="3796"/>
      <c r="LQD743" s="3796"/>
      <c r="LQE743" s="3796"/>
      <c r="LQF743" s="3796"/>
      <c r="LQG743" s="3796"/>
      <c r="LQH743" s="3796"/>
      <c r="LQI743" s="3796"/>
      <c r="LQJ743" s="3796"/>
      <c r="LQK743" s="3796"/>
      <c r="LQL743" s="3796"/>
      <c r="LQM743" s="3796"/>
      <c r="LQN743" s="3796"/>
      <c r="LQO743" s="3796"/>
      <c r="LQP743" s="3796"/>
      <c r="LQQ743" s="3796"/>
      <c r="LQR743" s="3796"/>
      <c r="LQS743" s="3796"/>
      <c r="LQT743" s="3796"/>
      <c r="LQU743" s="3796"/>
      <c r="LQV743" s="3796"/>
      <c r="LQW743" s="3796"/>
      <c r="LQX743" s="3796"/>
      <c r="LQY743" s="3796"/>
      <c r="LQZ743" s="3796"/>
      <c r="LRA743" s="3796"/>
      <c r="LRB743" s="3796"/>
      <c r="LRC743" s="3796"/>
      <c r="LRD743" s="3796"/>
      <c r="LRE743" s="3796"/>
      <c r="LRF743" s="3796"/>
      <c r="LRG743" s="3796"/>
      <c r="LRH743" s="3796"/>
      <c r="LRI743" s="3796"/>
      <c r="LRJ743" s="3796"/>
      <c r="LRK743" s="3796"/>
      <c r="LRL743" s="3796"/>
      <c r="LRM743" s="3796"/>
      <c r="LRN743" s="3796"/>
      <c r="LRO743" s="3796"/>
      <c r="LRP743" s="3796"/>
      <c r="LRQ743" s="3796"/>
      <c r="LRR743" s="3796"/>
      <c r="LRS743" s="3796"/>
      <c r="LRT743" s="3796"/>
      <c r="LRU743" s="3796"/>
      <c r="LRV743" s="3796"/>
      <c r="LRW743" s="3796"/>
      <c r="LRX743" s="3796"/>
      <c r="LRY743" s="3796"/>
      <c r="LRZ743" s="3796"/>
      <c r="LSA743" s="3796"/>
      <c r="LSB743" s="3796"/>
      <c r="LSC743" s="3796"/>
      <c r="LSD743" s="3796"/>
      <c r="LSE743" s="3796"/>
      <c r="LSF743" s="3796"/>
      <c r="LSG743" s="3796"/>
      <c r="LSH743" s="3796"/>
      <c r="LSI743" s="3796"/>
      <c r="LSJ743" s="3796"/>
      <c r="LSK743" s="3796"/>
      <c r="LSL743" s="3796"/>
      <c r="LSM743" s="3796"/>
      <c r="LSN743" s="3796"/>
      <c r="LSO743" s="3796"/>
      <c r="LSP743" s="3796"/>
      <c r="LSQ743" s="3796"/>
      <c r="LSR743" s="3796"/>
      <c r="LSS743" s="3796"/>
      <c r="LST743" s="3796"/>
      <c r="LSU743" s="3796"/>
      <c r="LSV743" s="3796"/>
      <c r="LSW743" s="3796"/>
      <c r="LSX743" s="3796"/>
      <c r="LSY743" s="3796"/>
      <c r="LSZ743" s="3796"/>
      <c r="LTA743" s="3796"/>
      <c r="LTB743" s="3796"/>
      <c r="LTC743" s="3796"/>
      <c r="LTD743" s="3796"/>
      <c r="LTE743" s="3796"/>
      <c r="LTF743" s="3796"/>
      <c r="LTG743" s="3796"/>
      <c r="LTH743" s="3796"/>
      <c r="LTI743" s="3796"/>
      <c r="LTJ743" s="3796"/>
      <c r="LTK743" s="3796"/>
      <c r="LTL743" s="3796"/>
      <c r="LTM743" s="3796"/>
      <c r="LTN743" s="3796"/>
      <c r="LTO743" s="3796"/>
      <c r="LTP743" s="3796"/>
      <c r="LTQ743" s="3796"/>
      <c r="LTR743" s="3796"/>
      <c r="LTS743" s="3796"/>
      <c r="LTT743" s="3796"/>
      <c r="LTU743" s="3796"/>
      <c r="LTV743" s="3796"/>
      <c r="LTW743" s="3796"/>
      <c r="LTX743" s="3796"/>
      <c r="LTY743" s="3796"/>
      <c r="LTZ743" s="3796"/>
      <c r="LUA743" s="3796"/>
      <c r="LUB743" s="3796"/>
      <c r="LUC743" s="3796"/>
      <c r="LUD743" s="3796"/>
      <c r="LUE743" s="3796"/>
      <c r="LUF743" s="3796"/>
      <c r="LUG743" s="3796"/>
      <c r="LUH743" s="3796"/>
      <c r="LUI743" s="3796"/>
      <c r="LUJ743" s="3796"/>
      <c r="LUK743" s="3796"/>
      <c r="LUL743" s="3796"/>
      <c r="LUM743" s="3796"/>
      <c r="LUN743" s="3796"/>
      <c r="LUO743" s="3796"/>
      <c r="LUP743" s="3796"/>
      <c r="LUQ743" s="3796"/>
      <c r="LUR743" s="3796"/>
      <c r="LUS743" s="3796"/>
      <c r="LUT743" s="3796"/>
      <c r="LUU743" s="3796"/>
      <c r="LUV743" s="3796"/>
      <c r="LUW743" s="3796"/>
      <c r="LUX743" s="3796"/>
      <c r="LUY743" s="3796"/>
      <c r="LUZ743" s="3796"/>
      <c r="LVA743" s="3796"/>
      <c r="LVB743" s="3796"/>
      <c r="LVC743" s="3796"/>
      <c r="LVD743" s="3796"/>
      <c r="LVE743" s="3796"/>
      <c r="LVF743" s="3796"/>
      <c r="LVG743" s="3796"/>
      <c r="LVH743" s="3796"/>
      <c r="LVI743" s="3796"/>
      <c r="LVJ743" s="3796"/>
      <c r="LVK743" s="3796"/>
      <c r="LVL743" s="3796"/>
      <c r="LVM743" s="3796"/>
      <c r="LVN743" s="3796"/>
      <c r="LVO743" s="3796"/>
      <c r="LVP743" s="3796"/>
      <c r="LVQ743" s="3796"/>
      <c r="LVR743" s="3796"/>
      <c r="LVS743" s="3796"/>
      <c r="LVT743" s="3796"/>
      <c r="LVU743" s="3796"/>
      <c r="LVZ743" s="3796"/>
      <c r="LWF743" s="3796"/>
      <c r="LWG743" s="3796"/>
      <c r="LWH743" s="3796"/>
      <c r="LWL743" s="3796"/>
      <c r="LWS743" s="3796"/>
      <c r="LWT743" s="3796"/>
      <c r="LWU743" s="3796"/>
      <c r="LWV743" s="3796"/>
      <c r="LWW743" s="3796"/>
      <c r="LWX743" s="3796"/>
      <c r="LWY743" s="3796"/>
      <c r="LWZ743" s="3796"/>
      <c r="LXA743" s="3796"/>
      <c r="LXB743" s="3796"/>
      <c r="LXC743" s="3796"/>
      <c r="LXD743" s="3796"/>
      <c r="LXE743" s="3796"/>
      <c r="LXF743" s="3796"/>
      <c r="LXG743" s="3796"/>
      <c r="LXH743" s="3796"/>
      <c r="LXI743" s="3796"/>
      <c r="LXJ743" s="3796"/>
      <c r="LXK743" s="3796"/>
      <c r="LXL743" s="3796"/>
      <c r="LXM743" s="3796"/>
      <c r="LXN743" s="3796"/>
      <c r="LXO743" s="3796"/>
      <c r="LXP743" s="3796"/>
      <c r="LXQ743" s="3796"/>
      <c r="LXR743" s="3796"/>
      <c r="LXS743" s="3796"/>
      <c r="LXT743" s="3796"/>
      <c r="LXU743" s="3796"/>
      <c r="LXV743" s="3796"/>
      <c r="LXW743" s="3796"/>
      <c r="LXX743" s="3796"/>
      <c r="LXY743" s="3796"/>
      <c r="LXZ743" s="3796"/>
      <c r="LYA743" s="3796"/>
      <c r="LYB743" s="3796"/>
      <c r="LYC743" s="3796"/>
      <c r="LYD743" s="3796"/>
      <c r="LYE743" s="3796"/>
      <c r="LYF743" s="3796"/>
      <c r="LYG743" s="3796"/>
      <c r="LYH743" s="3796"/>
      <c r="LYI743" s="3796"/>
      <c r="LYJ743" s="3796"/>
      <c r="LYK743" s="3796"/>
      <c r="LYL743" s="3796"/>
      <c r="LYM743" s="3796"/>
      <c r="LYN743" s="3796"/>
      <c r="LYO743" s="3796"/>
      <c r="LYP743" s="3796"/>
      <c r="LYQ743" s="3796"/>
      <c r="LYR743" s="3796"/>
      <c r="LYS743" s="3796"/>
      <c r="LYT743" s="3796"/>
      <c r="LYU743" s="3796"/>
      <c r="LYV743" s="3796"/>
      <c r="LYW743" s="3796"/>
      <c r="LYX743" s="3796"/>
      <c r="LYY743" s="3796"/>
      <c r="LYZ743" s="3796"/>
      <c r="LZA743" s="3796"/>
      <c r="LZB743" s="3796"/>
      <c r="LZC743" s="3796"/>
      <c r="LZD743" s="3796"/>
      <c r="LZE743" s="3796"/>
      <c r="LZF743" s="3796"/>
      <c r="LZG743" s="3796"/>
      <c r="LZH743" s="3796"/>
      <c r="LZI743" s="3796"/>
      <c r="LZJ743" s="3796"/>
      <c r="LZK743" s="3796"/>
      <c r="LZL743" s="3796"/>
      <c r="LZM743" s="3796"/>
      <c r="LZN743" s="3796"/>
      <c r="LZO743" s="3796"/>
      <c r="LZP743" s="3796"/>
      <c r="LZQ743" s="3796"/>
      <c r="LZR743" s="3796"/>
      <c r="LZS743" s="3796"/>
      <c r="LZT743" s="3796"/>
      <c r="LZU743" s="3796"/>
      <c r="LZV743" s="3796"/>
      <c r="LZW743" s="3796"/>
      <c r="LZX743" s="3796"/>
      <c r="LZY743" s="3796"/>
      <c r="LZZ743" s="3796"/>
      <c r="MAA743" s="3796"/>
      <c r="MAB743" s="3796"/>
      <c r="MAC743" s="3796"/>
      <c r="MAD743" s="3796"/>
      <c r="MAE743" s="3796"/>
      <c r="MAF743" s="3796"/>
      <c r="MAG743" s="3796"/>
      <c r="MAH743" s="3796"/>
      <c r="MAI743" s="3796"/>
      <c r="MAJ743" s="3796"/>
      <c r="MAK743" s="3796"/>
      <c r="MAL743" s="3796"/>
      <c r="MAM743" s="3796"/>
      <c r="MAN743" s="3796"/>
      <c r="MAO743" s="3796"/>
      <c r="MAP743" s="3796"/>
      <c r="MAQ743" s="3796"/>
      <c r="MAR743" s="3796"/>
      <c r="MAS743" s="3796"/>
      <c r="MAT743" s="3796"/>
      <c r="MAU743" s="3796"/>
      <c r="MAV743" s="3796"/>
      <c r="MAW743" s="3796"/>
      <c r="MAX743" s="3796"/>
      <c r="MAY743" s="3796"/>
      <c r="MAZ743" s="3796"/>
      <c r="MBA743" s="3796"/>
      <c r="MBB743" s="3796"/>
      <c r="MBC743" s="3796"/>
      <c r="MBD743" s="3796"/>
      <c r="MBE743" s="3796"/>
      <c r="MBF743" s="3796"/>
      <c r="MBG743" s="3796"/>
      <c r="MBH743" s="3796"/>
      <c r="MBI743" s="3796"/>
      <c r="MBJ743" s="3796"/>
      <c r="MBK743" s="3796"/>
      <c r="MBL743" s="3796"/>
      <c r="MBM743" s="3796"/>
      <c r="MBN743" s="3796"/>
      <c r="MBO743" s="3796"/>
      <c r="MBP743" s="3796"/>
      <c r="MBQ743" s="3796"/>
      <c r="MBR743" s="3796"/>
      <c r="MBS743" s="3796"/>
      <c r="MBT743" s="3796"/>
      <c r="MBU743" s="3796"/>
      <c r="MBV743" s="3796"/>
      <c r="MBW743" s="3796"/>
      <c r="MBX743" s="3796"/>
      <c r="MBY743" s="3796"/>
      <c r="MBZ743" s="3796"/>
      <c r="MCA743" s="3796"/>
      <c r="MCB743" s="3796"/>
      <c r="MCC743" s="3796"/>
      <c r="MCD743" s="3796"/>
      <c r="MCE743" s="3796"/>
      <c r="MCF743" s="3796"/>
      <c r="MCG743" s="3796"/>
      <c r="MCH743" s="3796"/>
      <c r="MCI743" s="3796"/>
      <c r="MCJ743" s="3796"/>
      <c r="MCK743" s="3796"/>
      <c r="MCL743" s="3796"/>
      <c r="MCM743" s="3796"/>
      <c r="MCN743" s="3796"/>
      <c r="MCO743" s="3796"/>
      <c r="MCP743" s="3796"/>
      <c r="MCQ743" s="3796"/>
      <c r="MCR743" s="3796"/>
      <c r="MCS743" s="3796"/>
      <c r="MCT743" s="3796"/>
      <c r="MCU743" s="3796"/>
      <c r="MCV743" s="3796"/>
      <c r="MCW743" s="3796"/>
      <c r="MCX743" s="3796"/>
      <c r="MCY743" s="3796"/>
      <c r="MCZ743" s="3796"/>
      <c r="MDA743" s="3796"/>
      <c r="MDB743" s="3796"/>
      <c r="MDC743" s="3796"/>
      <c r="MDD743" s="3796"/>
      <c r="MDE743" s="3796"/>
      <c r="MDF743" s="3796"/>
      <c r="MDG743" s="3796"/>
      <c r="MDH743" s="3796"/>
      <c r="MDI743" s="3796"/>
      <c r="MDJ743" s="3796"/>
      <c r="MDK743" s="3796"/>
      <c r="MDL743" s="3796"/>
      <c r="MDM743" s="3796"/>
      <c r="MDN743" s="3796"/>
      <c r="MDO743" s="3796"/>
      <c r="MDP743" s="3796"/>
      <c r="MDQ743" s="3796"/>
      <c r="MDR743" s="3796"/>
      <c r="MDS743" s="3796"/>
      <c r="MDT743" s="3796"/>
      <c r="MDU743" s="3796"/>
      <c r="MDV743" s="3796"/>
      <c r="MDW743" s="3796"/>
      <c r="MDX743" s="3796"/>
      <c r="MDY743" s="3796"/>
      <c r="MDZ743" s="3796"/>
      <c r="MEA743" s="3796"/>
      <c r="MEB743" s="3796"/>
      <c r="MEC743" s="3796"/>
      <c r="MED743" s="3796"/>
      <c r="MEE743" s="3796"/>
      <c r="MEF743" s="3796"/>
      <c r="MEG743" s="3796"/>
      <c r="MEH743" s="3796"/>
      <c r="MEI743" s="3796"/>
      <c r="MEJ743" s="3796"/>
      <c r="MEK743" s="3796"/>
      <c r="MEL743" s="3796"/>
      <c r="MEM743" s="3796"/>
      <c r="MEN743" s="3796"/>
      <c r="MEO743" s="3796"/>
      <c r="MEP743" s="3796"/>
      <c r="MEQ743" s="3796"/>
      <c r="MER743" s="3796"/>
      <c r="MES743" s="3796"/>
      <c r="MET743" s="3796"/>
      <c r="MEU743" s="3796"/>
      <c r="MEV743" s="3796"/>
      <c r="MEW743" s="3796"/>
      <c r="MEX743" s="3796"/>
      <c r="MEY743" s="3796"/>
      <c r="MEZ743" s="3796"/>
      <c r="MFA743" s="3796"/>
      <c r="MFB743" s="3796"/>
      <c r="MFC743" s="3796"/>
      <c r="MFD743" s="3796"/>
      <c r="MFE743" s="3796"/>
      <c r="MFF743" s="3796"/>
      <c r="MFG743" s="3796"/>
      <c r="MFH743" s="3796"/>
      <c r="MFI743" s="3796"/>
      <c r="MFJ743" s="3796"/>
      <c r="MFK743" s="3796"/>
      <c r="MFL743" s="3796"/>
      <c r="MFM743" s="3796"/>
      <c r="MFN743" s="3796"/>
      <c r="MFO743" s="3796"/>
      <c r="MFP743" s="3796"/>
      <c r="MFQ743" s="3796"/>
      <c r="MFV743" s="3796"/>
      <c r="MGB743" s="3796"/>
      <c r="MGC743" s="3796"/>
      <c r="MGD743" s="3796"/>
      <c r="MGH743" s="3796"/>
      <c r="MGO743" s="3796"/>
      <c r="MGP743" s="3796"/>
      <c r="MGQ743" s="3796"/>
      <c r="MGR743" s="3796"/>
      <c r="MGS743" s="3796"/>
      <c r="MGT743" s="3796"/>
      <c r="MGU743" s="3796"/>
      <c r="MGV743" s="3796"/>
      <c r="MGW743" s="3796"/>
      <c r="MGX743" s="3796"/>
      <c r="MGY743" s="3796"/>
      <c r="MGZ743" s="3796"/>
      <c r="MHA743" s="3796"/>
      <c r="MHB743" s="3796"/>
      <c r="MHC743" s="3796"/>
      <c r="MHD743" s="3796"/>
      <c r="MHE743" s="3796"/>
      <c r="MHF743" s="3796"/>
      <c r="MHG743" s="3796"/>
      <c r="MHH743" s="3796"/>
      <c r="MHI743" s="3796"/>
      <c r="MHJ743" s="3796"/>
      <c r="MHK743" s="3796"/>
      <c r="MHL743" s="3796"/>
      <c r="MHM743" s="3796"/>
      <c r="MHN743" s="3796"/>
      <c r="MHO743" s="3796"/>
      <c r="MHP743" s="3796"/>
      <c r="MHQ743" s="3796"/>
      <c r="MHR743" s="3796"/>
      <c r="MHS743" s="3796"/>
      <c r="MHT743" s="3796"/>
      <c r="MHU743" s="3796"/>
      <c r="MHV743" s="3796"/>
      <c r="MHW743" s="3796"/>
      <c r="MHX743" s="3796"/>
      <c r="MHY743" s="3796"/>
      <c r="MHZ743" s="3796"/>
      <c r="MIA743" s="3796"/>
      <c r="MIB743" s="3796"/>
      <c r="MIC743" s="3796"/>
      <c r="MID743" s="3796"/>
      <c r="MIE743" s="3796"/>
      <c r="MIF743" s="3796"/>
      <c r="MIG743" s="3796"/>
      <c r="MIH743" s="3796"/>
      <c r="MII743" s="3796"/>
      <c r="MIJ743" s="3796"/>
      <c r="MIK743" s="3796"/>
      <c r="MIL743" s="3796"/>
      <c r="MIM743" s="3796"/>
      <c r="MIN743" s="3796"/>
      <c r="MIO743" s="3796"/>
      <c r="MIP743" s="3796"/>
      <c r="MIQ743" s="3796"/>
      <c r="MIR743" s="3796"/>
      <c r="MIS743" s="3796"/>
      <c r="MIT743" s="3796"/>
      <c r="MIU743" s="3796"/>
      <c r="MIV743" s="3796"/>
      <c r="MIW743" s="3796"/>
      <c r="MIX743" s="3796"/>
      <c r="MIY743" s="3796"/>
      <c r="MIZ743" s="3796"/>
      <c r="MJA743" s="3796"/>
      <c r="MJB743" s="3796"/>
      <c r="MJC743" s="3796"/>
      <c r="MJD743" s="3796"/>
      <c r="MJE743" s="3796"/>
      <c r="MJF743" s="3796"/>
      <c r="MJG743" s="3796"/>
      <c r="MJH743" s="3796"/>
      <c r="MJI743" s="3796"/>
      <c r="MJJ743" s="3796"/>
      <c r="MJK743" s="3796"/>
      <c r="MJL743" s="3796"/>
      <c r="MJM743" s="3796"/>
      <c r="MJN743" s="3796"/>
      <c r="MJO743" s="3796"/>
      <c r="MJP743" s="3796"/>
      <c r="MJQ743" s="3796"/>
      <c r="MJR743" s="3796"/>
      <c r="MJS743" s="3796"/>
      <c r="MJT743" s="3796"/>
      <c r="MJU743" s="3796"/>
      <c r="MJV743" s="3796"/>
      <c r="MJW743" s="3796"/>
      <c r="MJX743" s="3796"/>
      <c r="MJY743" s="3796"/>
      <c r="MJZ743" s="3796"/>
      <c r="MKA743" s="3796"/>
      <c r="MKB743" s="3796"/>
      <c r="MKC743" s="3796"/>
      <c r="MKD743" s="3796"/>
      <c r="MKE743" s="3796"/>
      <c r="MKF743" s="3796"/>
      <c r="MKG743" s="3796"/>
      <c r="MKH743" s="3796"/>
      <c r="MKI743" s="3796"/>
      <c r="MKJ743" s="3796"/>
      <c r="MKK743" s="3796"/>
      <c r="MKL743" s="3796"/>
      <c r="MKM743" s="3796"/>
      <c r="MKN743" s="3796"/>
      <c r="MKO743" s="3796"/>
      <c r="MKP743" s="3796"/>
      <c r="MKQ743" s="3796"/>
      <c r="MKR743" s="3796"/>
      <c r="MKS743" s="3796"/>
      <c r="MKT743" s="3796"/>
      <c r="MKU743" s="3796"/>
      <c r="MKV743" s="3796"/>
      <c r="MKW743" s="3796"/>
      <c r="MKX743" s="3796"/>
      <c r="MKY743" s="3796"/>
      <c r="MKZ743" s="3796"/>
      <c r="MLA743" s="3796"/>
      <c r="MLB743" s="3796"/>
      <c r="MLC743" s="3796"/>
      <c r="MLD743" s="3796"/>
      <c r="MLE743" s="3796"/>
      <c r="MLF743" s="3796"/>
      <c r="MLG743" s="3796"/>
      <c r="MLH743" s="3796"/>
      <c r="MLI743" s="3796"/>
      <c r="MLJ743" s="3796"/>
      <c r="MLK743" s="3796"/>
      <c r="MLL743" s="3796"/>
      <c r="MLM743" s="3796"/>
      <c r="MLN743" s="3796"/>
      <c r="MLO743" s="3796"/>
      <c r="MLP743" s="3796"/>
      <c r="MLQ743" s="3796"/>
      <c r="MLR743" s="3796"/>
      <c r="MLS743" s="3796"/>
      <c r="MLT743" s="3796"/>
      <c r="MLU743" s="3796"/>
      <c r="MLV743" s="3796"/>
      <c r="MLW743" s="3796"/>
      <c r="MLX743" s="3796"/>
      <c r="MLY743" s="3796"/>
      <c r="MLZ743" s="3796"/>
      <c r="MMA743" s="3796"/>
      <c r="MMB743" s="3796"/>
      <c r="MMC743" s="3796"/>
      <c r="MMD743" s="3796"/>
      <c r="MME743" s="3796"/>
      <c r="MMF743" s="3796"/>
      <c r="MMG743" s="3796"/>
      <c r="MMH743" s="3796"/>
      <c r="MMI743" s="3796"/>
      <c r="MMJ743" s="3796"/>
      <c r="MMK743" s="3796"/>
      <c r="MML743" s="3796"/>
      <c r="MMM743" s="3796"/>
      <c r="MMN743" s="3796"/>
      <c r="MMO743" s="3796"/>
      <c r="MMP743" s="3796"/>
      <c r="MMQ743" s="3796"/>
      <c r="MMR743" s="3796"/>
      <c r="MMS743" s="3796"/>
      <c r="MMT743" s="3796"/>
      <c r="MMU743" s="3796"/>
      <c r="MMV743" s="3796"/>
      <c r="MMW743" s="3796"/>
      <c r="MMX743" s="3796"/>
      <c r="MMY743" s="3796"/>
      <c r="MMZ743" s="3796"/>
      <c r="MNA743" s="3796"/>
      <c r="MNB743" s="3796"/>
      <c r="MNC743" s="3796"/>
      <c r="MND743" s="3796"/>
      <c r="MNE743" s="3796"/>
      <c r="MNF743" s="3796"/>
      <c r="MNG743" s="3796"/>
      <c r="MNH743" s="3796"/>
      <c r="MNI743" s="3796"/>
      <c r="MNJ743" s="3796"/>
      <c r="MNK743" s="3796"/>
      <c r="MNL743" s="3796"/>
      <c r="MNM743" s="3796"/>
      <c r="MNN743" s="3796"/>
      <c r="MNO743" s="3796"/>
      <c r="MNP743" s="3796"/>
      <c r="MNQ743" s="3796"/>
      <c r="MNR743" s="3796"/>
      <c r="MNS743" s="3796"/>
      <c r="MNT743" s="3796"/>
      <c r="MNU743" s="3796"/>
      <c r="MNV743" s="3796"/>
      <c r="MNW743" s="3796"/>
      <c r="MNX743" s="3796"/>
      <c r="MNY743" s="3796"/>
      <c r="MNZ743" s="3796"/>
      <c r="MOA743" s="3796"/>
      <c r="MOB743" s="3796"/>
      <c r="MOC743" s="3796"/>
      <c r="MOD743" s="3796"/>
      <c r="MOE743" s="3796"/>
      <c r="MOF743" s="3796"/>
      <c r="MOG743" s="3796"/>
      <c r="MOH743" s="3796"/>
      <c r="MOI743" s="3796"/>
      <c r="MOJ743" s="3796"/>
      <c r="MOK743" s="3796"/>
      <c r="MOL743" s="3796"/>
      <c r="MOM743" s="3796"/>
      <c r="MON743" s="3796"/>
      <c r="MOO743" s="3796"/>
      <c r="MOP743" s="3796"/>
      <c r="MOQ743" s="3796"/>
      <c r="MOR743" s="3796"/>
      <c r="MOS743" s="3796"/>
      <c r="MOT743" s="3796"/>
      <c r="MOU743" s="3796"/>
      <c r="MOV743" s="3796"/>
      <c r="MOW743" s="3796"/>
      <c r="MOX743" s="3796"/>
      <c r="MOY743" s="3796"/>
      <c r="MOZ743" s="3796"/>
      <c r="MPA743" s="3796"/>
      <c r="MPB743" s="3796"/>
      <c r="MPC743" s="3796"/>
      <c r="MPD743" s="3796"/>
      <c r="MPE743" s="3796"/>
      <c r="MPF743" s="3796"/>
      <c r="MPG743" s="3796"/>
      <c r="MPH743" s="3796"/>
      <c r="MPI743" s="3796"/>
      <c r="MPJ743" s="3796"/>
      <c r="MPK743" s="3796"/>
      <c r="MPL743" s="3796"/>
      <c r="MPM743" s="3796"/>
      <c r="MPR743" s="3796"/>
      <c r="MPX743" s="3796"/>
      <c r="MPY743" s="3796"/>
      <c r="MPZ743" s="3796"/>
      <c r="MQD743" s="3796"/>
      <c r="MQK743" s="3796"/>
      <c r="MQL743" s="3796"/>
      <c r="MQM743" s="3796"/>
      <c r="MQN743" s="3796"/>
      <c r="MQO743" s="3796"/>
      <c r="MQP743" s="3796"/>
      <c r="MQQ743" s="3796"/>
      <c r="MQR743" s="3796"/>
      <c r="MQS743" s="3796"/>
      <c r="MQT743" s="3796"/>
      <c r="MQU743" s="3796"/>
      <c r="MQV743" s="3796"/>
      <c r="MQW743" s="3796"/>
      <c r="MQX743" s="3796"/>
      <c r="MQY743" s="3796"/>
      <c r="MQZ743" s="3796"/>
      <c r="MRA743" s="3796"/>
      <c r="MRB743" s="3796"/>
      <c r="MRC743" s="3796"/>
      <c r="MRD743" s="3796"/>
      <c r="MRE743" s="3796"/>
      <c r="MRF743" s="3796"/>
      <c r="MRG743" s="3796"/>
      <c r="MRH743" s="3796"/>
      <c r="MRI743" s="3796"/>
      <c r="MRJ743" s="3796"/>
      <c r="MRK743" s="3796"/>
      <c r="MRL743" s="3796"/>
      <c r="MRM743" s="3796"/>
      <c r="MRN743" s="3796"/>
      <c r="MRO743" s="3796"/>
      <c r="MRP743" s="3796"/>
      <c r="MRQ743" s="3796"/>
      <c r="MRR743" s="3796"/>
      <c r="MRS743" s="3796"/>
      <c r="MRT743" s="3796"/>
      <c r="MRU743" s="3796"/>
      <c r="MRV743" s="3796"/>
      <c r="MRW743" s="3796"/>
      <c r="MRX743" s="3796"/>
      <c r="MRY743" s="3796"/>
      <c r="MRZ743" s="3796"/>
      <c r="MSA743" s="3796"/>
      <c r="MSB743" s="3796"/>
      <c r="MSC743" s="3796"/>
      <c r="MSD743" s="3796"/>
      <c r="MSE743" s="3796"/>
      <c r="MSF743" s="3796"/>
      <c r="MSG743" s="3796"/>
      <c r="MSH743" s="3796"/>
      <c r="MSI743" s="3796"/>
      <c r="MSJ743" s="3796"/>
      <c r="MSK743" s="3796"/>
      <c r="MSL743" s="3796"/>
      <c r="MSM743" s="3796"/>
      <c r="MSN743" s="3796"/>
      <c r="MSO743" s="3796"/>
      <c r="MSP743" s="3796"/>
      <c r="MSQ743" s="3796"/>
      <c r="MSR743" s="3796"/>
      <c r="MSS743" s="3796"/>
      <c r="MST743" s="3796"/>
      <c r="MSU743" s="3796"/>
      <c r="MSV743" s="3796"/>
      <c r="MSW743" s="3796"/>
      <c r="MSX743" s="3796"/>
      <c r="MSY743" s="3796"/>
      <c r="MSZ743" s="3796"/>
      <c r="MTA743" s="3796"/>
      <c r="MTB743" s="3796"/>
      <c r="MTC743" s="3796"/>
      <c r="MTD743" s="3796"/>
      <c r="MTE743" s="3796"/>
      <c r="MTF743" s="3796"/>
      <c r="MTG743" s="3796"/>
      <c r="MTH743" s="3796"/>
      <c r="MTI743" s="3796"/>
      <c r="MTJ743" s="3796"/>
      <c r="MTK743" s="3796"/>
      <c r="MTL743" s="3796"/>
      <c r="MTM743" s="3796"/>
      <c r="MTN743" s="3796"/>
      <c r="MTO743" s="3796"/>
      <c r="MTP743" s="3796"/>
      <c r="MTQ743" s="3796"/>
      <c r="MTR743" s="3796"/>
      <c r="MTS743" s="3796"/>
      <c r="MTT743" s="3796"/>
      <c r="MTU743" s="3796"/>
      <c r="MTV743" s="3796"/>
      <c r="MTW743" s="3796"/>
      <c r="MTX743" s="3796"/>
      <c r="MTY743" s="3796"/>
      <c r="MTZ743" s="3796"/>
      <c r="MUA743" s="3796"/>
      <c r="MUB743" s="3796"/>
      <c r="MUC743" s="3796"/>
      <c r="MUD743" s="3796"/>
      <c r="MUE743" s="3796"/>
      <c r="MUF743" s="3796"/>
      <c r="MUG743" s="3796"/>
      <c r="MUH743" s="3796"/>
      <c r="MUI743" s="3796"/>
      <c r="MUJ743" s="3796"/>
      <c r="MUK743" s="3796"/>
      <c r="MUL743" s="3796"/>
      <c r="MUM743" s="3796"/>
      <c r="MUN743" s="3796"/>
      <c r="MUO743" s="3796"/>
      <c r="MUP743" s="3796"/>
      <c r="MUQ743" s="3796"/>
      <c r="MUR743" s="3796"/>
      <c r="MUS743" s="3796"/>
      <c r="MUT743" s="3796"/>
      <c r="MUU743" s="3796"/>
      <c r="MUV743" s="3796"/>
      <c r="MUW743" s="3796"/>
      <c r="MUX743" s="3796"/>
      <c r="MUY743" s="3796"/>
      <c r="MUZ743" s="3796"/>
      <c r="MVA743" s="3796"/>
      <c r="MVB743" s="3796"/>
      <c r="MVC743" s="3796"/>
      <c r="MVD743" s="3796"/>
      <c r="MVE743" s="3796"/>
      <c r="MVF743" s="3796"/>
      <c r="MVG743" s="3796"/>
      <c r="MVH743" s="3796"/>
      <c r="MVI743" s="3796"/>
      <c r="MVJ743" s="3796"/>
      <c r="MVK743" s="3796"/>
      <c r="MVL743" s="3796"/>
      <c r="MVM743" s="3796"/>
      <c r="MVN743" s="3796"/>
      <c r="MVO743" s="3796"/>
      <c r="MVP743" s="3796"/>
      <c r="MVQ743" s="3796"/>
      <c r="MVR743" s="3796"/>
      <c r="MVS743" s="3796"/>
      <c r="MVT743" s="3796"/>
      <c r="MVU743" s="3796"/>
      <c r="MVV743" s="3796"/>
      <c r="MVW743" s="3796"/>
      <c r="MVX743" s="3796"/>
      <c r="MVY743" s="3796"/>
      <c r="MVZ743" s="3796"/>
      <c r="MWA743" s="3796"/>
      <c r="MWB743" s="3796"/>
      <c r="MWC743" s="3796"/>
      <c r="MWD743" s="3796"/>
      <c r="MWE743" s="3796"/>
      <c r="MWF743" s="3796"/>
      <c r="MWG743" s="3796"/>
      <c r="MWH743" s="3796"/>
      <c r="MWI743" s="3796"/>
      <c r="MWJ743" s="3796"/>
      <c r="MWK743" s="3796"/>
      <c r="MWL743" s="3796"/>
      <c r="MWM743" s="3796"/>
      <c r="MWN743" s="3796"/>
      <c r="MWO743" s="3796"/>
      <c r="MWP743" s="3796"/>
      <c r="MWQ743" s="3796"/>
      <c r="MWR743" s="3796"/>
      <c r="MWS743" s="3796"/>
      <c r="MWT743" s="3796"/>
      <c r="MWU743" s="3796"/>
      <c r="MWV743" s="3796"/>
      <c r="MWW743" s="3796"/>
      <c r="MWX743" s="3796"/>
      <c r="MWY743" s="3796"/>
      <c r="MWZ743" s="3796"/>
      <c r="MXA743" s="3796"/>
      <c r="MXB743" s="3796"/>
      <c r="MXC743" s="3796"/>
      <c r="MXD743" s="3796"/>
      <c r="MXE743" s="3796"/>
      <c r="MXF743" s="3796"/>
      <c r="MXG743" s="3796"/>
      <c r="MXH743" s="3796"/>
      <c r="MXI743" s="3796"/>
      <c r="MXJ743" s="3796"/>
      <c r="MXK743" s="3796"/>
      <c r="MXL743" s="3796"/>
      <c r="MXM743" s="3796"/>
      <c r="MXN743" s="3796"/>
      <c r="MXO743" s="3796"/>
      <c r="MXP743" s="3796"/>
      <c r="MXQ743" s="3796"/>
      <c r="MXR743" s="3796"/>
      <c r="MXS743" s="3796"/>
      <c r="MXT743" s="3796"/>
      <c r="MXU743" s="3796"/>
      <c r="MXV743" s="3796"/>
      <c r="MXW743" s="3796"/>
      <c r="MXX743" s="3796"/>
      <c r="MXY743" s="3796"/>
      <c r="MXZ743" s="3796"/>
      <c r="MYA743" s="3796"/>
      <c r="MYB743" s="3796"/>
      <c r="MYC743" s="3796"/>
      <c r="MYD743" s="3796"/>
      <c r="MYE743" s="3796"/>
      <c r="MYF743" s="3796"/>
      <c r="MYG743" s="3796"/>
      <c r="MYH743" s="3796"/>
      <c r="MYI743" s="3796"/>
      <c r="MYJ743" s="3796"/>
      <c r="MYK743" s="3796"/>
      <c r="MYL743" s="3796"/>
      <c r="MYM743" s="3796"/>
      <c r="MYN743" s="3796"/>
      <c r="MYO743" s="3796"/>
      <c r="MYP743" s="3796"/>
      <c r="MYQ743" s="3796"/>
      <c r="MYR743" s="3796"/>
      <c r="MYS743" s="3796"/>
      <c r="MYT743" s="3796"/>
      <c r="MYU743" s="3796"/>
      <c r="MYV743" s="3796"/>
      <c r="MYW743" s="3796"/>
      <c r="MYX743" s="3796"/>
      <c r="MYY743" s="3796"/>
      <c r="MYZ743" s="3796"/>
      <c r="MZA743" s="3796"/>
      <c r="MZB743" s="3796"/>
      <c r="MZC743" s="3796"/>
      <c r="MZD743" s="3796"/>
      <c r="MZE743" s="3796"/>
      <c r="MZF743" s="3796"/>
      <c r="MZG743" s="3796"/>
      <c r="MZH743" s="3796"/>
      <c r="MZI743" s="3796"/>
      <c r="MZN743" s="3796"/>
      <c r="MZT743" s="3796"/>
      <c r="MZU743" s="3796"/>
      <c r="MZV743" s="3796"/>
      <c r="MZZ743" s="3796"/>
      <c r="NAG743" s="3796"/>
      <c r="NAH743" s="3796"/>
      <c r="NAI743" s="3796"/>
      <c r="NAJ743" s="3796"/>
      <c r="NAK743" s="3796"/>
      <c r="NAL743" s="3796"/>
      <c r="NAM743" s="3796"/>
      <c r="NAN743" s="3796"/>
      <c r="NAO743" s="3796"/>
      <c r="NAP743" s="3796"/>
      <c r="NAQ743" s="3796"/>
      <c r="NAR743" s="3796"/>
      <c r="NAS743" s="3796"/>
      <c r="NAT743" s="3796"/>
      <c r="NAU743" s="3796"/>
      <c r="NAV743" s="3796"/>
      <c r="NAW743" s="3796"/>
      <c r="NAX743" s="3796"/>
      <c r="NAY743" s="3796"/>
      <c r="NAZ743" s="3796"/>
      <c r="NBA743" s="3796"/>
      <c r="NBB743" s="3796"/>
      <c r="NBC743" s="3796"/>
      <c r="NBD743" s="3796"/>
      <c r="NBE743" s="3796"/>
      <c r="NBF743" s="3796"/>
      <c r="NBG743" s="3796"/>
      <c r="NBH743" s="3796"/>
      <c r="NBI743" s="3796"/>
      <c r="NBJ743" s="3796"/>
      <c r="NBK743" s="3796"/>
      <c r="NBL743" s="3796"/>
      <c r="NBM743" s="3796"/>
      <c r="NBN743" s="3796"/>
      <c r="NBO743" s="3796"/>
      <c r="NBP743" s="3796"/>
      <c r="NBQ743" s="3796"/>
      <c r="NBR743" s="3796"/>
      <c r="NBS743" s="3796"/>
      <c r="NBT743" s="3796"/>
      <c r="NBU743" s="3796"/>
      <c r="NBV743" s="3796"/>
      <c r="NBW743" s="3796"/>
      <c r="NBX743" s="3796"/>
      <c r="NBY743" s="3796"/>
      <c r="NBZ743" s="3796"/>
      <c r="NCA743" s="3796"/>
      <c r="NCB743" s="3796"/>
      <c r="NCC743" s="3796"/>
      <c r="NCD743" s="3796"/>
      <c r="NCE743" s="3796"/>
      <c r="NCF743" s="3796"/>
      <c r="NCG743" s="3796"/>
      <c r="NCH743" s="3796"/>
      <c r="NCI743" s="3796"/>
      <c r="NCJ743" s="3796"/>
      <c r="NCK743" s="3796"/>
      <c r="NCL743" s="3796"/>
      <c r="NCM743" s="3796"/>
      <c r="NCN743" s="3796"/>
      <c r="NCO743" s="3796"/>
      <c r="NCP743" s="3796"/>
      <c r="NCQ743" s="3796"/>
      <c r="NCR743" s="3796"/>
      <c r="NCS743" s="3796"/>
      <c r="NCT743" s="3796"/>
      <c r="NCU743" s="3796"/>
      <c r="NCV743" s="3796"/>
      <c r="NCW743" s="3796"/>
      <c r="NCX743" s="3796"/>
      <c r="NCY743" s="3796"/>
      <c r="NCZ743" s="3796"/>
      <c r="NDA743" s="3796"/>
      <c r="NDB743" s="3796"/>
      <c r="NDC743" s="3796"/>
      <c r="NDD743" s="3796"/>
      <c r="NDE743" s="3796"/>
      <c r="NDF743" s="3796"/>
      <c r="NDG743" s="3796"/>
      <c r="NDH743" s="3796"/>
      <c r="NDI743" s="3796"/>
      <c r="NDJ743" s="3796"/>
      <c r="NDK743" s="3796"/>
      <c r="NDL743" s="3796"/>
      <c r="NDM743" s="3796"/>
      <c r="NDN743" s="3796"/>
      <c r="NDO743" s="3796"/>
      <c r="NDP743" s="3796"/>
      <c r="NDQ743" s="3796"/>
      <c r="NDR743" s="3796"/>
      <c r="NDS743" s="3796"/>
      <c r="NDT743" s="3796"/>
      <c r="NDU743" s="3796"/>
      <c r="NDV743" s="3796"/>
      <c r="NDW743" s="3796"/>
      <c r="NDX743" s="3796"/>
      <c r="NDY743" s="3796"/>
      <c r="NDZ743" s="3796"/>
      <c r="NEA743" s="3796"/>
      <c r="NEB743" s="3796"/>
      <c r="NEC743" s="3796"/>
      <c r="NED743" s="3796"/>
      <c r="NEE743" s="3796"/>
      <c r="NEF743" s="3796"/>
      <c r="NEG743" s="3796"/>
      <c r="NEH743" s="3796"/>
      <c r="NEI743" s="3796"/>
      <c r="NEJ743" s="3796"/>
      <c r="NEK743" s="3796"/>
      <c r="NEL743" s="3796"/>
      <c r="NEM743" s="3796"/>
      <c r="NEN743" s="3796"/>
      <c r="NEO743" s="3796"/>
      <c r="NEP743" s="3796"/>
      <c r="NEQ743" s="3796"/>
      <c r="NER743" s="3796"/>
      <c r="NES743" s="3796"/>
      <c r="NET743" s="3796"/>
      <c r="NEU743" s="3796"/>
      <c r="NEV743" s="3796"/>
      <c r="NEW743" s="3796"/>
      <c r="NEX743" s="3796"/>
      <c r="NEY743" s="3796"/>
      <c r="NEZ743" s="3796"/>
      <c r="NFA743" s="3796"/>
      <c r="NFB743" s="3796"/>
      <c r="NFC743" s="3796"/>
      <c r="NFD743" s="3796"/>
      <c r="NFE743" s="3796"/>
      <c r="NFF743" s="3796"/>
      <c r="NFG743" s="3796"/>
      <c r="NFH743" s="3796"/>
      <c r="NFI743" s="3796"/>
      <c r="NFJ743" s="3796"/>
      <c r="NFK743" s="3796"/>
      <c r="NFL743" s="3796"/>
      <c r="NFM743" s="3796"/>
      <c r="NFN743" s="3796"/>
      <c r="NFO743" s="3796"/>
      <c r="NFP743" s="3796"/>
      <c r="NFQ743" s="3796"/>
      <c r="NFR743" s="3796"/>
      <c r="NFS743" s="3796"/>
      <c r="NFT743" s="3796"/>
      <c r="NFU743" s="3796"/>
      <c r="NFV743" s="3796"/>
      <c r="NFW743" s="3796"/>
      <c r="NFX743" s="3796"/>
      <c r="NFY743" s="3796"/>
      <c r="NFZ743" s="3796"/>
      <c r="NGA743" s="3796"/>
      <c r="NGB743" s="3796"/>
      <c r="NGC743" s="3796"/>
      <c r="NGD743" s="3796"/>
      <c r="NGE743" s="3796"/>
      <c r="NGF743" s="3796"/>
      <c r="NGG743" s="3796"/>
      <c r="NGH743" s="3796"/>
      <c r="NGI743" s="3796"/>
      <c r="NGJ743" s="3796"/>
      <c r="NGK743" s="3796"/>
      <c r="NGL743" s="3796"/>
      <c r="NGM743" s="3796"/>
      <c r="NGN743" s="3796"/>
      <c r="NGO743" s="3796"/>
      <c r="NGP743" s="3796"/>
      <c r="NGQ743" s="3796"/>
      <c r="NGR743" s="3796"/>
      <c r="NGS743" s="3796"/>
      <c r="NGT743" s="3796"/>
      <c r="NGU743" s="3796"/>
      <c r="NGV743" s="3796"/>
      <c r="NGW743" s="3796"/>
      <c r="NGX743" s="3796"/>
      <c r="NGY743" s="3796"/>
      <c r="NGZ743" s="3796"/>
      <c r="NHA743" s="3796"/>
      <c r="NHB743" s="3796"/>
      <c r="NHC743" s="3796"/>
      <c r="NHD743" s="3796"/>
      <c r="NHE743" s="3796"/>
      <c r="NHF743" s="3796"/>
      <c r="NHG743" s="3796"/>
      <c r="NHH743" s="3796"/>
      <c r="NHI743" s="3796"/>
      <c r="NHJ743" s="3796"/>
      <c r="NHK743" s="3796"/>
      <c r="NHL743" s="3796"/>
      <c r="NHM743" s="3796"/>
      <c r="NHN743" s="3796"/>
      <c r="NHO743" s="3796"/>
      <c r="NHP743" s="3796"/>
      <c r="NHQ743" s="3796"/>
      <c r="NHR743" s="3796"/>
      <c r="NHS743" s="3796"/>
      <c r="NHT743" s="3796"/>
      <c r="NHU743" s="3796"/>
      <c r="NHV743" s="3796"/>
      <c r="NHW743" s="3796"/>
      <c r="NHX743" s="3796"/>
      <c r="NHY743" s="3796"/>
      <c r="NHZ743" s="3796"/>
      <c r="NIA743" s="3796"/>
      <c r="NIB743" s="3796"/>
      <c r="NIC743" s="3796"/>
      <c r="NID743" s="3796"/>
      <c r="NIE743" s="3796"/>
      <c r="NIF743" s="3796"/>
      <c r="NIG743" s="3796"/>
      <c r="NIH743" s="3796"/>
      <c r="NII743" s="3796"/>
      <c r="NIJ743" s="3796"/>
      <c r="NIK743" s="3796"/>
      <c r="NIL743" s="3796"/>
      <c r="NIM743" s="3796"/>
      <c r="NIN743" s="3796"/>
      <c r="NIO743" s="3796"/>
      <c r="NIP743" s="3796"/>
      <c r="NIQ743" s="3796"/>
      <c r="NIR743" s="3796"/>
      <c r="NIS743" s="3796"/>
      <c r="NIT743" s="3796"/>
      <c r="NIU743" s="3796"/>
      <c r="NIV743" s="3796"/>
      <c r="NIW743" s="3796"/>
      <c r="NIX743" s="3796"/>
      <c r="NIY743" s="3796"/>
      <c r="NIZ743" s="3796"/>
      <c r="NJA743" s="3796"/>
      <c r="NJB743" s="3796"/>
      <c r="NJC743" s="3796"/>
      <c r="NJD743" s="3796"/>
      <c r="NJE743" s="3796"/>
      <c r="NJJ743" s="3796"/>
      <c r="NJP743" s="3796"/>
      <c r="NJQ743" s="3796"/>
      <c r="NJR743" s="3796"/>
      <c r="NJV743" s="3796"/>
      <c r="NKC743" s="3796"/>
      <c r="NKD743" s="3796"/>
      <c r="NKE743" s="3796"/>
      <c r="NKF743" s="3796"/>
      <c r="NKG743" s="3796"/>
      <c r="NKH743" s="3796"/>
      <c r="NKI743" s="3796"/>
      <c r="NKJ743" s="3796"/>
      <c r="NKK743" s="3796"/>
      <c r="NKL743" s="3796"/>
      <c r="NKM743" s="3796"/>
      <c r="NKN743" s="3796"/>
      <c r="NKO743" s="3796"/>
      <c r="NKP743" s="3796"/>
      <c r="NKQ743" s="3796"/>
      <c r="NKR743" s="3796"/>
      <c r="NKS743" s="3796"/>
      <c r="NKT743" s="3796"/>
      <c r="NKU743" s="3796"/>
      <c r="NKV743" s="3796"/>
      <c r="NKW743" s="3796"/>
      <c r="NKX743" s="3796"/>
      <c r="NKY743" s="3796"/>
      <c r="NKZ743" s="3796"/>
      <c r="NLA743" s="3796"/>
      <c r="NLB743" s="3796"/>
      <c r="NLC743" s="3796"/>
      <c r="NLD743" s="3796"/>
      <c r="NLE743" s="3796"/>
      <c r="NLF743" s="3796"/>
      <c r="NLG743" s="3796"/>
      <c r="NLH743" s="3796"/>
      <c r="NLI743" s="3796"/>
      <c r="NLJ743" s="3796"/>
      <c r="NLK743" s="3796"/>
      <c r="NLL743" s="3796"/>
      <c r="NLM743" s="3796"/>
      <c r="NLN743" s="3796"/>
      <c r="NLO743" s="3796"/>
      <c r="NLP743" s="3796"/>
      <c r="NLQ743" s="3796"/>
      <c r="NLR743" s="3796"/>
      <c r="NLS743" s="3796"/>
      <c r="NLT743" s="3796"/>
      <c r="NLU743" s="3796"/>
      <c r="NLV743" s="3796"/>
      <c r="NLW743" s="3796"/>
      <c r="NLX743" s="3796"/>
      <c r="NLY743" s="3796"/>
      <c r="NLZ743" s="3796"/>
      <c r="NMA743" s="3796"/>
      <c r="NMB743" s="3796"/>
      <c r="NMC743" s="3796"/>
      <c r="NMD743" s="3796"/>
      <c r="NME743" s="3796"/>
      <c r="NMF743" s="3796"/>
      <c r="NMG743" s="3796"/>
      <c r="NMH743" s="3796"/>
      <c r="NMI743" s="3796"/>
      <c r="NMJ743" s="3796"/>
      <c r="NMK743" s="3796"/>
      <c r="NML743" s="3796"/>
      <c r="NMM743" s="3796"/>
      <c r="NMN743" s="3796"/>
      <c r="NMO743" s="3796"/>
      <c r="NMP743" s="3796"/>
      <c r="NMQ743" s="3796"/>
      <c r="NMR743" s="3796"/>
      <c r="NMS743" s="3796"/>
      <c r="NMT743" s="3796"/>
      <c r="NMU743" s="3796"/>
      <c r="NMV743" s="3796"/>
      <c r="NMW743" s="3796"/>
      <c r="NMX743" s="3796"/>
      <c r="NMY743" s="3796"/>
      <c r="NMZ743" s="3796"/>
      <c r="NNA743" s="3796"/>
      <c r="NNB743" s="3796"/>
      <c r="NNC743" s="3796"/>
      <c r="NND743" s="3796"/>
      <c r="NNE743" s="3796"/>
      <c r="NNF743" s="3796"/>
      <c r="NNG743" s="3796"/>
      <c r="NNH743" s="3796"/>
      <c r="NNI743" s="3796"/>
      <c r="NNJ743" s="3796"/>
      <c r="NNK743" s="3796"/>
      <c r="NNL743" s="3796"/>
      <c r="NNM743" s="3796"/>
      <c r="NNN743" s="3796"/>
      <c r="NNO743" s="3796"/>
      <c r="NNP743" s="3796"/>
      <c r="NNQ743" s="3796"/>
      <c r="NNR743" s="3796"/>
      <c r="NNS743" s="3796"/>
      <c r="NNT743" s="3796"/>
      <c r="NNU743" s="3796"/>
      <c r="NNV743" s="3796"/>
      <c r="NNW743" s="3796"/>
      <c r="NNX743" s="3796"/>
      <c r="NNY743" s="3796"/>
      <c r="NNZ743" s="3796"/>
      <c r="NOA743" s="3796"/>
      <c r="NOB743" s="3796"/>
      <c r="NOC743" s="3796"/>
      <c r="NOD743" s="3796"/>
      <c r="NOE743" s="3796"/>
      <c r="NOF743" s="3796"/>
      <c r="NOG743" s="3796"/>
      <c r="NOH743" s="3796"/>
      <c r="NOI743" s="3796"/>
      <c r="NOJ743" s="3796"/>
      <c r="NOK743" s="3796"/>
      <c r="NOL743" s="3796"/>
      <c r="NOM743" s="3796"/>
      <c r="NON743" s="3796"/>
      <c r="NOO743" s="3796"/>
      <c r="NOP743" s="3796"/>
      <c r="NOQ743" s="3796"/>
      <c r="NOR743" s="3796"/>
      <c r="NOS743" s="3796"/>
      <c r="NOT743" s="3796"/>
      <c r="NOU743" s="3796"/>
      <c r="NOV743" s="3796"/>
      <c r="NOW743" s="3796"/>
      <c r="NOX743" s="3796"/>
      <c r="NOY743" s="3796"/>
      <c r="NOZ743" s="3796"/>
      <c r="NPA743" s="3796"/>
      <c r="NPB743" s="3796"/>
      <c r="NPC743" s="3796"/>
      <c r="NPD743" s="3796"/>
      <c r="NPE743" s="3796"/>
      <c r="NPF743" s="3796"/>
      <c r="NPG743" s="3796"/>
      <c r="NPH743" s="3796"/>
      <c r="NPI743" s="3796"/>
      <c r="NPJ743" s="3796"/>
      <c r="NPK743" s="3796"/>
      <c r="NPL743" s="3796"/>
      <c r="NPM743" s="3796"/>
      <c r="NPN743" s="3796"/>
      <c r="NPO743" s="3796"/>
      <c r="NPP743" s="3796"/>
      <c r="NPQ743" s="3796"/>
      <c r="NPR743" s="3796"/>
      <c r="NPS743" s="3796"/>
      <c r="NPT743" s="3796"/>
      <c r="NPU743" s="3796"/>
      <c r="NPV743" s="3796"/>
      <c r="NPW743" s="3796"/>
      <c r="NPX743" s="3796"/>
      <c r="NPY743" s="3796"/>
      <c r="NPZ743" s="3796"/>
      <c r="NQA743" s="3796"/>
      <c r="NQB743" s="3796"/>
      <c r="NQC743" s="3796"/>
      <c r="NQD743" s="3796"/>
      <c r="NQE743" s="3796"/>
      <c r="NQF743" s="3796"/>
      <c r="NQG743" s="3796"/>
      <c r="NQH743" s="3796"/>
      <c r="NQI743" s="3796"/>
      <c r="NQJ743" s="3796"/>
      <c r="NQK743" s="3796"/>
      <c r="NQL743" s="3796"/>
      <c r="NQM743" s="3796"/>
      <c r="NQN743" s="3796"/>
      <c r="NQO743" s="3796"/>
      <c r="NQP743" s="3796"/>
      <c r="NQQ743" s="3796"/>
      <c r="NQR743" s="3796"/>
      <c r="NQS743" s="3796"/>
      <c r="NQT743" s="3796"/>
      <c r="NQU743" s="3796"/>
      <c r="NQV743" s="3796"/>
      <c r="NQW743" s="3796"/>
      <c r="NQX743" s="3796"/>
      <c r="NQY743" s="3796"/>
      <c r="NQZ743" s="3796"/>
      <c r="NRA743" s="3796"/>
      <c r="NRB743" s="3796"/>
      <c r="NRC743" s="3796"/>
      <c r="NRD743" s="3796"/>
      <c r="NRE743" s="3796"/>
      <c r="NRF743" s="3796"/>
      <c r="NRG743" s="3796"/>
      <c r="NRH743" s="3796"/>
      <c r="NRI743" s="3796"/>
      <c r="NRJ743" s="3796"/>
      <c r="NRK743" s="3796"/>
      <c r="NRL743" s="3796"/>
      <c r="NRM743" s="3796"/>
      <c r="NRN743" s="3796"/>
      <c r="NRO743" s="3796"/>
      <c r="NRP743" s="3796"/>
      <c r="NRQ743" s="3796"/>
      <c r="NRR743" s="3796"/>
      <c r="NRS743" s="3796"/>
      <c r="NRT743" s="3796"/>
      <c r="NRU743" s="3796"/>
      <c r="NRV743" s="3796"/>
      <c r="NRW743" s="3796"/>
      <c r="NRX743" s="3796"/>
      <c r="NRY743" s="3796"/>
      <c r="NRZ743" s="3796"/>
      <c r="NSA743" s="3796"/>
      <c r="NSB743" s="3796"/>
      <c r="NSC743" s="3796"/>
      <c r="NSD743" s="3796"/>
      <c r="NSE743" s="3796"/>
      <c r="NSF743" s="3796"/>
      <c r="NSG743" s="3796"/>
      <c r="NSH743" s="3796"/>
      <c r="NSI743" s="3796"/>
      <c r="NSJ743" s="3796"/>
      <c r="NSK743" s="3796"/>
      <c r="NSL743" s="3796"/>
      <c r="NSM743" s="3796"/>
      <c r="NSN743" s="3796"/>
      <c r="NSO743" s="3796"/>
      <c r="NSP743" s="3796"/>
      <c r="NSQ743" s="3796"/>
      <c r="NSR743" s="3796"/>
      <c r="NSS743" s="3796"/>
      <c r="NST743" s="3796"/>
      <c r="NSU743" s="3796"/>
      <c r="NSV743" s="3796"/>
      <c r="NSW743" s="3796"/>
      <c r="NSX743" s="3796"/>
      <c r="NSY743" s="3796"/>
      <c r="NSZ743" s="3796"/>
      <c r="NTA743" s="3796"/>
      <c r="NTF743" s="3796"/>
      <c r="NTL743" s="3796"/>
      <c r="NTM743" s="3796"/>
      <c r="NTN743" s="3796"/>
      <c r="NTR743" s="3796"/>
      <c r="NTY743" s="3796"/>
      <c r="NTZ743" s="3796"/>
      <c r="NUA743" s="3796"/>
      <c r="NUB743" s="3796"/>
      <c r="NUC743" s="3796"/>
      <c r="NUD743" s="3796"/>
      <c r="NUE743" s="3796"/>
      <c r="NUF743" s="3796"/>
      <c r="NUG743" s="3796"/>
      <c r="NUH743" s="3796"/>
      <c r="NUI743" s="3796"/>
      <c r="NUJ743" s="3796"/>
      <c r="NUK743" s="3796"/>
      <c r="NUL743" s="3796"/>
      <c r="NUM743" s="3796"/>
      <c r="NUN743" s="3796"/>
      <c r="NUO743" s="3796"/>
      <c r="NUP743" s="3796"/>
      <c r="NUQ743" s="3796"/>
      <c r="NUR743" s="3796"/>
      <c r="NUS743" s="3796"/>
      <c r="NUT743" s="3796"/>
      <c r="NUU743" s="3796"/>
      <c r="NUV743" s="3796"/>
      <c r="NUW743" s="3796"/>
      <c r="NUX743" s="3796"/>
      <c r="NUY743" s="3796"/>
      <c r="NUZ743" s="3796"/>
      <c r="NVA743" s="3796"/>
      <c r="NVB743" s="3796"/>
      <c r="NVC743" s="3796"/>
      <c r="NVD743" s="3796"/>
      <c r="NVE743" s="3796"/>
      <c r="NVF743" s="3796"/>
      <c r="NVG743" s="3796"/>
      <c r="NVH743" s="3796"/>
      <c r="NVI743" s="3796"/>
      <c r="NVJ743" s="3796"/>
      <c r="NVK743" s="3796"/>
      <c r="NVL743" s="3796"/>
      <c r="NVM743" s="3796"/>
      <c r="NVN743" s="3796"/>
      <c r="NVO743" s="3796"/>
      <c r="NVP743" s="3796"/>
      <c r="NVQ743" s="3796"/>
      <c r="NVR743" s="3796"/>
      <c r="NVS743" s="3796"/>
      <c r="NVT743" s="3796"/>
      <c r="NVU743" s="3796"/>
      <c r="NVV743" s="3796"/>
      <c r="NVW743" s="3796"/>
      <c r="NVX743" s="3796"/>
      <c r="NVY743" s="3796"/>
      <c r="NVZ743" s="3796"/>
      <c r="NWA743" s="3796"/>
      <c r="NWB743" s="3796"/>
      <c r="NWC743" s="3796"/>
      <c r="NWD743" s="3796"/>
      <c r="NWE743" s="3796"/>
      <c r="NWF743" s="3796"/>
      <c r="NWG743" s="3796"/>
      <c r="NWH743" s="3796"/>
      <c r="NWI743" s="3796"/>
      <c r="NWJ743" s="3796"/>
      <c r="NWK743" s="3796"/>
      <c r="NWL743" s="3796"/>
      <c r="NWM743" s="3796"/>
      <c r="NWN743" s="3796"/>
      <c r="NWO743" s="3796"/>
      <c r="NWP743" s="3796"/>
      <c r="NWQ743" s="3796"/>
      <c r="NWR743" s="3796"/>
      <c r="NWS743" s="3796"/>
      <c r="NWT743" s="3796"/>
      <c r="NWU743" s="3796"/>
      <c r="NWV743" s="3796"/>
      <c r="NWW743" s="3796"/>
      <c r="NWX743" s="3796"/>
      <c r="NWY743" s="3796"/>
      <c r="NWZ743" s="3796"/>
      <c r="NXA743" s="3796"/>
      <c r="NXB743" s="3796"/>
      <c r="NXC743" s="3796"/>
      <c r="NXD743" s="3796"/>
      <c r="NXE743" s="3796"/>
      <c r="NXF743" s="3796"/>
      <c r="NXG743" s="3796"/>
      <c r="NXH743" s="3796"/>
      <c r="NXI743" s="3796"/>
      <c r="NXJ743" s="3796"/>
      <c r="NXK743" s="3796"/>
      <c r="NXL743" s="3796"/>
      <c r="NXM743" s="3796"/>
      <c r="NXN743" s="3796"/>
      <c r="NXO743" s="3796"/>
      <c r="NXP743" s="3796"/>
      <c r="NXQ743" s="3796"/>
      <c r="NXR743" s="3796"/>
      <c r="NXS743" s="3796"/>
      <c r="NXT743" s="3796"/>
      <c r="NXU743" s="3796"/>
      <c r="NXV743" s="3796"/>
      <c r="NXW743" s="3796"/>
      <c r="NXX743" s="3796"/>
      <c r="NXY743" s="3796"/>
      <c r="NXZ743" s="3796"/>
      <c r="NYA743" s="3796"/>
      <c r="NYB743" s="3796"/>
      <c r="NYC743" s="3796"/>
      <c r="NYD743" s="3796"/>
      <c r="NYE743" s="3796"/>
      <c r="NYF743" s="3796"/>
      <c r="NYG743" s="3796"/>
      <c r="NYH743" s="3796"/>
      <c r="NYI743" s="3796"/>
      <c r="NYJ743" s="3796"/>
      <c r="NYK743" s="3796"/>
      <c r="NYL743" s="3796"/>
      <c r="NYM743" s="3796"/>
      <c r="NYN743" s="3796"/>
      <c r="NYO743" s="3796"/>
      <c r="NYP743" s="3796"/>
      <c r="NYQ743" s="3796"/>
      <c r="NYR743" s="3796"/>
      <c r="NYS743" s="3796"/>
      <c r="NYT743" s="3796"/>
      <c r="NYU743" s="3796"/>
      <c r="NYV743" s="3796"/>
      <c r="NYW743" s="3796"/>
      <c r="NYX743" s="3796"/>
      <c r="NYY743" s="3796"/>
      <c r="NYZ743" s="3796"/>
      <c r="NZA743" s="3796"/>
      <c r="NZB743" s="3796"/>
      <c r="NZC743" s="3796"/>
      <c r="NZD743" s="3796"/>
      <c r="NZE743" s="3796"/>
      <c r="NZF743" s="3796"/>
      <c r="NZG743" s="3796"/>
      <c r="NZH743" s="3796"/>
      <c r="NZI743" s="3796"/>
      <c r="NZJ743" s="3796"/>
      <c r="NZK743" s="3796"/>
      <c r="NZL743" s="3796"/>
      <c r="NZM743" s="3796"/>
      <c r="NZN743" s="3796"/>
      <c r="NZO743" s="3796"/>
      <c r="NZP743" s="3796"/>
      <c r="NZQ743" s="3796"/>
      <c r="NZR743" s="3796"/>
      <c r="NZS743" s="3796"/>
      <c r="NZT743" s="3796"/>
      <c r="NZU743" s="3796"/>
      <c r="NZV743" s="3796"/>
      <c r="NZW743" s="3796"/>
      <c r="NZX743" s="3796"/>
      <c r="NZY743" s="3796"/>
      <c r="NZZ743" s="3796"/>
      <c r="OAA743" s="3796"/>
      <c r="OAB743" s="3796"/>
      <c r="OAC743" s="3796"/>
      <c r="OAD743" s="3796"/>
      <c r="OAE743" s="3796"/>
      <c r="OAF743" s="3796"/>
      <c r="OAG743" s="3796"/>
      <c r="OAH743" s="3796"/>
      <c r="OAI743" s="3796"/>
      <c r="OAJ743" s="3796"/>
      <c r="OAK743" s="3796"/>
      <c r="OAL743" s="3796"/>
      <c r="OAM743" s="3796"/>
      <c r="OAN743" s="3796"/>
      <c r="OAO743" s="3796"/>
      <c r="OAP743" s="3796"/>
      <c r="OAQ743" s="3796"/>
      <c r="OAR743" s="3796"/>
      <c r="OAS743" s="3796"/>
      <c r="OAT743" s="3796"/>
      <c r="OAU743" s="3796"/>
      <c r="OAV743" s="3796"/>
      <c r="OAW743" s="3796"/>
      <c r="OAX743" s="3796"/>
      <c r="OAY743" s="3796"/>
      <c r="OAZ743" s="3796"/>
      <c r="OBA743" s="3796"/>
      <c r="OBB743" s="3796"/>
      <c r="OBC743" s="3796"/>
      <c r="OBD743" s="3796"/>
      <c r="OBE743" s="3796"/>
      <c r="OBF743" s="3796"/>
      <c r="OBG743" s="3796"/>
      <c r="OBH743" s="3796"/>
      <c r="OBI743" s="3796"/>
      <c r="OBJ743" s="3796"/>
      <c r="OBK743" s="3796"/>
      <c r="OBL743" s="3796"/>
      <c r="OBM743" s="3796"/>
      <c r="OBN743" s="3796"/>
      <c r="OBO743" s="3796"/>
      <c r="OBP743" s="3796"/>
      <c r="OBQ743" s="3796"/>
      <c r="OBR743" s="3796"/>
      <c r="OBS743" s="3796"/>
      <c r="OBT743" s="3796"/>
      <c r="OBU743" s="3796"/>
      <c r="OBV743" s="3796"/>
      <c r="OBW743" s="3796"/>
      <c r="OBX743" s="3796"/>
      <c r="OBY743" s="3796"/>
      <c r="OBZ743" s="3796"/>
      <c r="OCA743" s="3796"/>
      <c r="OCB743" s="3796"/>
      <c r="OCC743" s="3796"/>
      <c r="OCD743" s="3796"/>
      <c r="OCE743" s="3796"/>
      <c r="OCF743" s="3796"/>
      <c r="OCG743" s="3796"/>
      <c r="OCH743" s="3796"/>
      <c r="OCI743" s="3796"/>
      <c r="OCJ743" s="3796"/>
      <c r="OCK743" s="3796"/>
      <c r="OCL743" s="3796"/>
      <c r="OCM743" s="3796"/>
      <c r="OCN743" s="3796"/>
      <c r="OCO743" s="3796"/>
      <c r="OCP743" s="3796"/>
      <c r="OCQ743" s="3796"/>
      <c r="OCR743" s="3796"/>
      <c r="OCS743" s="3796"/>
      <c r="OCT743" s="3796"/>
      <c r="OCU743" s="3796"/>
      <c r="OCV743" s="3796"/>
      <c r="OCW743" s="3796"/>
      <c r="ODB743" s="3796"/>
      <c r="ODH743" s="3796"/>
      <c r="ODI743" s="3796"/>
      <c r="ODJ743" s="3796"/>
      <c r="ODN743" s="3796"/>
      <c r="ODU743" s="3796"/>
      <c r="ODV743" s="3796"/>
      <c r="ODW743" s="3796"/>
      <c r="ODX743" s="3796"/>
      <c r="ODY743" s="3796"/>
      <c r="ODZ743" s="3796"/>
      <c r="OEA743" s="3796"/>
      <c r="OEB743" s="3796"/>
      <c r="OEC743" s="3796"/>
      <c r="OED743" s="3796"/>
      <c r="OEE743" s="3796"/>
      <c r="OEF743" s="3796"/>
      <c r="OEG743" s="3796"/>
      <c r="OEH743" s="3796"/>
      <c r="OEI743" s="3796"/>
      <c r="OEJ743" s="3796"/>
      <c r="OEK743" s="3796"/>
      <c r="OEL743" s="3796"/>
      <c r="OEM743" s="3796"/>
      <c r="OEN743" s="3796"/>
      <c r="OEO743" s="3796"/>
      <c r="OEP743" s="3796"/>
      <c r="OEQ743" s="3796"/>
      <c r="OER743" s="3796"/>
      <c r="OES743" s="3796"/>
      <c r="OET743" s="3796"/>
      <c r="OEU743" s="3796"/>
      <c r="OEV743" s="3796"/>
      <c r="OEW743" s="3796"/>
      <c r="OEX743" s="3796"/>
      <c r="OEY743" s="3796"/>
      <c r="OEZ743" s="3796"/>
      <c r="OFA743" s="3796"/>
      <c r="OFB743" s="3796"/>
      <c r="OFC743" s="3796"/>
      <c r="OFD743" s="3796"/>
      <c r="OFE743" s="3796"/>
      <c r="OFF743" s="3796"/>
      <c r="OFG743" s="3796"/>
      <c r="OFH743" s="3796"/>
      <c r="OFI743" s="3796"/>
      <c r="OFJ743" s="3796"/>
      <c r="OFK743" s="3796"/>
      <c r="OFL743" s="3796"/>
      <c r="OFM743" s="3796"/>
      <c r="OFN743" s="3796"/>
      <c r="OFO743" s="3796"/>
      <c r="OFP743" s="3796"/>
      <c r="OFQ743" s="3796"/>
      <c r="OFR743" s="3796"/>
      <c r="OFS743" s="3796"/>
      <c r="OFT743" s="3796"/>
      <c r="OFU743" s="3796"/>
      <c r="OFV743" s="3796"/>
      <c r="OFW743" s="3796"/>
      <c r="OFX743" s="3796"/>
      <c r="OFY743" s="3796"/>
      <c r="OFZ743" s="3796"/>
      <c r="OGA743" s="3796"/>
      <c r="OGB743" s="3796"/>
      <c r="OGC743" s="3796"/>
      <c r="OGD743" s="3796"/>
      <c r="OGE743" s="3796"/>
      <c r="OGF743" s="3796"/>
      <c r="OGG743" s="3796"/>
      <c r="OGH743" s="3796"/>
      <c r="OGI743" s="3796"/>
      <c r="OGJ743" s="3796"/>
      <c r="OGK743" s="3796"/>
      <c r="OGL743" s="3796"/>
      <c r="OGM743" s="3796"/>
      <c r="OGN743" s="3796"/>
      <c r="OGO743" s="3796"/>
      <c r="OGP743" s="3796"/>
      <c r="OGQ743" s="3796"/>
      <c r="OGR743" s="3796"/>
      <c r="OGS743" s="3796"/>
      <c r="OGT743" s="3796"/>
      <c r="OGU743" s="3796"/>
      <c r="OGV743" s="3796"/>
      <c r="OGW743" s="3796"/>
      <c r="OGX743" s="3796"/>
      <c r="OGY743" s="3796"/>
      <c r="OGZ743" s="3796"/>
      <c r="OHA743" s="3796"/>
      <c r="OHB743" s="3796"/>
      <c r="OHC743" s="3796"/>
      <c r="OHD743" s="3796"/>
      <c r="OHE743" s="3796"/>
      <c r="OHF743" s="3796"/>
      <c r="OHG743" s="3796"/>
      <c r="OHH743" s="3796"/>
      <c r="OHI743" s="3796"/>
      <c r="OHJ743" s="3796"/>
      <c r="OHK743" s="3796"/>
      <c r="OHL743" s="3796"/>
      <c r="OHM743" s="3796"/>
      <c r="OHN743" s="3796"/>
      <c r="OHO743" s="3796"/>
      <c r="OHP743" s="3796"/>
      <c r="OHQ743" s="3796"/>
      <c r="OHR743" s="3796"/>
      <c r="OHS743" s="3796"/>
      <c r="OHT743" s="3796"/>
      <c r="OHU743" s="3796"/>
      <c r="OHV743" s="3796"/>
      <c r="OHW743" s="3796"/>
      <c r="OHX743" s="3796"/>
      <c r="OHY743" s="3796"/>
      <c r="OHZ743" s="3796"/>
      <c r="OIA743" s="3796"/>
      <c r="OIB743" s="3796"/>
      <c r="OIC743" s="3796"/>
      <c r="OID743" s="3796"/>
      <c r="OIE743" s="3796"/>
      <c r="OIF743" s="3796"/>
      <c r="OIG743" s="3796"/>
      <c r="OIH743" s="3796"/>
      <c r="OII743" s="3796"/>
      <c r="OIJ743" s="3796"/>
      <c r="OIK743" s="3796"/>
      <c r="OIL743" s="3796"/>
      <c r="OIM743" s="3796"/>
      <c r="OIN743" s="3796"/>
      <c r="OIO743" s="3796"/>
      <c r="OIP743" s="3796"/>
      <c r="OIQ743" s="3796"/>
      <c r="OIR743" s="3796"/>
      <c r="OIS743" s="3796"/>
      <c r="OIT743" s="3796"/>
      <c r="OIU743" s="3796"/>
      <c r="OIV743" s="3796"/>
      <c r="OIW743" s="3796"/>
      <c r="OIX743" s="3796"/>
      <c r="OIY743" s="3796"/>
      <c r="OIZ743" s="3796"/>
      <c r="OJA743" s="3796"/>
      <c r="OJB743" s="3796"/>
      <c r="OJC743" s="3796"/>
      <c r="OJD743" s="3796"/>
      <c r="OJE743" s="3796"/>
      <c r="OJF743" s="3796"/>
      <c r="OJG743" s="3796"/>
      <c r="OJH743" s="3796"/>
      <c r="OJI743" s="3796"/>
      <c r="OJJ743" s="3796"/>
      <c r="OJK743" s="3796"/>
      <c r="OJL743" s="3796"/>
      <c r="OJM743" s="3796"/>
      <c r="OJN743" s="3796"/>
      <c r="OJO743" s="3796"/>
      <c r="OJP743" s="3796"/>
      <c r="OJQ743" s="3796"/>
      <c r="OJR743" s="3796"/>
      <c r="OJS743" s="3796"/>
      <c r="OJT743" s="3796"/>
      <c r="OJU743" s="3796"/>
      <c r="OJV743" s="3796"/>
      <c r="OJW743" s="3796"/>
      <c r="OJX743" s="3796"/>
      <c r="OJY743" s="3796"/>
      <c r="OJZ743" s="3796"/>
      <c r="OKA743" s="3796"/>
      <c r="OKB743" s="3796"/>
      <c r="OKC743" s="3796"/>
      <c r="OKD743" s="3796"/>
      <c r="OKE743" s="3796"/>
      <c r="OKF743" s="3796"/>
      <c r="OKG743" s="3796"/>
      <c r="OKH743" s="3796"/>
      <c r="OKI743" s="3796"/>
      <c r="OKJ743" s="3796"/>
      <c r="OKK743" s="3796"/>
      <c r="OKL743" s="3796"/>
      <c r="OKM743" s="3796"/>
      <c r="OKN743" s="3796"/>
      <c r="OKO743" s="3796"/>
      <c r="OKP743" s="3796"/>
      <c r="OKQ743" s="3796"/>
      <c r="OKR743" s="3796"/>
      <c r="OKS743" s="3796"/>
      <c r="OKT743" s="3796"/>
      <c r="OKU743" s="3796"/>
      <c r="OKV743" s="3796"/>
      <c r="OKW743" s="3796"/>
      <c r="OKX743" s="3796"/>
      <c r="OKY743" s="3796"/>
      <c r="OKZ743" s="3796"/>
      <c r="OLA743" s="3796"/>
      <c r="OLB743" s="3796"/>
      <c r="OLC743" s="3796"/>
      <c r="OLD743" s="3796"/>
      <c r="OLE743" s="3796"/>
      <c r="OLF743" s="3796"/>
      <c r="OLG743" s="3796"/>
      <c r="OLH743" s="3796"/>
      <c r="OLI743" s="3796"/>
      <c r="OLJ743" s="3796"/>
      <c r="OLK743" s="3796"/>
      <c r="OLL743" s="3796"/>
      <c r="OLM743" s="3796"/>
      <c r="OLN743" s="3796"/>
      <c r="OLO743" s="3796"/>
      <c r="OLP743" s="3796"/>
      <c r="OLQ743" s="3796"/>
      <c r="OLR743" s="3796"/>
      <c r="OLS743" s="3796"/>
      <c r="OLT743" s="3796"/>
      <c r="OLU743" s="3796"/>
      <c r="OLV743" s="3796"/>
      <c r="OLW743" s="3796"/>
      <c r="OLX743" s="3796"/>
      <c r="OLY743" s="3796"/>
      <c r="OLZ743" s="3796"/>
      <c r="OMA743" s="3796"/>
      <c r="OMB743" s="3796"/>
      <c r="OMC743" s="3796"/>
      <c r="OMD743" s="3796"/>
      <c r="OME743" s="3796"/>
      <c r="OMF743" s="3796"/>
      <c r="OMG743" s="3796"/>
      <c r="OMH743" s="3796"/>
      <c r="OMI743" s="3796"/>
      <c r="OMJ743" s="3796"/>
      <c r="OMK743" s="3796"/>
      <c r="OML743" s="3796"/>
      <c r="OMM743" s="3796"/>
      <c r="OMN743" s="3796"/>
      <c r="OMO743" s="3796"/>
      <c r="OMP743" s="3796"/>
      <c r="OMQ743" s="3796"/>
      <c r="OMR743" s="3796"/>
      <c r="OMS743" s="3796"/>
      <c r="OMX743" s="3796"/>
      <c r="OND743" s="3796"/>
      <c r="ONE743" s="3796"/>
      <c r="ONF743" s="3796"/>
      <c r="ONJ743" s="3796"/>
      <c r="ONQ743" s="3796"/>
      <c r="ONR743" s="3796"/>
      <c r="ONS743" s="3796"/>
      <c r="ONT743" s="3796"/>
      <c r="ONU743" s="3796"/>
      <c r="ONV743" s="3796"/>
      <c r="ONW743" s="3796"/>
      <c r="ONX743" s="3796"/>
      <c r="ONY743" s="3796"/>
      <c r="ONZ743" s="3796"/>
      <c r="OOA743" s="3796"/>
      <c r="OOB743" s="3796"/>
      <c r="OOC743" s="3796"/>
      <c r="OOD743" s="3796"/>
      <c r="OOE743" s="3796"/>
      <c r="OOF743" s="3796"/>
      <c r="OOG743" s="3796"/>
      <c r="OOH743" s="3796"/>
      <c r="OOI743" s="3796"/>
      <c r="OOJ743" s="3796"/>
      <c r="OOK743" s="3796"/>
      <c r="OOL743" s="3796"/>
      <c r="OOM743" s="3796"/>
      <c r="OON743" s="3796"/>
      <c r="OOO743" s="3796"/>
      <c r="OOP743" s="3796"/>
      <c r="OOQ743" s="3796"/>
      <c r="OOR743" s="3796"/>
      <c r="OOS743" s="3796"/>
      <c r="OOT743" s="3796"/>
      <c r="OOU743" s="3796"/>
      <c r="OOV743" s="3796"/>
      <c r="OOW743" s="3796"/>
      <c r="OOX743" s="3796"/>
      <c r="OOY743" s="3796"/>
      <c r="OOZ743" s="3796"/>
      <c r="OPA743" s="3796"/>
      <c r="OPB743" s="3796"/>
      <c r="OPC743" s="3796"/>
      <c r="OPD743" s="3796"/>
      <c r="OPE743" s="3796"/>
      <c r="OPF743" s="3796"/>
      <c r="OPG743" s="3796"/>
      <c r="OPH743" s="3796"/>
      <c r="OPI743" s="3796"/>
      <c r="OPJ743" s="3796"/>
      <c r="OPK743" s="3796"/>
      <c r="OPL743" s="3796"/>
      <c r="OPM743" s="3796"/>
      <c r="OPN743" s="3796"/>
      <c r="OPO743" s="3796"/>
      <c r="OPP743" s="3796"/>
      <c r="OPQ743" s="3796"/>
      <c r="OPR743" s="3796"/>
      <c r="OPS743" s="3796"/>
      <c r="OPT743" s="3796"/>
      <c r="OPU743" s="3796"/>
      <c r="OPV743" s="3796"/>
      <c r="OPW743" s="3796"/>
      <c r="OPX743" s="3796"/>
      <c r="OPY743" s="3796"/>
      <c r="OPZ743" s="3796"/>
      <c r="OQA743" s="3796"/>
      <c r="OQB743" s="3796"/>
      <c r="OQC743" s="3796"/>
      <c r="OQD743" s="3796"/>
      <c r="OQE743" s="3796"/>
      <c r="OQF743" s="3796"/>
      <c r="OQG743" s="3796"/>
      <c r="OQH743" s="3796"/>
      <c r="OQI743" s="3796"/>
      <c r="OQJ743" s="3796"/>
      <c r="OQK743" s="3796"/>
      <c r="OQL743" s="3796"/>
      <c r="OQM743" s="3796"/>
      <c r="OQN743" s="3796"/>
      <c r="OQO743" s="3796"/>
      <c r="OQP743" s="3796"/>
      <c r="OQQ743" s="3796"/>
      <c r="OQR743" s="3796"/>
      <c r="OQS743" s="3796"/>
      <c r="OQT743" s="3796"/>
      <c r="OQU743" s="3796"/>
      <c r="OQV743" s="3796"/>
      <c r="OQW743" s="3796"/>
      <c r="OQX743" s="3796"/>
      <c r="OQY743" s="3796"/>
      <c r="OQZ743" s="3796"/>
      <c r="ORA743" s="3796"/>
      <c r="ORB743" s="3796"/>
      <c r="ORC743" s="3796"/>
      <c r="ORD743" s="3796"/>
      <c r="ORE743" s="3796"/>
      <c r="ORF743" s="3796"/>
      <c r="ORG743" s="3796"/>
      <c r="ORH743" s="3796"/>
      <c r="ORI743" s="3796"/>
      <c r="ORJ743" s="3796"/>
      <c r="ORK743" s="3796"/>
      <c r="ORL743" s="3796"/>
      <c r="ORM743" s="3796"/>
      <c r="ORN743" s="3796"/>
      <c r="ORO743" s="3796"/>
      <c r="ORP743" s="3796"/>
      <c r="ORQ743" s="3796"/>
      <c r="ORR743" s="3796"/>
      <c r="ORS743" s="3796"/>
      <c r="ORT743" s="3796"/>
      <c r="ORU743" s="3796"/>
      <c r="ORV743" s="3796"/>
      <c r="ORW743" s="3796"/>
      <c r="ORX743" s="3796"/>
      <c r="ORY743" s="3796"/>
      <c r="ORZ743" s="3796"/>
      <c r="OSA743" s="3796"/>
      <c r="OSB743" s="3796"/>
      <c r="OSC743" s="3796"/>
      <c r="OSD743" s="3796"/>
      <c r="OSE743" s="3796"/>
      <c r="OSF743" s="3796"/>
      <c r="OSG743" s="3796"/>
      <c r="OSH743" s="3796"/>
      <c r="OSI743" s="3796"/>
      <c r="OSJ743" s="3796"/>
      <c r="OSK743" s="3796"/>
      <c r="OSL743" s="3796"/>
      <c r="OSM743" s="3796"/>
      <c r="OSN743" s="3796"/>
      <c r="OSO743" s="3796"/>
      <c r="OSP743" s="3796"/>
      <c r="OSQ743" s="3796"/>
      <c r="OSR743" s="3796"/>
      <c r="OSS743" s="3796"/>
      <c r="OST743" s="3796"/>
      <c r="OSU743" s="3796"/>
      <c r="OSV743" s="3796"/>
      <c r="OSW743" s="3796"/>
      <c r="OSX743" s="3796"/>
      <c r="OSY743" s="3796"/>
      <c r="OSZ743" s="3796"/>
      <c r="OTA743" s="3796"/>
      <c r="OTB743" s="3796"/>
      <c r="OTC743" s="3796"/>
      <c r="OTD743" s="3796"/>
      <c r="OTE743" s="3796"/>
      <c r="OTF743" s="3796"/>
      <c r="OTG743" s="3796"/>
      <c r="OTH743" s="3796"/>
      <c r="OTI743" s="3796"/>
      <c r="OTJ743" s="3796"/>
      <c r="OTK743" s="3796"/>
      <c r="OTL743" s="3796"/>
      <c r="OTM743" s="3796"/>
      <c r="OTN743" s="3796"/>
      <c r="OTO743" s="3796"/>
      <c r="OTP743" s="3796"/>
      <c r="OTQ743" s="3796"/>
      <c r="OTR743" s="3796"/>
      <c r="OTS743" s="3796"/>
      <c r="OTT743" s="3796"/>
      <c r="OTU743" s="3796"/>
      <c r="OTV743" s="3796"/>
      <c r="OTW743" s="3796"/>
      <c r="OTX743" s="3796"/>
      <c r="OTY743" s="3796"/>
      <c r="OTZ743" s="3796"/>
      <c r="OUA743" s="3796"/>
      <c r="OUB743" s="3796"/>
      <c r="OUC743" s="3796"/>
      <c r="OUD743" s="3796"/>
      <c r="OUE743" s="3796"/>
      <c r="OUF743" s="3796"/>
      <c r="OUG743" s="3796"/>
      <c r="OUH743" s="3796"/>
      <c r="OUI743" s="3796"/>
      <c r="OUJ743" s="3796"/>
      <c r="OUK743" s="3796"/>
      <c r="OUL743" s="3796"/>
      <c r="OUM743" s="3796"/>
      <c r="OUN743" s="3796"/>
      <c r="OUO743" s="3796"/>
      <c r="OUP743" s="3796"/>
      <c r="OUQ743" s="3796"/>
      <c r="OUR743" s="3796"/>
      <c r="OUS743" s="3796"/>
      <c r="OUT743" s="3796"/>
      <c r="OUU743" s="3796"/>
      <c r="OUV743" s="3796"/>
      <c r="OUW743" s="3796"/>
      <c r="OUX743" s="3796"/>
      <c r="OUY743" s="3796"/>
      <c r="OUZ743" s="3796"/>
      <c r="OVA743" s="3796"/>
      <c r="OVB743" s="3796"/>
      <c r="OVC743" s="3796"/>
      <c r="OVD743" s="3796"/>
      <c r="OVE743" s="3796"/>
      <c r="OVF743" s="3796"/>
      <c r="OVG743" s="3796"/>
      <c r="OVH743" s="3796"/>
      <c r="OVI743" s="3796"/>
      <c r="OVJ743" s="3796"/>
      <c r="OVK743" s="3796"/>
      <c r="OVL743" s="3796"/>
      <c r="OVM743" s="3796"/>
      <c r="OVN743" s="3796"/>
      <c r="OVO743" s="3796"/>
      <c r="OVP743" s="3796"/>
      <c r="OVQ743" s="3796"/>
      <c r="OVR743" s="3796"/>
      <c r="OVS743" s="3796"/>
      <c r="OVT743" s="3796"/>
      <c r="OVU743" s="3796"/>
      <c r="OVV743" s="3796"/>
      <c r="OVW743" s="3796"/>
      <c r="OVX743" s="3796"/>
      <c r="OVY743" s="3796"/>
      <c r="OVZ743" s="3796"/>
      <c r="OWA743" s="3796"/>
      <c r="OWB743" s="3796"/>
      <c r="OWC743" s="3796"/>
      <c r="OWD743" s="3796"/>
      <c r="OWE743" s="3796"/>
      <c r="OWF743" s="3796"/>
      <c r="OWG743" s="3796"/>
      <c r="OWH743" s="3796"/>
      <c r="OWI743" s="3796"/>
      <c r="OWJ743" s="3796"/>
      <c r="OWK743" s="3796"/>
      <c r="OWL743" s="3796"/>
      <c r="OWM743" s="3796"/>
      <c r="OWN743" s="3796"/>
      <c r="OWO743" s="3796"/>
      <c r="OWT743" s="3796"/>
      <c r="OWZ743" s="3796"/>
      <c r="OXA743" s="3796"/>
      <c r="OXB743" s="3796"/>
      <c r="OXF743" s="3796"/>
      <c r="OXM743" s="3796"/>
      <c r="OXN743" s="3796"/>
      <c r="OXO743" s="3796"/>
      <c r="OXP743" s="3796"/>
      <c r="OXQ743" s="3796"/>
      <c r="OXR743" s="3796"/>
      <c r="OXS743" s="3796"/>
      <c r="OXT743" s="3796"/>
      <c r="OXU743" s="3796"/>
      <c r="OXV743" s="3796"/>
      <c r="OXW743" s="3796"/>
      <c r="OXX743" s="3796"/>
      <c r="OXY743" s="3796"/>
      <c r="OXZ743" s="3796"/>
      <c r="OYA743" s="3796"/>
      <c r="OYB743" s="3796"/>
      <c r="OYC743" s="3796"/>
      <c r="OYD743" s="3796"/>
      <c r="OYE743" s="3796"/>
      <c r="OYF743" s="3796"/>
      <c r="OYG743" s="3796"/>
      <c r="OYH743" s="3796"/>
      <c r="OYI743" s="3796"/>
      <c r="OYJ743" s="3796"/>
      <c r="OYK743" s="3796"/>
      <c r="OYL743" s="3796"/>
      <c r="OYM743" s="3796"/>
      <c r="OYN743" s="3796"/>
      <c r="OYO743" s="3796"/>
      <c r="OYP743" s="3796"/>
      <c r="OYQ743" s="3796"/>
      <c r="OYR743" s="3796"/>
      <c r="OYS743" s="3796"/>
      <c r="OYT743" s="3796"/>
      <c r="OYU743" s="3796"/>
      <c r="OYV743" s="3796"/>
      <c r="OYW743" s="3796"/>
      <c r="OYX743" s="3796"/>
      <c r="OYY743" s="3796"/>
      <c r="OYZ743" s="3796"/>
      <c r="OZA743" s="3796"/>
      <c r="OZB743" s="3796"/>
      <c r="OZC743" s="3796"/>
      <c r="OZD743" s="3796"/>
      <c r="OZE743" s="3796"/>
      <c r="OZF743" s="3796"/>
      <c r="OZG743" s="3796"/>
      <c r="OZH743" s="3796"/>
      <c r="OZI743" s="3796"/>
      <c r="OZJ743" s="3796"/>
      <c r="OZK743" s="3796"/>
      <c r="OZL743" s="3796"/>
      <c r="OZM743" s="3796"/>
      <c r="OZN743" s="3796"/>
      <c r="OZO743" s="3796"/>
      <c r="OZP743" s="3796"/>
      <c r="OZQ743" s="3796"/>
      <c r="OZR743" s="3796"/>
      <c r="OZS743" s="3796"/>
      <c r="OZT743" s="3796"/>
      <c r="OZU743" s="3796"/>
      <c r="OZV743" s="3796"/>
      <c r="OZW743" s="3796"/>
      <c r="OZX743" s="3796"/>
      <c r="OZY743" s="3796"/>
      <c r="OZZ743" s="3796"/>
      <c r="PAA743" s="3796"/>
      <c r="PAB743" s="3796"/>
      <c r="PAC743" s="3796"/>
      <c r="PAD743" s="3796"/>
      <c r="PAE743" s="3796"/>
      <c r="PAF743" s="3796"/>
      <c r="PAG743" s="3796"/>
      <c r="PAH743" s="3796"/>
      <c r="PAI743" s="3796"/>
      <c r="PAJ743" s="3796"/>
      <c r="PAK743" s="3796"/>
      <c r="PAL743" s="3796"/>
      <c r="PAM743" s="3796"/>
      <c r="PAN743" s="3796"/>
      <c r="PAO743" s="3796"/>
      <c r="PAP743" s="3796"/>
      <c r="PAQ743" s="3796"/>
      <c r="PAR743" s="3796"/>
      <c r="PAS743" s="3796"/>
      <c r="PAT743" s="3796"/>
      <c r="PAU743" s="3796"/>
      <c r="PAV743" s="3796"/>
      <c r="PAW743" s="3796"/>
      <c r="PAX743" s="3796"/>
      <c r="PAY743" s="3796"/>
      <c r="PAZ743" s="3796"/>
      <c r="PBA743" s="3796"/>
      <c r="PBB743" s="3796"/>
      <c r="PBC743" s="3796"/>
      <c r="PBD743" s="3796"/>
      <c r="PBE743" s="3796"/>
      <c r="PBF743" s="3796"/>
      <c r="PBG743" s="3796"/>
      <c r="PBH743" s="3796"/>
      <c r="PBI743" s="3796"/>
      <c r="PBJ743" s="3796"/>
      <c r="PBK743" s="3796"/>
      <c r="PBL743" s="3796"/>
      <c r="PBM743" s="3796"/>
      <c r="PBN743" s="3796"/>
      <c r="PBO743" s="3796"/>
      <c r="PBP743" s="3796"/>
      <c r="PBQ743" s="3796"/>
      <c r="PBR743" s="3796"/>
      <c r="PBS743" s="3796"/>
      <c r="PBT743" s="3796"/>
      <c r="PBU743" s="3796"/>
      <c r="PBV743" s="3796"/>
      <c r="PBW743" s="3796"/>
      <c r="PBX743" s="3796"/>
      <c r="PBY743" s="3796"/>
      <c r="PBZ743" s="3796"/>
      <c r="PCA743" s="3796"/>
      <c r="PCB743" s="3796"/>
      <c r="PCC743" s="3796"/>
      <c r="PCD743" s="3796"/>
      <c r="PCE743" s="3796"/>
      <c r="PCF743" s="3796"/>
      <c r="PCG743" s="3796"/>
      <c r="PCH743" s="3796"/>
      <c r="PCI743" s="3796"/>
      <c r="PCJ743" s="3796"/>
      <c r="PCK743" s="3796"/>
      <c r="PCL743" s="3796"/>
      <c r="PCM743" s="3796"/>
      <c r="PCN743" s="3796"/>
      <c r="PCO743" s="3796"/>
      <c r="PCP743" s="3796"/>
      <c r="PCQ743" s="3796"/>
      <c r="PCR743" s="3796"/>
      <c r="PCS743" s="3796"/>
      <c r="PCT743" s="3796"/>
      <c r="PCU743" s="3796"/>
      <c r="PCV743" s="3796"/>
      <c r="PCW743" s="3796"/>
      <c r="PCX743" s="3796"/>
      <c r="PCY743" s="3796"/>
      <c r="PCZ743" s="3796"/>
      <c r="PDA743" s="3796"/>
      <c r="PDB743" s="3796"/>
      <c r="PDC743" s="3796"/>
      <c r="PDD743" s="3796"/>
      <c r="PDE743" s="3796"/>
      <c r="PDF743" s="3796"/>
      <c r="PDG743" s="3796"/>
      <c r="PDH743" s="3796"/>
      <c r="PDI743" s="3796"/>
      <c r="PDJ743" s="3796"/>
      <c r="PDK743" s="3796"/>
      <c r="PDL743" s="3796"/>
      <c r="PDM743" s="3796"/>
      <c r="PDN743" s="3796"/>
      <c r="PDO743" s="3796"/>
      <c r="PDP743" s="3796"/>
      <c r="PDQ743" s="3796"/>
      <c r="PDR743" s="3796"/>
      <c r="PDS743" s="3796"/>
      <c r="PDT743" s="3796"/>
      <c r="PDU743" s="3796"/>
      <c r="PDV743" s="3796"/>
      <c r="PDW743" s="3796"/>
      <c r="PDX743" s="3796"/>
      <c r="PDY743" s="3796"/>
      <c r="PDZ743" s="3796"/>
      <c r="PEA743" s="3796"/>
      <c r="PEB743" s="3796"/>
      <c r="PEC743" s="3796"/>
      <c r="PED743" s="3796"/>
      <c r="PEE743" s="3796"/>
      <c r="PEF743" s="3796"/>
      <c r="PEG743" s="3796"/>
      <c r="PEH743" s="3796"/>
      <c r="PEI743" s="3796"/>
      <c r="PEJ743" s="3796"/>
      <c r="PEK743" s="3796"/>
      <c r="PEL743" s="3796"/>
      <c r="PEM743" s="3796"/>
      <c r="PEN743" s="3796"/>
      <c r="PEO743" s="3796"/>
      <c r="PEP743" s="3796"/>
      <c r="PEQ743" s="3796"/>
      <c r="PER743" s="3796"/>
      <c r="PES743" s="3796"/>
      <c r="PET743" s="3796"/>
      <c r="PEU743" s="3796"/>
      <c r="PEV743" s="3796"/>
      <c r="PEW743" s="3796"/>
      <c r="PEX743" s="3796"/>
      <c r="PEY743" s="3796"/>
      <c r="PEZ743" s="3796"/>
      <c r="PFA743" s="3796"/>
      <c r="PFB743" s="3796"/>
      <c r="PFC743" s="3796"/>
      <c r="PFD743" s="3796"/>
      <c r="PFE743" s="3796"/>
      <c r="PFF743" s="3796"/>
      <c r="PFG743" s="3796"/>
      <c r="PFH743" s="3796"/>
      <c r="PFI743" s="3796"/>
      <c r="PFJ743" s="3796"/>
      <c r="PFK743" s="3796"/>
      <c r="PFL743" s="3796"/>
      <c r="PFM743" s="3796"/>
      <c r="PFN743" s="3796"/>
      <c r="PFO743" s="3796"/>
      <c r="PFP743" s="3796"/>
      <c r="PFQ743" s="3796"/>
      <c r="PFR743" s="3796"/>
      <c r="PFS743" s="3796"/>
      <c r="PFT743" s="3796"/>
      <c r="PFU743" s="3796"/>
      <c r="PFV743" s="3796"/>
      <c r="PFW743" s="3796"/>
      <c r="PFX743" s="3796"/>
      <c r="PFY743" s="3796"/>
      <c r="PFZ743" s="3796"/>
      <c r="PGA743" s="3796"/>
      <c r="PGB743" s="3796"/>
      <c r="PGC743" s="3796"/>
      <c r="PGD743" s="3796"/>
      <c r="PGE743" s="3796"/>
      <c r="PGF743" s="3796"/>
      <c r="PGG743" s="3796"/>
      <c r="PGH743" s="3796"/>
      <c r="PGI743" s="3796"/>
      <c r="PGJ743" s="3796"/>
      <c r="PGK743" s="3796"/>
      <c r="PGP743" s="3796"/>
      <c r="PGV743" s="3796"/>
      <c r="PGW743" s="3796"/>
      <c r="PGX743" s="3796"/>
      <c r="PHB743" s="3796"/>
      <c r="PHI743" s="3796"/>
      <c r="PHJ743" s="3796"/>
      <c r="PHK743" s="3796"/>
      <c r="PHL743" s="3796"/>
      <c r="PHM743" s="3796"/>
      <c r="PHN743" s="3796"/>
      <c r="PHO743" s="3796"/>
      <c r="PHP743" s="3796"/>
      <c r="PHQ743" s="3796"/>
      <c r="PHR743" s="3796"/>
      <c r="PHS743" s="3796"/>
      <c r="PHT743" s="3796"/>
      <c r="PHU743" s="3796"/>
      <c r="PHV743" s="3796"/>
      <c r="PHW743" s="3796"/>
      <c r="PHX743" s="3796"/>
      <c r="PHY743" s="3796"/>
      <c r="PHZ743" s="3796"/>
      <c r="PIA743" s="3796"/>
      <c r="PIB743" s="3796"/>
      <c r="PIC743" s="3796"/>
      <c r="PID743" s="3796"/>
      <c r="PIE743" s="3796"/>
      <c r="PIF743" s="3796"/>
      <c r="PIG743" s="3796"/>
      <c r="PIH743" s="3796"/>
      <c r="PII743" s="3796"/>
      <c r="PIJ743" s="3796"/>
      <c r="PIK743" s="3796"/>
      <c r="PIL743" s="3796"/>
      <c r="PIM743" s="3796"/>
      <c r="PIN743" s="3796"/>
      <c r="PIO743" s="3796"/>
      <c r="PIP743" s="3796"/>
      <c r="PIQ743" s="3796"/>
      <c r="PIR743" s="3796"/>
      <c r="PIS743" s="3796"/>
      <c r="PIT743" s="3796"/>
      <c r="PIU743" s="3796"/>
      <c r="PIV743" s="3796"/>
      <c r="PIW743" s="3796"/>
      <c r="PIX743" s="3796"/>
      <c r="PIY743" s="3796"/>
      <c r="PIZ743" s="3796"/>
      <c r="PJA743" s="3796"/>
      <c r="PJB743" s="3796"/>
      <c r="PJC743" s="3796"/>
      <c r="PJD743" s="3796"/>
      <c r="PJE743" s="3796"/>
      <c r="PJF743" s="3796"/>
      <c r="PJG743" s="3796"/>
      <c r="PJH743" s="3796"/>
      <c r="PJI743" s="3796"/>
      <c r="PJJ743" s="3796"/>
      <c r="PJK743" s="3796"/>
      <c r="PJL743" s="3796"/>
      <c r="PJM743" s="3796"/>
      <c r="PJN743" s="3796"/>
      <c r="PJO743" s="3796"/>
      <c r="PJP743" s="3796"/>
      <c r="PJQ743" s="3796"/>
      <c r="PJR743" s="3796"/>
      <c r="PJS743" s="3796"/>
      <c r="PJT743" s="3796"/>
      <c r="PJU743" s="3796"/>
      <c r="PJV743" s="3796"/>
      <c r="PJW743" s="3796"/>
      <c r="PJX743" s="3796"/>
      <c r="PJY743" s="3796"/>
      <c r="PJZ743" s="3796"/>
      <c r="PKA743" s="3796"/>
      <c r="PKB743" s="3796"/>
      <c r="PKC743" s="3796"/>
      <c r="PKD743" s="3796"/>
      <c r="PKE743" s="3796"/>
      <c r="PKF743" s="3796"/>
      <c r="PKG743" s="3796"/>
      <c r="PKH743" s="3796"/>
      <c r="PKI743" s="3796"/>
      <c r="PKJ743" s="3796"/>
      <c r="PKK743" s="3796"/>
      <c r="PKL743" s="3796"/>
      <c r="PKM743" s="3796"/>
      <c r="PKN743" s="3796"/>
      <c r="PKO743" s="3796"/>
      <c r="PKP743" s="3796"/>
      <c r="PKQ743" s="3796"/>
      <c r="PKR743" s="3796"/>
      <c r="PKS743" s="3796"/>
      <c r="PKT743" s="3796"/>
      <c r="PKU743" s="3796"/>
      <c r="PKV743" s="3796"/>
      <c r="PKW743" s="3796"/>
      <c r="PKX743" s="3796"/>
      <c r="PKY743" s="3796"/>
      <c r="PKZ743" s="3796"/>
      <c r="PLA743" s="3796"/>
      <c r="PLB743" s="3796"/>
      <c r="PLC743" s="3796"/>
      <c r="PLD743" s="3796"/>
      <c r="PLE743" s="3796"/>
      <c r="PLF743" s="3796"/>
      <c r="PLG743" s="3796"/>
      <c r="PLH743" s="3796"/>
      <c r="PLI743" s="3796"/>
      <c r="PLJ743" s="3796"/>
      <c r="PLK743" s="3796"/>
      <c r="PLL743" s="3796"/>
      <c r="PLM743" s="3796"/>
      <c r="PLN743" s="3796"/>
      <c r="PLO743" s="3796"/>
      <c r="PLP743" s="3796"/>
      <c r="PLQ743" s="3796"/>
      <c r="PLR743" s="3796"/>
      <c r="PLS743" s="3796"/>
      <c r="PLT743" s="3796"/>
      <c r="PLU743" s="3796"/>
      <c r="PLV743" s="3796"/>
      <c r="PLW743" s="3796"/>
      <c r="PLX743" s="3796"/>
      <c r="PLY743" s="3796"/>
      <c r="PLZ743" s="3796"/>
      <c r="PMA743" s="3796"/>
      <c r="PMB743" s="3796"/>
      <c r="PMC743" s="3796"/>
      <c r="PMD743" s="3796"/>
      <c r="PME743" s="3796"/>
      <c r="PMF743" s="3796"/>
      <c r="PMG743" s="3796"/>
      <c r="PMH743" s="3796"/>
      <c r="PMI743" s="3796"/>
      <c r="PMJ743" s="3796"/>
      <c r="PMK743" s="3796"/>
      <c r="PML743" s="3796"/>
      <c r="PMM743" s="3796"/>
      <c r="PMN743" s="3796"/>
      <c r="PMO743" s="3796"/>
      <c r="PMP743" s="3796"/>
      <c r="PMQ743" s="3796"/>
      <c r="PMR743" s="3796"/>
      <c r="PMS743" s="3796"/>
      <c r="PMT743" s="3796"/>
      <c r="PMU743" s="3796"/>
      <c r="PMV743" s="3796"/>
      <c r="PMW743" s="3796"/>
      <c r="PMX743" s="3796"/>
      <c r="PMY743" s="3796"/>
      <c r="PMZ743" s="3796"/>
      <c r="PNA743" s="3796"/>
      <c r="PNB743" s="3796"/>
      <c r="PNC743" s="3796"/>
      <c r="PND743" s="3796"/>
      <c r="PNE743" s="3796"/>
      <c r="PNF743" s="3796"/>
      <c r="PNG743" s="3796"/>
      <c r="PNH743" s="3796"/>
      <c r="PNI743" s="3796"/>
      <c r="PNJ743" s="3796"/>
      <c r="PNK743" s="3796"/>
      <c r="PNL743" s="3796"/>
      <c r="PNM743" s="3796"/>
      <c r="PNN743" s="3796"/>
      <c r="PNO743" s="3796"/>
      <c r="PNP743" s="3796"/>
      <c r="PNQ743" s="3796"/>
      <c r="PNR743" s="3796"/>
      <c r="PNS743" s="3796"/>
      <c r="PNT743" s="3796"/>
      <c r="PNU743" s="3796"/>
      <c r="PNV743" s="3796"/>
      <c r="PNW743" s="3796"/>
      <c r="PNX743" s="3796"/>
      <c r="PNY743" s="3796"/>
      <c r="PNZ743" s="3796"/>
      <c r="POA743" s="3796"/>
      <c r="POB743" s="3796"/>
      <c r="POC743" s="3796"/>
      <c r="POD743" s="3796"/>
      <c r="POE743" s="3796"/>
      <c r="POF743" s="3796"/>
      <c r="POG743" s="3796"/>
      <c r="POH743" s="3796"/>
      <c r="POI743" s="3796"/>
      <c r="POJ743" s="3796"/>
      <c r="POK743" s="3796"/>
      <c r="POL743" s="3796"/>
      <c r="POM743" s="3796"/>
      <c r="PON743" s="3796"/>
      <c r="POO743" s="3796"/>
      <c r="POP743" s="3796"/>
      <c r="POQ743" s="3796"/>
      <c r="POR743" s="3796"/>
      <c r="POS743" s="3796"/>
      <c r="POT743" s="3796"/>
      <c r="POU743" s="3796"/>
      <c r="POV743" s="3796"/>
      <c r="POW743" s="3796"/>
      <c r="POX743" s="3796"/>
      <c r="POY743" s="3796"/>
      <c r="POZ743" s="3796"/>
      <c r="PPA743" s="3796"/>
      <c r="PPB743" s="3796"/>
      <c r="PPC743" s="3796"/>
      <c r="PPD743" s="3796"/>
      <c r="PPE743" s="3796"/>
      <c r="PPF743" s="3796"/>
      <c r="PPG743" s="3796"/>
      <c r="PPH743" s="3796"/>
      <c r="PPI743" s="3796"/>
      <c r="PPJ743" s="3796"/>
      <c r="PPK743" s="3796"/>
      <c r="PPL743" s="3796"/>
      <c r="PPM743" s="3796"/>
      <c r="PPN743" s="3796"/>
      <c r="PPO743" s="3796"/>
      <c r="PPP743" s="3796"/>
      <c r="PPQ743" s="3796"/>
      <c r="PPR743" s="3796"/>
      <c r="PPS743" s="3796"/>
      <c r="PPT743" s="3796"/>
      <c r="PPU743" s="3796"/>
      <c r="PPV743" s="3796"/>
      <c r="PPW743" s="3796"/>
      <c r="PPX743" s="3796"/>
      <c r="PPY743" s="3796"/>
      <c r="PPZ743" s="3796"/>
      <c r="PQA743" s="3796"/>
      <c r="PQB743" s="3796"/>
      <c r="PQC743" s="3796"/>
      <c r="PQD743" s="3796"/>
      <c r="PQE743" s="3796"/>
      <c r="PQF743" s="3796"/>
      <c r="PQG743" s="3796"/>
      <c r="PQL743" s="3796"/>
      <c r="PQR743" s="3796"/>
      <c r="PQS743" s="3796"/>
      <c r="PQT743" s="3796"/>
      <c r="PQX743" s="3796"/>
      <c r="PRE743" s="3796"/>
      <c r="PRF743" s="3796"/>
      <c r="PRG743" s="3796"/>
      <c r="PRH743" s="3796"/>
      <c r="PRI743" s="3796"/>
      <c r="PRJ743" s="3796"/>
      <c r="PRK743" s="3796"/>
      <c r="PRL743" s="3796"/>
      <c r="PRM743" s="3796"/>
      <c r="PRN743" s="3796"/>
      <c r="PRO743" s="3796"/>
      <c r="PRP743" s="3796"/>
      <c r="PRQ743" s="3796"/>
      <c r="PRR743" s="3796"/>
      <c r="PRS743" s="3796"/>
      <c r="PRT743" s="3796"/>
      <c r="PRU743" s="3796"/>
      <c r="PRV743" s="3796"/>
      <c r="PRW743" s="3796"/>
      <c r="PRX743" s="3796"/>
      <c r="PRY743" s="3796"/>
      <c r="PRZ743" s="3796"/>
      <c r="PSA743" s="3796"/>
      <c r="PSB743" s="3796"/>
      <c r="PSC743" s="3796"/>
      <c r="PSD743" s="3796"/>
      <c r="PSE743" s="3796"/>
      <c r="PSF743" s="3796"/>
      <c r="PSG743" s="3796"/>
      <c r="PSH743" s="3796"/>
      <c r="PSI743" s="3796"/>
      <c r="PSJ743" s="3796"/>
      <c r="PSK743" s="3796"/>
      <c r="PSL743" s="3796"/>
      <c r="PSM743" s="3796"/>
      <c r="PSN743" s="3796"/>
      <c r="PSO743" s="3796"/>
      <c r="PSP743" s="3796"/>
      <c r="PSQ743" s="3796"/>
      <c r="PSR743" s="3796"/>
      <c r="PSS743" s="3796"/>
      <c r="PST743" s="3796"/>
      <c r="PSU743" s="3796"/>
      <c r="PSV743" s="3796"/>
      <c r="PSW743" s="3796"/>
      <c r="PSX743" s="3796"/>
      <c r="PSY743" s="3796"/>
      <c r="PSZ743" s="3796"/>
      <c r="PTA743" s="3796"/>
      <c r="PTB743" s="3796"/>
      <c r="PTC743" s="3796"/>
      <c r="PTD743" s="3796"/>
      <c r="PTE743" s="3796"/>
      <c r="PTF743" s="3796"/>
      <c r="PTG743" s="3796"/>
      <c r="PTH743" s="3796"/>
      <c r="PTI743" s="3796"/>
      <c r="PTJ743" s="3796"/>
      <c r="PTK743" s="3796"/>
      <c r="PTL743" s="3796"/>
      <c r="PTM743" s="3796"/>
      <c r="PTN743" s="3796"/>
      <c r="PTO743" s="3796"/>
      <c r="PTP743" s="3796"/>
      <c r="PTQ743" s="3796"/>
      <c r="PTR743" s="3796"/>
      <c r="PTS743" s="3796"/>
      <c r="PTT743" s="3796"/>
      <c r="PTU743" s="3796"/>
      <c r="PTV743" s="3796"/>
      <c r="PTW743" s="3796"/>
      <c r="PTX743" s="3796"/>
      <c r="PTY743" s="3796"/>
      <c r="PTZ743" s="3796"/>
      <c r="PUA743" s="3796"/>
      <c r="PUB743" s="3796"/>
      <c r="PUC743" s="3796"/>
      <c r="PUD743" s="3796"/>
      <c r="PUE743" s="3796"/>
      <c r="PUF743" s="3796"/>
      <c r="PUG743" s="3796"/>
      <c r="PUH743" s="3796"/>
      <c r="PUI743" s="3796"/>
      <c r="PUJ743" s="3796"/>
      <c r="PUK743" s="3796"/>
      <c r="PUL743" s="3796"/>
      <c r="PUM743" s="3796"/>
      <c r="PUN743" s="3796"/>
      <c r="PUO743" s="3796"/>
      <c r="PUP743" s="3796"/>
      <c r="PUQ743" s="3796"/>
      <c r="PUR743" s="3796"/>
      <c r="PUS743" s="3796"/>
      <c r="PUT743" s="3796"/>
      <c r="PUU743" s="3796"/>
      <c r="PUV743" s="3796"/>
      <c r="PUW743" s="3796"/>
      <c r="PUX743" s="3796"/>
      <c r="PUY743" s="3796"/>
      <c r="PUZ743" s="3796"/>
      <c r="PVA743" s="3796"/>
      <c r="PVB743" s="3796"/>
      <c r="PVC743" s="3796"/>
      <c r="PVD743" s="3796"/>
      <c r="PVE743" s="3796"/>
      <c r="PVF743" s="3796"/>
      <c r="PVG743" s="3796"/>
      <c r="PVH743" s="3796"/>
      <c r="PVI743" s="3796"/>
      <c r="PVJ743" s="3796"/>
      <c r="PVK743" s="3796"/>
      <c r="PVL743" s="3796"/>
      <c r="PVM743" s="3796"/>
      <c r="PVN743" s="3796"/>
      <c r="PVO743" s="3796"/>
      <c r="PVP743" s="3796"/>
      <c r="PVQ743" s="3796"/>
      <c r="PVR743" s="3796"/>
      <c r="PVS743" s="3796"/>
      <c r="PVT743" s="3796"/>
      <c r="PVU743" s="3796"/>
      <c r="PVV743" s="3796"/>
      <c r="PVW743" s="3796"/>
      <c r="PVX743" s="3796"/>
      <c r="PVY743" s="3796"/>
      <c r="PVZ743" s="3796"/>
      <c r="PWA743" s="3796"/>
      <c r="PWB743" s="3796"/>
      <c r="PWC743" s="3796"/>
      <c r="PWD743" s="3796"/>
      <c r="PWE743" s="3796"/>
      <c r="PWF743" s="3796"/>
      <c r="PWG743" s="3796"/>
      <c r="PWH743" s="3796"/>
      <c r="PWI743" s="3796"/>
      <c r="PWJ743" s="3796"/>
      <c r="PWK743" s="3796"/>
      <c r="PWL743" s="3796"/>
      <c r="PWM743" s="3796"/>
      <c r="PWN743" s="3796"/>
      <c r="PWO743" s="3796"/>
      <c r="PWP743" s="3796"/>
      <c r="PWQ743" s="3796"/>
      <c r="PWR743" s="3796"/>
      <c r="PWS743" s="3796"/>
      <c r="PWT743" s="3796"/>
      <c r="PWU743" s="3796"/>
      <c r="PWV743" s="3796"/>
      <c r="PWW743" s="3796"/>
      <c r="PWX743" s="3796"/>
      <c r="PWY743" s="3796"/>
      <c r="PWZ743" s="3796"/>
      <c r="PXA743" s="3796"/>
      <c r="PXB743" s="3796"/>
      <c r="PXC743" s="3796"/>
      <c r="PXD743" s="3796"/>
      <c r="PXE743" s="3796"/>
      <c r="PXF743" s="3796"/>
      <c r="PXG743" s="3796"/>
      <c r="PXH743" s="3796"/>
      <c r="PXI743" s="3796"/>
      <c r="PXJ743" s="3796"/>
      <c r="PXK743" s="3796"/>
      <c r="PXL743" s="3796"/>
      <c r="PXM743" s="3796"/>
      <c r="PXN743" s="3796"/>
      <c r="PXO743" s="3796"/>
      <c r="PXP743" s="3796"/>
      <c r="PXQ743" s="3796"/>
      <c r="PXR743" s="3796"/>
      <c r="PXS743" s="3796"/>
      <c r="PXT743" s="3796"/>
      <c r="PXU743" s="3796"/>
      <c r="PXV743" s="3796"/>
      <c r="PXW743" s="3796"/>
      <c r="PXX743" s="3796"/>
      <c r="PXY743" s="3796"/>
      <c r="PXZ743" s="3796"/>
      <c r="PYA743" s="3796"/>
      <c r="PYB743" s="3796"/>
      <c r="PYC743" s="3796"/>
      <c r="PYD743" s="3796"/>
      <c r="PYE743" s="3796"/>
      <c r="PYF743" s="3796"/>
      <c r="PYG743" s="3796"/>
      <c r="PYH743" s="3796"/>
      <c r="PYI743" s="3796"/>
      <c r="PYJ743" s="3796"/>
      <c r="PYK743" s="3796"/>
      <c r="PYL743" s="3796"/>
      <c r="PYM743" s="3796"/>
      <c r="PYN743" s="3796"/>
      <c r="PYO743" s="3796"/>
      <c r="PYP743" s="3796"/>
      <c r="PYQ743" s="3796"/>
      <c r="PYR743" s="3796"/>
      <c r="PYS743" s="3796"/>
      <c r="PYT743" s="3796"/>
      <c r="PYU743" s="3796"/>
      <c r="PYV743" s="3796"/>
      <c r="PYW743" s="3796"/>
      <c r="PYX743" s="3796"/>
      <c r="PYY743" s="3796"/>
      <c r="PYZ743" s="3796"/>
      <c r="PZA743" s="3796"/>
      <c r="PZB743" s="3796"/>
      <c r="PZC743" s="3796"/>
      <c r="PZD743" s="3796"/>
      <c r="PZE743" s="3796"/>
      <c r="PZF743" s="3796"/>
      <c r="PZG743" s="3796"/>
      <c r="PZH743" s="3796"/>
      <c r="PZI743" s="3796"/>
      <c r="PZJ743" s="3796"/>
      <c r="PZK743" s="3796"/>
      <c r="PZL743" s="3796"/>
      <c r="PZM743" s="3796"/>
      <c r="PZN743" s="3796"/>
      <c r="PZO743" s="3796"/>
      <c r="PZP743" s="3796"/>
      <c r="PZQ743" s="3796"/>
      <c r="PZR743" s="3796"/>
      <c r="PZS743" s="3796"/>
      <c r="PZT743" s="3796"/>
      <c r="PZU743" s="3796"/>
      <c r="PZV743" s="3796"/>
      <c r="PZW743" s="3796"/>
      <c r="PZX743" s="3796"/>
      <c r="PZY743" s="3796"/>
      <c r="PZZ743" s="3796"/>
      <c r="QAA743" s="3796"/>
      <c r="QAB743" s="3796"/>
      <c r="QAC743" s="3796"/>
      <c r="QAH743" s="3796"/>
      <c r="QAN743" s="3796"/>
      <c r="QAO743" s="3796"/>
      <c r="QAP743" s="3796"/>
      <c r="QAT743" s="3796"/>
      <c r="QBA743" s="3796"/>
      <c r="QBB743" s="3796"/>
      <c r="QBC743" s="3796"/>
      <c r="QBD743" s="3796"/>
      <c r="QBE743" s="3796"/>
      <c r="QBF743" s="3796"/>
      <c r="QBG743" s="3796"/>
      <c r="QBH743" s="3796"/>
      <c r="QBI743" s="3796"/>
      <c r="QBJ743" s="3796"/>
      <c r="QBK743" s="3796"/>
      <c r="QBL743" s="3796"/>
      <c r="QBM743" s="3796"/>
      <c r="QBN743" s="3796"/>
      <c r="QBO743" s="3796"/>
      <c r="QBP743" s="3796"/>
      <c r="QBQ743" s="3796"/>
      <c r="QBR743" s="3796"/>
      <c r="QBS743" s="3796"/>
      <c r="QBT743" s="3796"/>
      <c r="QBU743" s="3796"/>
      <c r="QBV743" s="3796"/>
      <c r="QBW743" s="3796"/>
      <c r="QBX743" s="3796"/>
      <c r="QBY743" s="3796"/>
      <c r="QBZ743" s="3796"/>
      <c r="QCA743" s="3796"/>
      <c r="QCB743" s="3796"/>
      <c r="QCC743" s="3796"/>
      <c r="QCD743" s="3796"/>
      <c r="QCE743" s="3796"/>
      <c r="QCF743" s="3796"/>
      <c r="QCG743" s="3796"/>
      <c r="QCH743" s="3796"/>
      <c r="QCI743" s="3796"/>
      <c r="QCJ743" s="3796"/>
      <c r="QCK743" s="3796"/>
      <c r="QCL743" s="3796"/>
      <c r="QCM743" s="3796"/>
      <c r="QCN743" s="3796"/>
      <c r="QCO743" s="3796"/>
      <c r="QCP743" s="3796"/>
      <c r="QCQ743" s="3796"/>
      <c r="QCR743" s="3796"/>
      <c r="QCS743" s="3796"/>
      <c r="QCT743" s="3796"/>
      <c r="QCU743" s="3796"/>
      <c r="QCV743" s="3796"/>
      <c r="QCW743" s="3796"/>
      <c r="QCX743" s="3796"/>
      <c r="QCY743" s="3796"/>
      <c r="QCZ743" s="3796"/>
      <c r="QDA743" s="3796"/>
      <c r="QDB743" s="3796"/>
      <c r="QDC743" s="3796"/>
      <c r="QDD743" s="3796"/>
      <c r="QDE743" s="3796"/>
      <c r="QDF743" s="3796"/>
      <c r="QDG743" s="3796"/>
      <c r="QDH743" s="3796"/>
      <c r="QDI743" s="3796"/>
      <c r="QDJ743" s="3796"/>
      <c r="QDK743" s="3796"/>
      <c r="QDL743" s="3796"/>
      <c r="QDM743" s="3796"/>
      <c r="QDN743" s="3796"/>
      <c r="QDO743" s="3796"/>
      <c r="QDP743" s="3796"/>
      <c r="QDQ743" s="3796"/>
      <c r="QDR743" s="3796"/>
      <c r="QDS743" s="3796"/>
      <c r="QDT743" s="3796"/>
      <c r="QDU743" s="3796"/>
      <c r="QDV743" s="3796"/>
      <c r="QDW743" s="3796"/>
      <c r="QDX743" s="3796"/>
      <c r="QDY743" s="3796"/>
      <c r="QDZ743" s="3796"/>
      <c r="QEA743" s="3796"/>
      <c r="QEB743" s="3796"/>
      <c r="QEC743" s="3796"/>
      <c r="QED743" s="3796"/>
      <c r="QEE743" s="3796"/>
      <c r="QEF743" s="3796"/>
      <c r="QEG743" s="3796"/>
      <c r="QEH743" s="3796"/>
      <c r="QEI743" s="3796"/>
      <c r="QEJ743" s="3796"/>
      <c r="QEK743" s="3796"/>
      <c r="QEL743" s="3796"/>
      <c r="QEM743" s="3796"/>
      <c r="QEN743" s="3796"/>
      <c r="QEO743" s="3796"/>
      <c r="QEP743" s="3796"/>
      <c r="QEQ743" s="3796"/>
      <c r="QER743" s="3796"/>
      <c r="QES743" s="3796"/>
      <c r="QET743" s="3796"/>
      <c r="QEU743" s="3796"/>
      <c r="QEV743" s="3796"/>
      <c r="QEW743" s="3796"/>
      <c r="QEX743" s="3796"/>
      <c r="QEY743" s="3796"/>
      <c r="QEZ743" s="3796"/>
      <c r="QFA743" s="3796"/>
      <c r="QFB743" s="3796"/>
      <c r="QFC743" s="3796"/>
      <c r="QFD743" s="3796"/>
      <c r="QFE743" s="3796"/>
      <c r="QFF743" s="3796"/>
      <c r="QFG743" s="3796"/>
      <c r="QFH743" s="3796"/>
      <c r="QFI743" s="3796"/>
      <c r="QFJ743" s="3796"/>
      <c r="QFK743" s="3796"/>
      <c r="QFL743" s="3796"/>
      <c r="QFM743" s="3796"/>
      <c r="QFN743" s="3796"/>
      <c r="QFO743" s="3796"/>
      <c r="QFP743" s="3796"/>
      <c r="QFQ743" s="3796"/>
      <c r="QFR743" s="3796"/>
      <c r="QFS743" s="3796"/>
      <c r="QFT743" s="3796"/>
      <c r="QFU743" s="3796"/>
      <c r="QFV743" s="3796"/>
      <c r="QFW743" s="3796"/>
      <c r="QFX743" s="3796"/>
      <c r="QFY743" s="3796"/>
      <c r="QFZ743" s="3796"/>
      <c r="QGA743" s="3796"/>
      <c r="QGB743" s="3796"/>
      <c r="QGC743" s="3796"/>
      <c r="QGD743" s="3796"/>
      <c r="QGE743" s="3796"/>
      <c r="QGF743" s="3796"/>
      <c r="QGG743" s="3796"/>
      <c r="QGH743" s="3796"/>
      <c r="QGI743" s="3796"/>
      <c r="QGJ743" s="3796"/>
      <c r="QGK743" s="3796"/>
      <c r="QGL743" s="3796"/>
      <c r="QGM743" s="3796"/>
      <c r="QGN743" s="3796"/>
      <c r="QGO743" s="3796"/>
      <c r="QGP743" s="3796"/>
      <c r="QGQ743" s="3796"/>
      <c r="QGR743" s="3796"/>
      <c r="QGS743" s="3796"/>
      <c r="QGT743" s="3796"/>
      <c r="QGU743" s="3796"/>
      <c r="QGV743" s="3796"/>
      <c r="QGW743" s="3796"/>
      <c r="QGX743" s="3796"/>
      <c r="QGY743" s="3796"/>
      <c r="QGZ743" s="3796"/>
      <c r="QHA743" s="3796"/>
      <c r="QHB743" s="3796"/>
      <c r="QHC743" s="3796"/>
      <c r="QHD743" s="3796"/>
      <c r="QHE743" s="3796"/>
      <c r="QHF743" s="3796"/>
      <c r="QHG743" s="3796"/>
      <c r="QHH743" s="3796"/>
      <c r="QHI743" s="3796"/>
      <c r="QHJ743" s="3796"/>
      <c r="QHK743" s="3796"/>
      <c r="QHL743" s="3796"/>
      <c r="QHM743" s="3796"/>
      <c r="QHN743" s="3796"/>
      <c r="QHO743" s="3796"/>
      <c r="QHP743" s="3796"/>
      <c r="QHQ743" s="3796"/>
      <c r="QHR743" s="3796"/>
      <c r="QHS743" s="3796"/>
      <c r="QHT743" s="3796"/>
      <c r="QHU743" s="3796"/>
      <c r="QHV743" s="3796"/>
      <c r="QHW743" s="3796"/>
      <c r="QHX743" s="3796"/>
      <c r="QHY743" s="3796"/>
      <c r="QHZ743" s="3796"/>
      <c r="QIA743" s="3796"/>
      <c r="QIB743" s="3796"/>
      <c r="QIC743" s="3796"/>
      <c r="QID743" s="3796"/>
      <c r="QIE743" s="3796"/>
      <c r="QIF743" s="3796"/>
      <c r="QIG743" s="3796"/>
      <c r="QIH743" s="3796"/>
      <c r="QII743" s="3796"/>
      <c r="QIJ743" s="3796"/>
      <c r="QIK743" s="3796"/>
      <c r="QIL743" s="3796"/>
      <c r="QIM743" s="3796"/>
      <c r="QIN743" s="3796"/>
      <c r="QIO743" s="3796"/>
      <c r="QIP743" s="3796"/>
      <c r="QIQ743" s="3796"/>
      <c r="QIR743" s="3796"/>
      <c r="QIS743" s="3796"/>
      <c r="QIT743" s="3796"/>
      <c r="QIU743" s="3796"/>
      <c r="QIV743" s="3796"/>
      <c r="QIW743" s="3796"/>
      <c r="QIX743" s="3796"/>
      <c r="QIY743" s="3796"/>
      <c r="QIZ743" s="3796"/>
      <c r="QJA743" s="3796"/>
      <c r="QJB743" s="3796"/>
      <c r="QJC743" s="3796"/>
      <c r="QJD743" s="3796"/>
      <c r="QJE743" s="3796"/>
      <c r="QJF743" s="3796"/>
      <c r="QJG743" s="3796"/>
      <c r="QJH743" s="3796"/>
      <c r="QJI743" s="3796"/>
      <c r="QJJ743" s="3796"/>
      <c r="QJK743" s="3796"/>
      <c r="QJL743" s="3796"/>
      <c r="QJM743" s="3796"/>
      <c r="QJN743" s="3796"/>
      <c r="QJO743" s="3796"/>
      <c r="QJP743" s="3796"/>
      <c r="QJQ743" s="3796"/>
      <c r="QJR743" s="3796"/>
      <c r="QJS743" s="3796"/>
      <c r="QJT743" s="3796"/>
      <c r="QJU743" s="3796"/>
      <c r="QJV743" s="3796"/>
      <c r="QJW743" s="3796"/>
      <c r="QJX743" s="3796"/>
      <c r="QJY743" s="3796"/>
      <c r="QKD743" s="3796"/>
      <c r="QKJ743" s="3796"/>
      <c r="QKK743" s="3796"/>
      <c r="QKL743" s="3796"/>
      <c r="QKP743" s="3796"/>
      <c r="QKW743" s="3796"/>
      <c r="QKX743" s="3796"/>
      <c r="QKY743" s="3796"/>
      <c r="QKZ743" s="3796"/>
      <c r="QLA743" s="3796"/>
      <c r="QLB743" s="3796"/>
      <c r="QLC743" s="3796"/>
      <c r="QLD743" s="3796"/>
      <c r="QLE743" s="3796"/>
      <c r="QLF743" s="3796"/>
      <c r="QLG743" s="3796"/>
      <c r="QLH743" s="3796"/>
      <c r="QLI743" s="3796"/>
      <c r="QLJ743" s="3796"/>
      <c r="QLK743" s="3796"/>
      <c r="QLL743" s="3796"/>
      <c r="QLM743" s="3796"/>
      <c r="QLN743" s="3796"/>
      <c r="QLO743" s="3796"/>
      <c r="QLP743" s="3796"/>
      <c r="QLQ743" s="3796"/>
      <c r="QLR743" s="3796"/>
      <c r="QLS743" s="3796"/>
      <c r="QLT743" s="3796"/>
      <c r="QLU743" s="3796"/>
      <c r="QLV743" s="3796"/>
      <c r="QLW743" s="3796"/>
      <c r="QLX743" s="3796"/>
      <c r="QLY743" s="3796"/>
      <c r="QLZ743" s="3796"/>
      <c r="QMA743" s="3796"/>
      <c r="QMB743" s="3796"/>
      <c r="QMC743" s="3796"/>
      <c r="QMD743" s="3796"/>
      <c r="QME743" s="3796"/>
      <c r="QMF743" s="3796"/>
      <c r="QMG743" s="3796"/>
      <c r="QMH743" s="3796"/>
      <c r="QMI743" s="3796"/>
      <c r="QMJ743" s="3796"/>
      <c r="QMK743" s="3796"/>
      <c r="QML743" s="3796"/>
      <c r="QMM743" s="3796"/>
      <c r="QMN743" s="3796"/>
      <c r="QMO743" s="3796"/>
      <c r="QMP743" s="3796"/>
      <c r="QMQ743" s="3796"/>
      <c r="QMR743" s="3796"/>
      <c r="QMS743" s="3796"/>
      <c r="QMT743" s="3796"/>
      <c r="QMU743" s="3796"/>
      <c r="QMV743" s="3796"/>
      <c r="QMW743" s="3796"/>
      <c r="QMX743" s="3796"/>
      <c r="QMY743" s="3796"/>
      <c r="QMZ743" s="3796"/>
      <c r="QNA743" s="3796"/>
      <c r="QNB743" s="3796"/>
      <c r="QNC743" s="3796"/>
      <c r="QND743" s="3796"/>
      <c r="QNE743" s="3796"/>
      <c r="QNF743" s="3796"/>
      <c r="QNG743" s="3796"/>
      <c r="QNH743" s="3796"/>
      <c r="QNI743" s="3796"/>
      <c r="QNJ743" s="3796"/>
      <c r="QNK743" s="3796"/>
      <c r="QNL743" s="3796"/>
      <c r="QNM743" s="3796"/>
      <c r="QNN743" s="3796"/>
      <c r="QNO743" s="3796"/>
      <c r="QNP743" s="3796"/>
      <c r="QNQ743" s="3796"/>
      <c r="QNR743" s="3796"/>
      <c r="QNS743" s="3796"/>
      <c r="QNT743" s="3796"/>
      <c r="QNU743" s="3796"/>
      <c r="QNV743" s="3796"/>
      <c r="QNW743" s="3796"/>
      <c r="QNX743" s="3796"/>
      <c r="QNY743" s="3796"/>
      <c r="QNZ743" s="3796"/>
      <c r="QOA743" s="3796"/>
      <c r="QOB743" s="3796"/>
      <c r="QOC743" s="3796"/>
      <c r="QOD743" s="3796"/>
      <c r="QOE743" s="3796"/>
      <c r="QOF743" s="3796"/>
      <c r="QOG743" s="3796"/>
      <c r="QOH743" s="3796"/>
      <c r="QOI743" s="3796"/>
      <c r="QOJ743" s="3796"/>
      <c r="QOK743" s="3796"/>
      <c r="QOL743" s="3796"/>
      <c r="QOM743" s="3796"/>
      <c r="QON743" s="3796"/>
      <c r="QOO743" s="3796"/>
      <c r="QOP743" s="3796"/>
      <c r="QOQ743" s="3796"/>
      <c r="QOR743" s="3796"/>
      <c r="QOS743" s="3796"/>
      <c r="QOT743" s="3796"/>
      <c r="QOU743" s="3796"/>
      <c r="QOV743" s="3796"/>
      <c r="QOW743" s="3796"/>
      <c r="QOX743" s="3796"/>
      <c r="QOY743" s="3796"/>
      <c r="QOZ743" s="3796"/>
      <c r="QPA743" s="3796"/>
      <c r="QPB743" s="3796"/>
      <c r="QPC743" s="3796"/>
      <c r="QPD743" s="3796"/>
      <c r="QPE743" s="3796"/>
      <c r="QPF743" s="3796"/>
      <c r="QPG743" s="3796"/>
      <c r="QPH743" s="3796"/>
      <c r="QPI743" s="3796"/>
      <c r="QPJ743" s="3796"/>
      <c r="QPK743" s="3796"/>
      <c r="QPL743" s="3796"/>
      <c r="QPM743" s="3796"/>
      <c r="QPN743" s="3796"/>
      <c r="QPO743" s="3796"/>
      <c r="QPP743" s="3796"/>
      <c r="QPQ743" s="3796"/>
      <c r="QPR743" s="3796"/>
      <c r="QPS743" s="3796"/>
      <c r="QPT743" s="3796"/>
      <c r="QPU743" s="3796"/>
      <c r="QPV743" s="3796"/>
      <c r="QPW743" s="3796"/>
      <c r="QPX743" s="3796"/>
      <c r="QPY743" s="3796"/>
      <c r="QPZ743" s="3796"/>
      <c r="QQA743" s="3796"/>
      <c r="QQB743" s="3796"/>
      <c r="QQC743" s="3796"/>
      <c r="QQD743" s="3796"/>
      <c r="QQE743" s="3796"/>
      <c r="QQF743" s="3796"/>
      <c r="QQG743" s="3796"/>
      <c r="QQH743" s="3796"/>
      <c r="QQI743" s="3796"/>
      <c r="QQJ743" s="3796"/>
      <c r="QQK743" s="3796"/>
      <c r="QQL743" s="3796"/>
      <c r="QQM743" s="3796"/>
      <c r="QQN743" s="3796"/>
      <c r="QQO743" s="3796"/>
      <c r="QQP743" s="3796"/>
      <c r="QQQ743" s="3796"/>
      <c r="QQR743" s="3796"/>
      <c r="QQS743" s="3796"/>
      <c r="QQT743" s="3796"/>
      <c r="QQU743" s="3796"/>
      <c r="QQV743" s="3796"/>
      <c r="QQW743" s="3796"/>
      <c r="QQX743" s="3796"/>
      <c r="QQY743" s="3796"/>
      <c r="QQZ743" s="3796"/>
      <c r="QRA743" s="3796"/>
      <c r="QRB743" s="3796"/>
      <c r="QRC743" s="3796"/>
      <c r="QRD743" s="3796"/>
      <c r="QRE743" s="3796"/>
      <c r="QRF743" s="3796"/>
      <c r="QRG743" s="3796"/>
      <c r="QRH743" s="3796"/>
      <c r="QRI743" s="3796"/>
      <c r="QRJ743" s="3796"/>
      <c r="QRK743" s="3796"/>
      <c r="QRL743" s="3796"/>
      <c r="QRM743" s="3796"/>
      <c r="QRN743" s="3796"/>
      <c r="QRO743" s="3796"/>
      <c r="QRP743" s="3796"/>
      <c r="QRQ743" s="3796"/>
      <c r="QRR743" s="3796"/>
      <c r="QRS743" s="3796"/>
      <c r="QRT743" s="3796"/>
      <c r="QRU743" s="3796"/>
      <c r="QRV743" s="3796"/>
      <c r="QRW743" s="3796"/>
      <c r="QRX743" s="3796"/>
      <c r="QRY743" s="3796"/>
      <c r="QRZ743" s="3796"/>
      <c r="QSA743" s="3796"/>
      <c r="QSB743" s="3796"/>
      <c r="QSC743" s="3796"/>
      <c r="QSD743" s="3796"/>
      <c r="QSE743" s="3796"/>
      <c r="QSF743" s="3796"/>
      <c r="QSG743" s="3796"/>
      <c r="QSH743" s="3796"/>
      <c r="QSI743" s="3796"/>
      <c r="QSJ743" s="3796"/>
      <c r="QSK743" s="3796"/>
      <c r="QSL743" s="3796"/>
      <c r="QSM743" s="3796"/>
      <c r="QSN743" s="3796"/>
      <c r="QSO743" s="3796"/>
      <c r="QSP743" s="3796"/>
      <c r="QSQ743" s="3796"/>
      <c r="QSR743" s="3796"/>
      <c r="QSS743" s="3796"/>
      <c r="QST743" s="3796"/>
      <c r="QSU743" s="3796"/>
      <c r="QSV743" s="3796"/>
      <c r="QSW743" s="3796"/>
      <c r="QSX743" s="3796"/>
      <c r="QSY743" s="3796"/>
      <c r="QSZ743" s="3796"/>
      <c r="QTA743" s="3796"/>
      <c r="QTB743" s="3796"/>
      <c r="QTC743" s="3796"/>
      <c r="QTD743" s="3796"/>
      <c r="QTE743" s="3796"/>
      <c r="QTF743" s="3796"/>
      <c r="QTG743" s="3796"/>
      <c r="QTH743" s="3796"/>
      <c r="QTI743" s="3796"/>
      <c r="QTJ743" s="3796"/>
      <c r="QTK743" s="3796"/>
      <c r="QTL743" s="3796"/>
      <c r="QTM743" s="3796"/>
      <c r="QTN743" s="3796"/>
      <c r="QTO743" s="3796"/>
      <c r="QTP743" s="3796"/>
      <c r="QTQ743" s="3796"/>
      <c r="QTR743" s="3796"/>
      <c r="QTS743" s="3796"/>
      <c r="QTT743" s="3796"/>
      <c r="QTU743" s="3796"/>
      <c r="QTZ743" s="3796"/>
      <c r="QUF743" s="3796"/>
      <c r="QUG743" s="3796"/>
      <c r="QUH743" s="3796"/>
      <c r="QUL743" s="3796"/>
      <c r="QUS743" s="3796"/>
      <c r="QUT743" s="3796"/>
      <c r="QUU743" s="3796"/>
      <c r="QUV743" s="3796"/>
      <c r="QUW743" s="3796"/>
      <c r="QUX743" s="3796"/>
      <c r="QUY743" s="3796"/>
      <c r="QUZ743" s="3796"/>
      <c r="QVA743" s="3796"/>
      <c r="QVB743" s="3796"/>
      <c r="QVC743" s="3796"/>
      <c r="QVD743" s="3796"/>
      <c r="QVE743" s="3796"/>
      <c r="QVF743" s="3796"/>
      <c r="QVG743" s="3796"/>
      <c r="QVH743" s="3796"/>
      <c r="QVI743" s="3796"/>
      <c r="QVJ743" s="3796"/>
      <c r="QVK743" s="3796"/>
      <c r="QVL743" s="3796"/>
      <c r="QVM743" s="3796"/>
      <c r="QVN743" s="3796"/>
      <c r="QVO743" s="3796"/>
      <c r="QVP743" s="3796"/>
      <c r="QVQ743" s="3796"/>
      <c r="QVR743" s="3796"/>
      <c r="QVS743" s="3796"/>
      <c r="QVT743" s="3796"/>
      <c r="QVU743" s="3796"/>
      <c r="QVV743" s="3796"/>
      <c r="QVW743" s="3796"/>
      <c r="QVX743" s="3796"/>
      <c r="QVY743" s="3796"/>
      <c r="QVZ743" s="3796"/>
      <c r="QWA743" s="3796"/>
      <c r="QWB743" s="3796"/>
      <c r="QWC743" s="3796"/>
      <c r="QWD743" s="3796"/>
      <c r="QWE743" s="3796"/>
      <c r="QWF743" s="3796"/>
      <c r="QWG743" s="3796"/>
      <c r="QWH743" s="3796"/>
      <c r="QWI743" s="3796"/>
      <c r="QWJ743" s="3796"/>
      <c r="QWK743" s="3796"/>
      <c r="QWL743" s="3796"/>
      <c r="QWM743" s="3796"/>
      <c r="QWN743" s="3796"/>
      <c r="QWO743" s="3796"/>
      <c r="QWP743" s="3796"/>
      <c r="QWQ743" s="3796"/>
      <c r="QWR743" s="3796"/>
      <c r="QWS743" s="3796"/>
      <c r="QWT743" s="3796"/>
      <c r="QWU743" s="3796"/>
      <c r="QWV743" s="3796"/>
      <c r="QWW743" s="3796"/>
      <c r="QWX743" s="3796"/>
      <c r="QWY743" s="3796"/>
      <c r="QWZ743" s="3796"/>
      <c r="QXA743" s="3796"/>
      <c r="QXB743" s="3796"/>
      <c r="QXC743" s="3796"/>
      <c r="QXD743" s="3796"/>
      <c r="QXE743" s="3796"/>
      <c r="QXF743" s="3796"/>
      <c r="QXG743" s="3796"/>
      <c r="QXH743" s="3796"/>
      <c r="QXI743" s="3796"/>
      <c r="QXJ743" s="3796"/>
      <c r="QXK743" s="3796"/>
      <c r="QXL743" s="3796"/>
      <c r="QXM743" s="3796"/>
      <c r="QXN743" s="3796"/>
      <c r="QXO743" s="3796"/>
      <c r="QXP743" s="3796"/>
      <c r="QXQ743" s="3796"/>
      <c r="QXR743" s="3796"/>
      <c r="QXS743" s="3796"/>
      <c r="QXT743" s="3796"/>
      <c r="QXU743" s="3796"/>
      <c r="QXV743" s="3796"/>
      <c r="QXW743" s="3796"/>
      <c r="QXX743" s="3796"/>
      <c r="QXY743" s="3796"/>
      <c r="QXZ743" s="3796"/>
      <c r="QYA743" s="3796"/>
      <c r="QYB743" s="3796"/>
      <c r="QYC743" s="3796"/>
      <c r="QYD743" s="3796"/>
      <c r="QYE743" s="3796"/>
      <c r="QYF743" s="3796"/>
      <c r="QYG743" s="3796"/>
      <c r="QYH743" s="3796"/>
      <c r="QYI743" s="3796"/>
      <c r="QYJ743" s="3796"/>
      <c r="QYK743" s="3796"/>
      <c r="QYL743" s="3796"/>
      <c r="QYM743" s="3796"/>
      <c r="QYN743" s="3796"/>
      <c r="QYO743" s="3796"/>
      <c r="QYP743" s="3796"/>
      <c r="QYQ743" s="3796"/>
      <c r="QYR743" s="3796"/>
      <c r="QYS743" s="3796"/>
      <c r="QYT743" s="3796"/>
      <c r="QYU743" s="3796"/>
      <c r="QYV743" s="3796"/>
      <c r="QYW743" s="3796"/>
      <c r="QYX743" s="3796"/>
      <c r="QYY743" s="3796"/>
      <c r="QYZ743" s="3796"/>
      <c r="QZA743" s="3796"/>
      <c r="QZB743" s="3796"/>
      <c r="QZC743" s="3796"/>
      <c r="QZD743" s="3796"/>
      <c r="QZE743" s="3796"/>
      <c r="QZF743" s="3796"/>
      <c r="QZG743" s="3796"/>
      <c r="QZH743" s="3796"/>
      <c r="QZI743" s="3796"/>
      <c r="QZJ743" s="3796"/>
      <c r="QZK743" s="3796"/>
      <c r="QZL743" s="3796"/>
      <c r="QZM743" s="3796"/>
      <c r="QZN743" s="3796"/>
      <c r="QZO743" s="3796"/>
      <c r="QZP743" s="3796"/>
      <c r="QZQ743" s="3796"/>
      <c r="QZR743" s="3796"/>
      <c r="QZS743" s="3796"/>
      <c r="QZT743" s="3796"/>
      <c r="QZU743" s="3796"/>
      <c r="QZV743" s="3796"/>
      <c r="QZW743" s="3796"/>
      <c r="QZX743" s="3796"/>
      <c r="QZY743" s="3796"/>
      <c r="QZZ743" s="3796"/>
      <c r="RAA743" s="3796"/>
      <c r="RAB743" s="3796"/>
      <c r="RAC743" s="3796"/>
      <c r="RAD743" s="3796"/>
      <c r="RAE743" s="3796"/>
      <c r="RAF743" s="3796"/>
      <c r="RAG743" s="3796"/>
      <c r="RAH743" s="3796"/>
      <c r="RAI743" s="3796"/>
      <c r="RAJ743" s="3796"/>
      <c r="RAK743" s="3796"/>
      <c r="RAL743" s="3796"/>
      <c r="RAM743" s="3796"/>
      <c r="RAN743" s="3796"/>
      <c r="RAO743" s="3796"/>
      <c r="RAP743" s="3796"/>
      <c r="RAQ743" s="3796"/>
      <c r="RAR743" s="3796"/>
      <c r="RAS743" s="3796"/>
      <c r="RAT743" s="3796"/>
      <c r="RAU743" s="3796"/>
      <c r="RAV743" s="3796"/>
      <c r="RAW743" s="3796"/>
      <c r="RAX743" s="3796"/>
      <c r="RAY743" s="3796"/>
      <c r="RAZ743" s="3796"/>
      <c r="RBA743" s="3796"/>
      <c r="RBB743" s="3796"/>
      <c r="RBC743" s="3796"/>
      <c r="RBD743" s="3796"/>
      <c r="RBE743" s="3796"/>
      <c r="RBF743" s="3796"/>
      <c r="RBG743" s="3796"/>
      <c r="RBH743" s="3796"/>
      <c r="RBI743" s="3796"/>
      <c r="RBJ743" s="3796"/>
      <c r="RBK743" s="3796"/>
      <c r="RBL743" s="3796"/>
      <c r="RBM743" s="3796"/>
      <c r="RBN743" s="3796"/>
      <c r="RBO743" s="3796"/>
      <c r="RBP743" s="3796"/>
      <c r="RBQ743" s="3796"/>
      <c r="RBR743" s="3796"/>
      <c r="RBS743" s="3796"/>
      <c r="RBT743" s="3796"/>
      <c r="RBU743" s="3796"/>
      <c r="RBV743" s="3796"/>
      <c r="RBW743" s="3796"/>
      <c r="RBX743" s="3796"/>
      <c r="RBY743" s="3796"/>
      <c r="RBZ743" s="3796"/>
      <c r="RCA743" s="3796"/>
      <c r="RCB743" s="3796"/>
      <c r="RCC743" s="3796"/>
      <c r="RCD743" s="3796"/>
      <c r="RCE743" s="3796"/>
      <c r="RCF743" s="3796"/>
      <c r="RCG743" s="3796"/>
      <c r="RCH743" s="3796"/>
      <c r="RCI743" s="3796"/>
      <c r="RCJ743" s="3796"/>
      <c r="RCK743" s="3796"/>
      <c r="RCL743" s="3796"/>
      <c r="RCM743" s="3796"/>
      <c r="RCN743" s="3796"/>
      <c r="RCO743" s="3796"/>
      <c r="RCP743" s="3796"/>
      <c r="RCQ743" s="3796"/>
      <c r="RCR743" s="3796"/>
      <c r="RCS743" s="3796"/>
      <c r="RCT743" s="3796"/>
      <c r="RCU743" s="3796"/>
      <c r="RCV743" s="3796"/>
      <c r="RCW743" s="3796"/>
      <c r="RCX743" s="3796"/>
      <c r="RCY743" s="3796"/>
      <c r="RCZ743" s="3796"/>
      <c r="RDA743" s="3796"/>
      <c r="RDB743" s="3796"/>
      <c r="RDC743" s="3796"/>
      <c r="RDD743" s="3796"/>
      <c r="RDE743" s="3796"/>
      <c r="RDF743" s="3796"/>
      <c r="RDG743" s="3796"/>
      <c r="RDH743" s="3796"/>
      <c r="RDI743" s="3796"/>
      <c r="RDJ743" s="3796"/>
      <c r="RDK743" s="3796"/>
      <c r="RDL743" s="3796"/>
      <c r="RDM743" s="3796"/>
      <c r="RDN743" s="3796"/>
      <c r="RDO743" s="3796"/>
      <c r="RDP743" s="3796"/>
      <c r="RDQ743" s="3796"/>
      <c r="RDV743" s="3796"/>
      <c r="REB743" s="3796"/>
      <c r="REC743" s="3796"/>
      <c r="RED743" s="3796"/>
      <c r="REH743" s="3796"/>
      <c r="REO743" s="3796"/>
      <c r="REP743" s="3796"/>
      <c r="REQ743" s="3796"/>
      <c r="RER743" s="3796"/>
      <c r="RES743" s="3796"/>
      <c r="RET743" s="3796"/>
      <c r="REU743" s="3796"/>
      <c r="REV743" s="3796"/>
      <c r="REW743" s="3796"/>
      <c r="REX743" s="3796"/>
      <c r="REY743" s="3796"/>
      <c r="REZ743" s="3796"/>
      <c r="RFA743" s="3796"/>
      <c r="RFB743" s="3796"/>
      <c r="RFC743" s="3796"/>
      <c r="RFD743" s="3796"/>
      <c r="RFE743" s="3796"/>
      <c r="RFF743" s="3796"/>
      <c r="RFG743" s="3796"/>
      <c r="RFH743" s="3796"/>
      <c r="RFI743" s="3796"/>
      <c r="RFJ743" s="3796"/>
      <c r="RFK743" s="3796"/>
      <c r="RFL743" s="3796"/>
      <c r="RFM743" s="3796"/>
      <c r="RFN743" s="3796"/>
      <c r="RFO743" s="3796"/>
      <c r="RFP743" s="3796"/>
      <c r="RFQ743" s="3796"/>
      <c r="RFR743" s="3796"/>
      <c r="RFS743" s="3796"/>
      <c r="RFT743" s="3796"/>
      <c r="RFU743" s="3796"/>
      <c r="RFV743" s="3796"/>
      <c r="RFW743" s="3796"/>
      <c r="RFX743" s="3796"/>
      <c r="RFY743" s="3796"/>
      <c r="RFZ743" s="3796"/>
      <c r="RGA743" s="3796"/>
      <c r="RGB743" s="3796"/>
      <c r="RGC743" s="3796"/>
      <c r="RGD743" s="3796"/>
      <c r="RGE743" s="3796"/>
      <c r="RGF743" s="3796"/>
      <c r="RGG743" s="3796"/>
      <c r="RGH743" s="3796"/>
      <c r="RGI743" s="3796"/>
      <c r="RGJ743" s="3796"/>
      <c r="RGK743" s="3796"/>
      <c r="RGL743" s="3796"/>
      <c r="RGM743" s="3796"/>
      <c r="RGN743" s="3796"/>
      <c r="RGO743" s="3796"/>
      <c r="RGP743" s="3796"/>
      <c r="RGQ743" s="3796"/>
      <c r="RGR743" s="3796"/>
      <c r="RGS743" s="3796"/>
      <c r="RGT743" s="3796"/>
      <c r="RGU743" s="3796"/>
      <c r="RGV743" s="3796"/>
      <c r="RGW743" s="3796"/>
      <c r="RGX743" s="3796"/>
      <c r="RGY743" s="3796"/>
      <c r="RGZ743" s="3796"/>
      <c r="RHA743" s="3796"/>
      <c r="RHB743" s="3796"/>
      <c r="RHC743" s="3796"/>
      <c r="RHD743" s="3796"/>
      <c r="RHE743" s="3796"/>
      <c r="RHF743" s="3796"/>
      <c r="RHG743" s="3796"/>
      <c r="RHH743" s="3796"/>
      <c r="RHI743" s="3796"/>
      <c r="RHJ743" s="3796"/>
      <c r="RHK743" s="3796"/>
      <c r="RHL743" s="3796"/>
      <c r="RHM743" s="3796"/>
      <c r="RHN743" s="3796"/>
      <c r="RHO743" s="3796"/>
      <c r="RHP743" s="3796"/>
      <c r="RHQ743" s="3796"/>
      <c r="RHR743" s="3796"/>
      <c r="RHS743" s="3796"/>
      <c r="RHT743" s="3796"/>
      <c r="RHU743" s="3796"/>
      <c r="RHV743" s="3796"/>
      <c r="RHW743" s="3796"/>
      <c r="RHX743" s="3796"/>
      <c r="RHY743" s="3796"/>
      <c r="RHZ743" s="3796"/>
      <c r="RIA743" s="3796"/>
      <c r="RIB743" s="3796"/>
      <c r="RIC743" s="3796"/>
      <c r="RID743" s="3796"/>
      <c r="RIE743" s="3796"/>
      <c r="RIF743" s="3796"/>
      <c r="RIG743" s="3796"/>
      <c r="RIH743" s="3796"/>
      <c r="RII743" s="3796"/>
      <c r="RIJ743" s="3796"/>
      <c r="RIK743" s="3796"/>
      <c r="RIL743" s="3796"/>
      <c r="RIM743" s="3796"/>
      <c r="RIN743" s="3796"/>
      <c r="RIO743" s="3796"/>
      <c r="RIP743" s="3796"/>
      <c r="RIQ743" s="3796"/>
      <c r="RIR743" s="3796"/>
      <c r="RIS743" s="3796"/>
      <c r="RIT743" s="3796"/>
      <c r="RIU743" s="3796"/>
      <c r="RIV743" s="3796"/>
      <c r="RIW743" s="3796"/>
      <c r="RIX743" s="3796"/>
      <c r="RIY743" s="3796"/>
      <c r="RIZ743" s="3796"/>
      <c r="RJA743" s="3796"/>
      <c r="RJB743" s="3796"/>
      <c r="RJC743" s="3796"/>
      <c r="RJD743" s="3796"/>
      <c r="RJE743" s="3796"/>
      <c r="RJF743" s="3796"/>
      <c r="RJG743" s="3796"/>
      <c r="RJH743" s="3796"/>
      <c r="RJI743" s="3796"/>
      <c r="RJJ743" s="3796"/>
      <c r="RJK743" s="3796"/>
      <c r="RJL743" s="3796"/>
      <c r="RJM743" s="3796"/>
      <c r="RJN743" s="3796"/>
      <c r="RJO743" s="3796"/>
      <c r="RJP743" s="3796"/>
      <c r="RJQ743" s="3796"/>
      <c r="RJR743" s="3796"/>
      <c r="RJS743" s="3796"/>
      <c r="RJT743" s="3796"/>
      <c r="RJU743" s="3796"/>
      <c r="RJV743" s="3796"/>
      <c r="RJW743" s="3796"/>
      <c r="RJX743" s="3796"/>
      <c r="RJY743" s="3796"/>
      <c r="RJZ743" s="3796"/>
      <c r="RKA743" s="3796"/>
      <c r="RKB743" s="3796"/>
      <c r="RKC743" s="3796"/>
      <c r="RKD743" s="3796"/>
      <c r="RKE743" s="3796"/>
      <c r="RKF743" s="3796"/>
      <c r="RKG743" s="3796"/>
      <c r="RKH743" s="3796"/>
      <c r="RKI743" s="3796"/>
      <c r="RKJ743" s="3796"/>
      <c r="RKK743" s="3796"/>
      <c r="RKL743" s="3796"/>
      <c r="RKM743" s="3796"/>
      <c r="RKN743" s="3796"/>
      <c r="RKO743" s="3796"/>
      <c r="RKP743" s="3796"/>
      <c r="RKQ743" s="3796"/>
      <c r="RKR743" s="3796"/>
      <c r="RKS743" s="3796"/>
      <c r="RKT743" s="3796"/>
      <c r="RKU743" s="3796"/>
      <c r="RKV743" s="3796"/>
      <c r="RKW743" s="3796"/>
      <c r="RKX743" s="3796"/>
      <c r="RKY743" s="3796"/>
      <c r="RKZ743" s="3796"/>
      <c r="RLA743" s="3796"/>
      <c r="RLB743" s="3796"/>
      <c r="RLC743" s="3796"/>
      <c r="RLD743" s="3796"/>
      <c r="RLE743" s="3796"/>
      <c r="RLF743" s="3796"/>
      <c r="RLG743" s="3796"/>
      <c r="RLH743" s="3796"/>
      <c r="RLI743" s="3796"/>
      <c r="RLJ743" s="3796"/>
      <c r="RLK743" s="3796"/>
      <c r="RLL743" s="3796"/>
      <c r="RLM743" s="3796"/>
      <c r="RLN743" s="3796"/>
      <c r="RLO743" s="3796"/>
      <c r="RLP743" s="3796"/>
      <c r="RLQ743" s="3796"/>
      <c r="RLR743" s="3796"/>
      <c r="RLS743" s="3796"/>
      <c r="RLT743" s="3796"/>
      <c r="RLU743" s="3796"/>
      <c r="RLV743" s="3796"/>
      <c r="RLW743" s="3796"/>
      <c r="RLX743" s="3796"/>
      <c r="RLY743" s="3796"/>
      <c r="RLZ743" s="3796"/>
      <c r="RMA743" s="3796"/>
      <c r="RMB743" s="3796"/>
      <c r="RMC743" s="3796"/>
      <c r="RMD743" s="3796"/>
      <c r="RME743" s="3796"/>
      <c r="RMF743" s="3796"/>
      <c r="RMG743" s="3796"/>
      <c r="RMH743" s="3796"/>
      <c r="RMI743" s="3796"/>
      <c r="RMJ743" s="3796"/>
      <c r="RMK743" s="3796"/>
      <c r="RML743" s="3796"/>
      <c r="RMM743" s="3796"/>
      <c r="RMN743" s="3796"/>
      <c r="RMO743" s="3796"/>
      <c r="RMP743" s="3796"/>
      <c r="RMQ743" s="3796"/>
      <c r="RMR743" s="3796"/>
      <c r="RMS743" s="3796"/>
      <c r="RMT743" s="3796"/>
      <c r="RMU743" s="3796"/>
      <c r="RMV743" s="3796"/>
      <c r="RMW743" s="3796"/>
      <c r="RMX743" s="3796"/>
      <c r="RMY743" s="3796"/>
      <c r="RMZ743" s="3796"/>
      <c r="RNA743" s="3796"/>
      <c r="RNB743" s="3796"/>
      <c r="RNC743" s="3796"/>
      <c r="RND743" s="3796"/>
      <c r="RNE743" s="3796"/>
      <c r="RNF743" s="3796"/>
      <c r="RNG743" s="3796"/>
      <c r="RNH743" s="3796"/>
      <c r="RNI743" s="3796"/>
      <c r="RNJ743" s="3796"/>
      <c r="RNK743" s="3796"/>
      <c r="RNL743" s="3796"/>
      <c r="RNM743" s="3796"/>
      <c r="RNR743" s="3796"/>
      <c r="RNX743" s="3796"/>
      <c r="RNY743" s="3796"/>
      <c r="RNZ743" s="3796"/>
      <c r="ROD743" s="3796"/>
      <c r="ROK743" s="3796"/>
      <c r="ROL743" s="3796"/>
      <c r="ROM743" s="3796"/>
      <c r="RON743" s="3796"/>
      <c r="ROO743" s="3796"/>
      <c r="ROP743" s="3796"/>
      <c r="ROQ743" s="3796"/>
      <c r="ROR743" s="3796"/>
      <c r="ROS743" s="3796"/>
      <c r="ROT743" s="3796"/>
      <c r="ROU743" s="3796"/>
      <c r="ROV743" s="3796"/>
      <c r="ROW743" s="3796"/>
      <c r="ROX743" s="3796"/>
      <c r="ROY743" s="3796"/>
      <c r="ROZ743" s="3796"/>
      <c r="RPA743" s="3796"/>
      <c r="RPB743" s="3796"/>
      <c r="RPC743" s="3796"/>
      <c r="RPD743" s="3796"/>
      <c r="RPE743" s="3796"/>
      <c r="RPF743" s="3796"/>
      <c r="RPG743" s="3796"/>
      <c r="RPH743" s="3796"/>
      <c r="RPI743" s="3796"/>
      <c r="RPJ743" s="3796"/>
      <c r="RPK743" s="3796"/>
      <c r="RPL743" s="3796"/>
      <c r="RPM743" s="3796"/>
      <c r="RPN743" s="3796"/>
      <c r="RPO743" s="3796"/>
      <c r="RPP743" s="3796"/>
      <c r="RPQ743" s="3796"/>
      <c r="RPR743" s="3796"/>
      <c r="RPS743" s="3796"/>
      <c r="RPT743" s="3796"/>
      <c r="RPU743" s="3796"/>
      <c r="RPV743" s="3796"/>
      <c r="RPW743" s="3796"/>
      <c r="RPX743" s="3796"/>
      <c r="RPY743" s="3796"/>
      <c r="RPZ743" s="3796"/>
      <c r="RQA743" s="3796"/>
      <c r="RQB743" s="3796"/>
      <c r="RQC743" s="3796"/>
      <c r="RQD743" s="3796"/>
      <c r="RQE743" s="3796"/>
      <c r="RQF743" s="3796"/>
      <c r="RQG743" s="3796"/>
      <c r="RQH743" s="3796"/>
      <c r="RQI743" s="3796"/>
      <c r="RQJ743" s="3796"/>
      <c r="RQK743" s="3796"/>
      <c r="RQL743" s="3796"/>
      <c r="RQM743" s="3796"/>
      <c r="RQN743" s="3796"/>
      <c r="RQO743" s="3796"/>
      <c r="RQP743" s="3796"/>
      <c r="RQQ743" s="3796"/>
      <c r="RQR743" s="3796"/>
      <c r="RQS743" s="3796"/>
      <c r="RQT743" s="3796"/>
      <c r="RQU743" s="3796"/>
      <c r="RQV743" s="3796"/>
      <c r="RQW743" s="3796"/>
      <c r="RQX743" s="3796"/>
      <c r="RQY743" s="3796"/>
      <c r="RQZ743" s="3796"/>
      <c r="RRA743" s="3796"/>
      <c r="RRB743" s="3796"/>
      <c r="RRC743" s="3796"/>
      <c r="RRD743" s="3796"/>
      <c r="RRE743" s="3796"/>
      <c r="RRF743" s="3796"/>
      <c r="RRG743" s="3796"/>
      <c r="RRH743" s="3796"/>
      <c r="RRI743" s="3796"/>
      <c r="RRJ743" s="3796"/>
      <c r="RRK743" s="3796"/>
      <c r="RRL743" s="3796"/>
      <c r="RRM743" s="3796"/>
      <c r="RRN743" s="3796"/>
      <c r="RRO743" s="3796"/>
      <c r="RRP743" s="3796"/>
      <c r="RRQ743" s="3796"/>
      <c r="RRR743" s="3796"/>
      <c r="RRS743" s="3796"/>
      <c r="RRT743" s="3796"/>
      <c r="RRU743" s="3796"/>
      <c r="RRV743" s="3796"/>
      <c r="RRW743" s="3796"/>
      <c r="RRX743" s="3796"/>
      <c r="RRY743" s="3796"/>
      <c r="RRZ743" s="3796"/>
      <c r="RSA743" s="3796"/>
      <c r="RSB743" s="3796"/>
      <c r="RSC743" s="3796"/>
      <c r="RSD743" s="3796"/>
      <c r="RSE743" s="3796"/>
      <c r="RSF743" s="3796"/>
      <c r="RSG743" s="3796"/>
      <c r="RSH743" s="3796"/>
      <c r="RSI743" s="3796"/>
      <c r="RSJ743" s="3796"/>
      <c r="RSK743" s="3796"/>
      <c r="RSL743" s="3796"/>
      <c r="RSM743" s="3796"/>
      <c r="RSN743" s="3796"/>
      <c r="RSO743" s="3796"/>
      <c r="RSP743" s="3796"/>
      <c r="RSQ743" s="3796"/>
      <c r="RSR743" s="3796"/>
      <c r="RSS743" s="3796"/>
      <c r="RST743" s="3796"/>
      <c r="RSU743" s="3796"/>
      <c r="RSV743" s="3796"/>
      <c r="RSW743" s="3796"/>
      <c r="RSX743" s="3796"/>
      <c r="RSY743" s="3796"/>
      <c r="RSZ743" s="3796"/>
      <c r="RTA743" s="3796"/>
      <c r="RTB743" s="3796"/>
      <c r="RTC743" s="3796"/>
      <c r="RTD743" s="3796"/>
      <c r="RTE743" s="3796"/>
      <c r="RTF743" s="3796"/>
      <c r="RTG743" s="3796"/>
      <c r="RTH743" s="3796"/>
      <c r="RTI743" s="3796"/>
      <c r="RTJ743" s="3796"/>
      <c r="RTK743" s="3796"/>
      <c r="RTL743" s="3796"/>
      <c r="RTM743" s="3796"/>
      <c r="RTN743" s="3796"/>
      <c r="RTO743" s="3796"/>
      <c r="RTP743" s="3796"/>
      <c r="RTQ743" s="3796"/>
      <c r="RTR743" s="3796"/>
      <c r="RTS743" s="3796"/>
      <c r="RTT743" s="3796"/>
      <c r="RTU743" s="3796"/>
      <c r="RTV743" s="3796"/>
      <c r="RTW743" s="3796"/>
      <c r="RTX743" s="3796"/>
      <c r="RTY743" s="3796"/>
      <c r="RTZ743" s="3796"/>
      <c r="RUA743" s="3796"/>
      <c r="RUB743" s="3796"/>
      <c r="RUC743" s="3796"/>
      <c r="RUD743" s="3796"/>
      <c r="RUE743" s="3796"/>
      <c r="RUF743" s="3796"/>
      <c r="RUG743" s="3796"/>
      <c r="RUH743" s="3796"/>
      <c r="RUI743" s="3796"/>
      <c r="RUJ743" s="3796"/>
      <c r="RUK743" s="3796"/>
      <c r="RUL743" s="3796"/>
      <c r="RUM743" s="3796"/>
      <c r="RUN743" s="3796"/>
      <c r="RUO743" s="3796"/>
      <c r="RUP743" s="3796"/>
      <c r="RUQ743" s="3796"/>
      <c r="RUR743" s="3796"/>
      <c r="RUS743" s="3796"/>
      <c r="RUT743" s="3796"/>
      <c r="RUU743" s="3796"/>
      <c r="RUV743" s="3796"/>
      <c r="RUW743" s="3796"/>
      <c r="RUX743" s="3796"/>
      <c r="RUY743" s="3796"/>
      <c r="RUZ743" s="3796"/>
      <c r="RVA743" s="3796"/>
      <c r="RVB743" s="3796"/>
      <c r="RVC743" s="3796"/>
      <c r="RVD743" s="3796"/>
      <c r="RVE743" s="3796"/>
      <c r="RVF743" s="3796"/>
      <c r="RVG743" s="3796"/>
      <c r="RVH743" s="3796"/>
      <c r="RVI743" s="3796"/>
      <c r="RVJ743" s="3796"/>
      <c r="RVK743" s="3796"/>
      <c r="RVL743" s="3796"/>
      <c r="RVM743" s="3796"/>
      <c r="RVN743" s="3796"/>
      <c r="RVO743" s="3796"/>
      <c r="RVP743" s="3796"/>
      <c r="RVQ743" s="3796"/>
      <c r="RVR743" s="3796"/>
      <c r="RVS743" s="3796"/>
      <c r="RVT743" s="3796"/>
      <c r="RVU743" s="3796"/>
      <c r="RVV743" s="3796"/>
      <c r="RVW743" s="3796"/>
      <c r="RVX743" s="3796"/>
      <c r="RVY743" s="3796"/>
      <c r="RVZ743" s="3796"/>
      <c r="RWA743" s="3796"/>
      <c r="RWB743" s="3796"/>
      <c r="RWC743" s="3796"/>
      <c r="RWD743" s="3796"/>
      <c r="RWE743" s="3796"/>
      <c r="RWF743" s="3796"/>
      <c r="RWG743" s="3796"/>
      <c r="RWH743" s="3796"/>
      <c r="RWI743" s="3796"/>
      <c r="RWJ743" s="3796"/>
      <c r="RWK743" s="3796"/>
      <c r="RWL743" s="3796"/>
      <c r="RWM743" s="3796"/>
      <c r="RWN743" s="3796"/>
      <c r="RWO743" s="3796"/>
      <c r="RWP743" s="3796"/>
      <c r="RWQ743" s="3796"/>
      <c r="RWR743" s="3796"/>
      <c r="RWS743" s="3796"/>
      <c r="RWT743" s="3796"/>
      <c r="RWU743" s="3796"/>
      <c r="RWV743" s="3796"/>
      <c r="RWW743" s="3796"/>
      <c r="RWX743" s="3796"/>
      <c r="RWY743" s="3796"/>
      <c r="RWZ743" s="3796"/>
      <c r="RXA743" s="3796"/>
      <c r="RXB743" s="3796"/>
      <c r="RXC743" s="3796"/>
      <c r="RXD743" s="3796"/>
      <c r="RXE743" s="3796"/>
      <c r="RXF743" s="3796"/>
      <c r="RXG743" s="3796"/>
      <c r="RXH743" s="3796"/>
      <c r="RXI743" s="3796"/>
      <c r="RXN743" s="3796"/>
      <c r="RXT743" s="3796"/>
      <c r="RXU743" s="3796"/>
      <c r="RXV743" s="3796"/>
      <c r="RXZ743" s="3796"/>
      <c r="RYG743" s="3796"/>
      <c r="RYH743" s="3796"/>
      <c r="RYI743" s="3796"/>
      <c r="RYJ743" s="3796"/>
      <c r="RYK743" s="3796"/>
      <c r="RYL743" s="3796"/>
      <c r="RYM743" s="3796"/>
      <c r="RYN743" s="3796"/>
      <c r="RYO743" s="3796"/>
      <c r="RYP743" s="3796"/>
      <c r="RYQ743" s="3796"/>
      <c r="RYR743" s="3796"/>
      <c r="RYS743" s="3796"/>
      <c r="RYT743" s="3796"/>
      <c r="RYU743" s="3796"/>
      <c r="RYV743" s="3796"/>
      <c r="RYW743" s="3796"/>
      <c r="RYX743" s="3796"/>
      <c r="RYY743" s="3796"/>
      <c r="RYZ743" s="3796"/>
      <c r="RZA743" s="3796"/>
      <c r="RZB743" s="3796"/>
      <c r="RZC743" s="3796"/>
      <c r="RZD743" s="3796"/>
      <c r="RZE743" s="3796"/>
      <c r="RZF743" s="3796"/>
      <c r="RZG743" s="3796"/>
      <c r="RZH743" s="3796"/>
      <c r="RZI743" s="3796"/>
      <c r="RZJ743" s="3796"/>
      <c r="RZK743" s="3796"/>
      <c r="RZL743" s="3796"/>
      <c r="RZM743" s="3796"/>
      <c r="RZN743" s="3796"/>
      <c r="RZO743" s="3796"/>
      <c r="RZP743" s="3796"/>
      <c r="RZQ743" s="3796"/>
      <c r="RZR743" s="3796"/>
      <c r="RZS743" s="3796"/>
      <c r="RZT743" s="3796"/>
      <c r="RZU743" s="3796"/>
      <c r="RZV743" s="3796"/>
      <c r="RZW743" s="3796"/>
      <c r="RZX743" s="3796"/>
      <c r="RZY743" s="3796"/>
      <c r="RZZ743" s="3796"/>
      <c r="SAA743" s="3796"/>
      <c r="SAB743" s="3796"/>
      <c r="SAC743" s="3796"/>
      <c r="SAD743" s="3796"/>
      <c r="SAE743" s="3796"/>
      <c r="SAF743" s="3796"/>
      <c r="SAG743" s="3796"/>
      <c r="SAH743" s="3796"/>
      <c r="SAI743" s="3796"/>
      <c r="SAJ743" s="3796"/>
      <c r="SAK743" s="3796"/>
      <c r="SAL743" s="3796"/>
      <c r="SAM743" s="3796"/>
      <c r="SAN743" s="3796"/>
      <c r="SAO743" s="3796"/>
      <c r="SAP743" s="3796"/>
      <c r="SAQ743" s="3796"/>
      <c r="SAR743" s="3796"/>
      <c r="SAS743" s="3796"/>
      <c r="SAT743" s="3796"/>
      <c r="SAU743" s="3796"/>
      <c r="SAV743" s="3796"/>
      <c r="SAW743" s="3796"/>
      <c r="SAX743" s="3796"/>
      <c r="SAY743" s="3796"/>
      <c r="SAZ743" s="3796"/>
      <c r="SBA743" s="3796"/>
      <c r="SBB743" s="3796"/>
      <c r="SBC743" s="3796"/>
      <c r="SBD743" s="3796"/>
      <c r="SBE743" s="3796"/>
      <c r="SBF743" s="3796"/>
      <c r="SBG743" s="3796"/>
      <c r="SBH743" s="3796"/>
      <c r="SBI743" s="3796"/>
      <c r="SBJ743" s="3796"/>
      <c r="SBK743" s="3796"/>
      <c r="SBL743" s="3796"/>
      <c r="SBM743" s="3796"/>
      <c r="SBN743" s="3796"/>
      <c r="SBO743" s="3796"/>
      <c r="SBP743" s="3796"/>
      <c r="SBQ743" s="3796"/>
      <c r="SBR743" s="3796"/>
      <c r="SBS743" s="3796"/>
      <c r="SBT743" s="3796"/>
      <c r="SBU743" s="3796"/>
      <c r="SBV743" s="3796"/>
      <c r="SBW743" s="3796"/>
      <c r="SBX743" s="3796"/>
      <c r="SBY743" s="3796"/>
      <c r="SBZ743" s="3796"/>
      <c r="SCA743" s="3796"/>
      <c r="SCB743" s="3796"/>
      <c r="SCC743" s="3796"/>
      <c r="SCD743" s="3796"/>
      <c r="SCE743" s="3796"/>
      <c r="SCF743" s="3796"/>
      <c r="SCG743" s="3796"/>
      <c r="SCH743" s="3796"/>
      <c r="SCI743" s="3796"/>
      <c r="SCJ743" s="3796"/>
      <c r="SCK743" s="3796"/>
      <c r="SCL743" s="3796"/>
      <c r="SCM743" s="3796"/>
      <c r="SCN743" s="3796"/>
      <c r="SCO743" s="3796"/>
      <c r="SCP743" s="3796"/>
      <c r="SCQ743" s="3796"/>
      <c r="SCR743" s="3796"/>
      <c r="SCS743" s="3796"/>
      <c r="SCT743" s="3796"/>
      <c r="SCU743" s="3796"/>
      <c r="SCV743" s="3796"/>
      <c r="SCW743" s="3796"/>
      <c r="SCX743" s="3796"/>
      <c r="SCY743" s="3796"/>
      <c r="SCZ743" s="3796"/>
      <c r="SDA743" s="3796"/>
      <c r="SDB743" s="3796"/>
      <c r="SDC743" s="3796"/>
      <c r="SDD743" s="3796"/>
      <c r="SDE743" s="3796"/>
      <c r="SDF743" s="3796"/>
      <c r="SDG743" s="3796"/>
      <c r="SDH743" s="3796"/>
      <c r="SDI743" s="3796"/>
      <c r="SDJ743" s="3796"/>
      <c r="SDK743" s="3796"/>
      <c r="SDL743" s="3796"/>
      <c r="SDM743" s="3796"/>
      <c r="SDN743" s="3796"/>
      <c r="SDO743" s="3796"/>
      <c r="SDP743" s="3796"/>
      <c r="SDQ743" s="3796"/>
      <c r="SDR743" s="3796"/>
      <c r="SDS743" s="3796"/>
      <c r="SDT743" s="3796"/>
      <c r="SDU743" s="3796"/>
      <c r="SDV743" s="3796"/>
      <c r="SDW743" s="3796"/>
      <c r="SDX743" s="3796"/>
      <c r="SDY743" s="3796"/>
      <c r="SDZ743" s="3796"/>
      <c r="SEA743" s="3796"/>
      <c r="SEB743" s="3796"/>
      <c r="SEC743" s="3796"/>
      <c r="SED743" s="3796"/>
      <c r="SEE743" s="3796"/>
      <c r="SEF743" s="3796"/>
      <c r="SEG743" s="3796"/>
      <c r="SEH743" s="3796"/>
      <c r="SEI743" s="3796"/>
      <c r="SEJ743" s="3796"/>
      <c r="SEK743" s="3796"/>
      <c r="SEL743" s="3796"/>
      <c r="SEM743" s="3796"/>
      <c r="SEN743" s="3796"/>
      <c r="SEO743" s="3796"/>
      <c r="SEP743" s="3796"/>
      <c r="SEQ743" s="3796"/>
      <c r="SER743" s="3796"/>
      <c r="SES743" s="3796"/>
      <c r="SET743" s="3796"/>
      <c r="SEU743" s="3796"/>
      <c r="SEV743" s="3796"/>
      <c r="SEW743" s="3796"/>
      <c r="SEX743" s="3796"/>
      <c r="SEY743" s="3796"/>
      <c r="SEZ743" s="3796"/>
      <c r="SFA743" s="3796"/>
      <c r="SFB743" s="3796"/>
      <c r="SFC743" s="3796"/>
      <c r="SFD743" s="3796"/>
      <c r="SFE743" s="3796"/>
      <c r="SFF743" s="3796"/>
      <c r="SFG743" s="3796"/>
      <c r="SFH743" s="3796"/>
      <c r="SFI743" s="3796"/>
      <c r="SFJ743" s="3796"/>
      <c r="SFK743" s="3796"/>
      <c r="SFL743" s="3796"/>
      <c r="SFM743" s="3796"/>
      <c r="SFN743" s="3796"/>
      <c r="SFO743" s="3796"/>
      <c r="SFP743" s="3796"/>
      <c r="SFQ743" s="3796"/>
      <c r="SFR743" s="3796"/>
      <c r="SFS743" s="3796"/>
      <c r="SFT743" s="3796"/>
      <c r="SFU743" s="3796"/>
      <c r="SFV743" s="3796"/>
      <c r="SFW743" s="3796"/>
      <c r="SFX743" s="3796"/>
      <c r="SFY743" s="3796"/>
      <c r="SFZ743" s="3796"/>
      <c r="SGA743" s="3796"/>
      <c r="SGB743" s="3796"/>
      <c r="SGC743" s="3796"/>
      <c r="SGD743" s="3796"/>
      <c r="SGE743" s="3796"/>
      <c r="SGF743" s="3796"/>
      <c r="SGG743" s="3796"/>
      <c r="SGH743" s="3796"/>
      <c r="SGI743" s="3796"/>
      <c r="SGJ743" s="3796"/>
      <c r="SGK743" s="3796"/>
      <c r="SGL743" s="3796"/>
      <c r="SGM743" s="3796"/>
      <c r="SGN743" s="3796"/>
      <c r="SGO743" s="3796"/>
      <c r="SGP743" s="3796"/>
      <c r="SGQ743" s="3796"/>
      <c r="SGR743" s="3796"/>
      <c r="SGS743" s="3796"/>
      <c r="SGT743" s="3796"/>
      <c r="SGU743" s="3796"/>
      <c r="SGV743" s="3796"/>
      <c r="SGW743" s="3796"/>
      <c r="SGX743" s="3796"/>
      <c r="SGY743" s="3796"/>
      <c r="SGZ743" s="3796"/>
      <c r="SHA743" s="3796"/>
      <c r="SHB743" s="3796"/>
      <c r="SHC743" s="3796"/>
      <c r="SHD743" s="3796"/>
      <c r="SHE743" s="3796"/>
      <c r="SHJ743" s="3796"/>
      <c r="SHP743" s="3796"/>
      <c r="SHQ743" s="3796"/>
      <c r="SHR743" s="3796"/>
      <c r="SHV743" s="3796"/>
      <c r="SIC743" s="3796"/>
      <c r="SID743" s="3796"/>
      <c r="SIE743" s="3796"/>
      <c r="SIF743" s="3796"/>
      <c r="SIG743" s="3796"/>
      <c r="SIH743" s="3796"/>
      <c r="SII743" s="3796"/>
      <c r="SIJ743" s="3796"/>
      <c r="SIK743" s="3796"/>
      <c r="SIL743" s="3796"/>
      <c r="SIM743" s="3796"/>
      <c r="SIN743" s="3796"/>
      <c r="SIO743" s="3796"/>
      <c r="SIP743" s="3796"/>
      <c r="SIQ743" s="3796"/>
      <c r="SIR743" s="3796"/>
      <c r="SIS743" s="3796"/>
      <c r="SIT743" s="3796"/>
      <c r="SIU743" s="3796"/>
      <c r="SIV743" s="3796"/>
      <c r="SIW743" s="3796"/>
      <c r="SIX743" s="3796"/>
      <c r="SIY743" s="3796"/>
      <c r="SIZ743" s="3796"/>
      <c r="SJA743" s="3796"/>
      <c r="SJB743" s="3796"/>
      <c r="SJC743" s="3796"/>
      <c r="SJD743" s="3796"/>
      <c r="SJE743" s="3796"/>
      <c r="SJF743" s="3796"/>
      <c r="SJG743" s="3796"/>
      <c r="SJH743" s="3796"/>
      <c r="SJI743" s="3796"/>
      <c r="SJJ743" s="3796"/>
      <c r="SJK743" s="3796"/>
      <c r="SJL743" s="3796"/>
      <c r="SJM743" s="3796"/>
      <c r="SJN743" s="3796"/>
      <c r="SJO743" s="3796"/>
      <c r="SJP743" s="3796"/>
      <c r="SJQ743" s="3796"/>
      <c r="SJR743" s="3796"/>
      <c r="SJS743" s="3796"/>
      <c r="SJT743" s="3796"/>
      <c r="SJU743" s="3796"/>
      <c r="SJV743" s="3796"/>
      <c r="SJW743" s="3796"/>
      <c r="SJX743" s="3796"/>
      <c r="SJY743" s="3796"/>
      <c r="SJZ743" s="3796"/>
      <c r="SKA743" s="3796"/>
      <c r="SKB743" s="3796"/>
      <c r="SKC743" s="3796"/>
      <c r="SKD743" s="3796"/>
      <c r="SKE743" s="3796"/>
      <c r="SKF743" s="3796"/>
      <c r="SKG743" s="3796"/>
      <c r="SKH743" s="3796"/>
      <c r="SKI743" s="3796"/>
      <c r="SKJ743" s="3796"/>
      <c r="SKK743" s="3796"/>
      <c r="SKL743" s="3796"/>
      <c r="SKM743" s="3796"/>
      <c r="SKN743" s="3796"/>
      <c r="SKO743" s="3796"/>
      <c r="SKP743" s="3796"/>
      <c r="SKQ743" s="3796"/>
      <c r="SKR743" s="3796"/>
      <c r="SKS743" s="3796"/>
      <c r="SKT743" s="3796"/>
      <c r="SKU743" s="3796"/>
      <c r="SKV743" s="3796"/>
      <c r="SKW743" s="3796"/>
      <c r="SKX743" s="3796"/>
      <c r="SKY743" s="3796"/>
      <c r="SKZ743" s="3796"/>
      <c r="SLA743" s="3796"/>
      <c r="SLB743" s="3796"/>
      <c r="SLC743" s="3796"/>
      <c r="SLD743" s="3796"/>
      <c r="SLE743" s="3796"/>
      <c r="SLF743" s="3796"/>
      <c r="SLG743" s="3796"/>
      <c r="SLH743" s="3796"/>
      <c r="SLI743" s="3796"/>
      <c r="SLJ743" s="3796"/>
      <c r="SLK743" s="3796"/>
      <c r="SLL743" s="3796"/>
      <c r="SLM743" s="3796"/>
      <c r="SLN743" s="3796"/>
      <c r="SLO743" s="3796"/>
      <c r="SLP743" s="3796"/>
      <c r="SLQ743" s="3796"/>
      <c r="SLR743" s="3796"/>
      <c r="SLS743" s="3796"/>
      <c r="SLT743" s="3796"/>
      <c r="SLU743" s="3796"/>
      <c r="SLV743" s="3796"/>
      <c r="SLW743" s="3796"/>
      <c r="SLX743" s="3796"/>
      <c r="SLY743" s="3796"/>
      <c r="SLZ743" s="3796"/>
      <c r="SMA743" s="3796"/>
      <c r="SMB743" s="3796"/>
      <c r="SMC743" s="3796"/>
      <c r="SMD743" s="3796"/>
      <c r="SME743" s="3796"/>
      <c r="SMF743" s="3796"/>
      <c r="SMG743" s="3796"/>
      <c r="SMH743" s="3796"/>
      <c r="SMI743" s="3796"/>
      <c r="SMJ743" s="3796"/>
      <c r="SMK743" s="3796"/>
      <c r="SML743" s="3796"/>
      <c r="SMM743" s="3796"/>
      <c r="SMN743" s="3796"/>
      <c r="SMO743" s="3796"/>
      <c r="SMP743" s="3796"/>
      <c r="SMQ743" s="3796"/>
      <c r="SMR743" s="3796"/>
      <c r="SMS743" s="3796"/>
      <c r="SMT743" s="3796"/>
      <c r="SMU743" s="3796"/>
      <c r="SMV743" s="3796"/>
      <c r="SMW743" s="3796"/>
      <c r="SMX743" s="3796"/>
      <c r="SMY743" s="3796"/>
      <c r="SMZ743" s="3796"/>
      <c r="SNA743" s="3796"/>
      <c r="SNB743" s="3796"/>
      <c r="SNC743" s="3796"/>
      <c r="SND743" s="3796"/>
      <c r="SNE743" s="3796"/>
      <c r="SNF743" s="3796"/>
      <c r="SNG743" s="3796"/>
      <c r="SNH743" s="3796"/>
      <c r="SNI743" s="3796"/>
      <c r="SNJ743" s="3796"/>
      <c r="SNK743" s="3796"/>
      <c r="SNL743" s="3796"/>
      <c r="SNM743" s="3796"/>
      <c r="SNN743" s="3796"/>
      <c r="SNO743" s="3796"/>
      <c r="SNP743" s="3796"/>
      <c r="SNQ743" s="3796"/>
      <c r="SNR743" s="3796"/>
      <c r="SNS743" s="3796"/>
      <c r="SNT743" s="3796"/>
      <c r="SNU743" s="3796"/>
      <c r="SNV743" s="3796"/>
      <c r="SNW743" s="3796"/>
      <c r="SNX743" s="3796"/>
      <c r="SNY743" s="3796"/>
      <c r="SNZ743" s="3796"/>
      <c r="SOA743" s="3796"/>
      <c r="SOB743" s="3796"/>
      <c r="SOC743" s="3796"/>
      <c r="SOD743" s="3796"/>
      <c r="SOE743" s="3796"/>
      <c r="SOF743" s="3796"/>
      <c r="SOG743" s="3796"/>
      <c r="SOH743" s="3796"/>
      <c r="SOI743" s="3796"/>
      <c r="SOJ743" s="3796"/>
      <c r="SOK743" s="3796"/>
      <c r="SOL743" s="3796"/>
      <c r="SOM743" s="3796"/>
      <c r="SON743" s="3796"/>
      <c r="SOO743" s="3796"/>
      <c r="SOP743" s="3796"/>
      <c r="SOQ743" s="3796"/>
      <c r="SOR743" s="3796"/>
      <c r="SOS743" s="3796"/>
      <c r="SOT743" s="3796"/>
      <c r="SOU743" s="3796"/>
      <c r="SOV743" s="3796"/>
      <c r="SOW743" s="3796"/>
      <c r="SOX743" s="3796"/>
      <c r="SOY743" s="3796"/>
      <c r="SOZ743" s="3796"/>
      <c r="SPA743" s="3796"/>
      <c r="SPB743" s="3796"/>
      <c r="SPC743" s="3796"/>
      <c r="SPD743" s="3796"/>
      <c r="SPE743" s="3796"/>
      <c r="SPF743" s="3796"/>
      <c r="SPG743" s="3796"/>
      <c r="SPH743" s="3796"/>
      <c r="SPI743" s="3796"/>
      <c r="SPJ743" s="3796"/>
      <c r="SPK743" s="3796"/>
      <c r="SPL743" s="3796"/>
      <c r="SPM743" s="3796"/>
      <c r="SPN743" s="3796"/>
      <c r="SPO743" s="3796"/>
      <c r="SPP743" s="3796"/>
      <c r="SPQ743" s="3796"/>
      <c r="SPR743" s="3796"/>
      <c r="SPS743" s="3796"/>
      <c r="SPT743" s="3796"/>
      <c r="SPU743" s="3796"/>
      <c r="SPV743" s="3796"/>
      <c r="SPW743" s="3796"/>
      <c r="SPX743" s="3796"/>
      <c r="SPY743" s="3796"/>
      <c r="SPZ743" s="3796"/>
      <c r="SQA743" s="3796"/>
      <c r="SQB743" s="3796"/>
      <c r="SQC743" s="3796"/>
      <c r="SQD743" s="3796"/>
      <c r="SQE743" s="3796"/>
      <c r="SQF743" s="3796"/>
      <c r="SQG743" s="3796"/>
      <c r="SQH743" s="3796"/>
      <c r="SQI743" s="3796"/>
      <c r="SQJ743" s="3796"/>
      <c r="SQK743" s="3796"/>
      <c r="SQL743" s="3796"/>
      <c r="SQM743" s="3796"/>
      <c r="SQN743" s="3796"/>
      <c r="SQO743" s="3796"/>
      <c r="SQP743" s="3796"/>
      <c r="SQQ743" s="3796"/>
      <c r="SQR743" s="3796"/>
      <c r="SQS743" s="3796"/>
      <c r="SQT743" s="3796"/>
      <c r="SQU743" s="3796"/>
      <c r="SQV743" s="3796"/>
      <c r="SQW743" s="3796"/>
      <c r="SQX743" s="3796"/>
      <c r="SQY743" s="3796"/>
      <c r="SQZ743" s="3796"/>
      <c r="SRA743" s="3796"/>
      <c r="SRF743" s="3796"/>
      <c r="SRL743" s="3796"/>
      <c r="SRM743" s="3796"/>
      <c r="SRN743" s="3796"/>
      <c r="SRR743" s="3796"/>
      <c r="SRY743" s="3796"/>
      <c r="SRZ743" s="3796"/>
      <c r="SSA743" s="3796"/>
      <c r="SSB743" s="3796"/>
      <c r="SSC743" s="3796"/>
      <c r="SSD743" s="3796"/>
      <c r="SSE743" s="3796"/>
      <c r="SSF743" s="3796"/>
      <c r="SSG743" s="3796"/>
      <c r="SSH743" s="3796"/>
      <c r="SSI743" s="3796"/>
      <c r="SSJ743" s="3796"/>
      <c r="SSK743" s="3796"/>
      <c r="SSL743" s="3796"/>
      <c r="SSM743" s="3796"/>
      <c r="SSN743" s="3796"/>
      <c r="SSO743" s="3796"/>
      <c r="SSP743" s="3796"/>
      <c r="SSQ743" s="3796"/>
      <c r="SSR743" s="3796"/>
      <c r="SSS743" s="3796"/>
      <c r="SST743" s="3796"/>
      <c r="SSU743" s="3796"/>
      <c r="SSV743" s="3796"/>
      <c r="SSW743" s="3796"/>
      <c r="SSX743" s="3796"/>
      <c r="SSY743" s="3796"/>
      <c r="SSZ743" s="3796"/>
      <c r="STA743" s="3796"/>
      <c r="STB743" s="3796"/>
      <c r="STC743" s="3796"/>
      <c r="STD743" s="3796"/>
      <c r="STE743" s="3796"/>
      <c r="STF743" s="3796"/>
      <c r="STG743" s="3796"/>
      <c r="STH743" s="3796"/>
      <c r="STI743" s="3796"/>
      <c r="STJ743" s="3796"/>
      <c r="STK743" s="3796"/>
      <c r="STL743" s="3796"/>
      <c r="STM743" s="3796"/>
      <c r="STN743" s="3796"/>
      <c r="STO743" s="3796"/>
      <c r="STP743" s="3796"/>
      <c r="STQ743" s="3796"/>
      <c r="STR743" s="3796"/>
      <c r="STS743" s="3796"/>
      <c r="STT743" s="3796"/>
      <c r="STU743" s="3796"/>
      <c r="STV743" s="3796"/>
      <c r="STW743" s="3796"/>
      <c r="STX743" s="3796"/>
      <c r="STY743" s="3796"/>
      <c r="STZ743" s="3796"/>
      <c r="SUA743" s="3796"/>
      <c r="SUB743" s="3796"/>
      <c r="SUC743" s="3796"/>
      <c r="SUD743" s="3796"/>
      <c r="SUE743" s="3796"/>
      <c r="SUF743" s="3796"/>
      <c r="SUG743" s="3796"/>
      <c r="SUH743" s="3796"/>
      <c r="SUI743" s="3796"/>
      <c r="SUJ743" s="3796"/>
      <c r="SUK743" s="3796"/>
      <c r="SUL743" s="3796"/>
      <c r="SUM743" s="3796"/>
      <c r="SUN743" s="3796"/>
      <c r="SUO743" s="3796"/>
      <c r="SUP743" s="3796"/>
      <c r="SUQ743" s="3796"/>
      <c r="SUR743" s="3796"/>
      <c r="SUS743" s="3796"/>
      <c r="SUT743" s="3796"/>
      <c r="SUU743" s="3796"/>
      <c r="SUV743" s="3796"/>
      <c r="SUW743" s="3796"/>
      <c r="SUX743" s="3796"/>
      <c r="SUY743" s="3796"/>
      <c r="SUZ743" s="3796"/>
      <c r="SVA743" s="3796"/>
      <c r="SVB743" s="3796"/>
      <c r="SVC743" s="3796"/>
      <c r="SVD743" s="3796"/>
      <c r="SVE743" s="3796"/>
      <c r="SVF743" s="3796"/>
      <c r="SVG743" s="3796"/>
      <c r="SVH743" s="3796"/>
      <c r="SVI743" s="3796"/>
      <c r="SVJ743" s="3796"/>
      <c r="SVK743" s="3796"/>
      <c r="SVL743" s="3796"/>
      <c r="SVM743" s="3796"/>
      <c r="SVN743" s="3796"/>
      <c r="SVO743" s="3796"/>
      <c r="SVP743" s="3796"/>
      <c r="SVQ743" s="3796"/>
      <c r="SVR743" s="3796"/>
      <c r="SVS743" s="3796"/>
      <c r="SVT743" s="3796"/>
      <c r="SVU743" s="3796"/>
      <c r="SVV743" s="3796"/>
      <c r="SVW743" s="3796"/>
      <c r="SVX743" s="3796"/>
      <c r="SVY743" s="3796"/>
      <c r="SVZ743" s="3796"/>
      <c r="SWA743" s="3796"/>
      <c r="SWB743" s="3796"/>
      <c r="SWC743" s="3796"/>
      <c r="SWD743" s="3796"/>
      <c r="SWE743" s="3796"/>
      <c r="SWF743" s="3796"/>
      <c r="SWG743" s="3796"/>
      <c r="SWH743" s="3796"/>
      <c r="SWI743" s="3796"/>
      <c r="SWJ743" s="3796"/>
      <c r="SWK743" s="3796"/>
      <c r="SWL743" s="3796"/>
      <c r="SWM743" s="3796"/>
      <c r="SWN743" s="3796"/>
      <c r="SWO743" s="3796"/>
      <c r="SWP743" s="3796"/>
      <c r="SWQ743" s="3796"/>
      <c r="SWR743" s="3796"/>
      <c r="SWS743" s="3796"/>
      <c r="SWT743" s="3796"/>
      <c r="SWU743" s="3796"/>
      <c r="SWV743" s="3796"/>
      <c r="SWW743" s="3796"/>
      <c r="SWX743" s="3796"/>
      <c r="SWY743" s="3796"/>
      <c r="SWZ743" s="3796"/>
      <c r="SXA743" s="3796"/>
      <c r="SXB743" s="3796"/>
      <c r="SXC743" s="3796"/>
      <c r="SXD743" s="3796"/>
      <c r="SXE743" s="3796"/>
      <c r="SXF743" s="3796"/>
      <c r="SXG743" s="3796"/>
      <c r="SXH743" s="3796"/>
      <c r="SXI743" s="3796"/>
      <c r="SXJ743" s="3796"/>
      <c r="SXK743" s="3796"/>
      <c r="SXL743" s="3796"/>
      <c r="SXM743" s="3796"/>
      <c r="SXN743" s="3796"/>
      <c r="SXO743" s="3796"/>
      <c r="SXP743" s="3796"/>
      <c r="SXQ743" s="3796"/>
      <c r="SXR743" s="3796"/>
      <c r="SXS743" s="3796"/>
      <c r="SXT743" s="3796"/>
      <c r="SXU743" s="3796"/>
      <c r="SXV743" s="3796"/>
      <c r="SXW743" s="3796"/>
      <c r="SXX743" s="3796"/>
      <c r="SXY743" s="3796"/>
      <c r="SXZ743" s="3796"/>
      <c r="SYA743" s="3796"/>
      <c r="SYB743" s="3796"/>
      <c r="SYC743" s="3796"/>
      <c r="SYD743" s="3796"/>
      <c r="SYE743" s="3796"/>
      <c r="SYF743" s="3796"/>
      <c r="SYG743" s="3796"/>
      <c r="SYH743" s="3796"/>
      <c r="SYI743" s="3796"/>
      <c r="SYJ743" s="3796"/>
      <c r="SYK743" s="3796"/>
      <c r="SYL743" s="3796"/>
      <c r="SYM743" s="3796"/>
      <c r="SYN743" s="3796"/>
      <c r="SYO743" s="3796"/>
      <c r="SYP743" s="3796"/>
      <c r="SYQ743" s="3796"/>
      <c r="SYR743" s="3796"/>
      <c r="SYS743" s="3796"/>
      <c r="SYT743" s="3796"/>
      <c r="SYU743" s="3796"/>
      <c r="SYV743" s="3796"/>
      <c r="SYW743" s="3796"/>
      <c r="SYX743" s="3796"/>
      <c r="SYY743" s="3796"/>
      <c r="SYZ743" s="3796"/>
      <c r="SZA743" s="3796"/>
      <c r="SZB743" s="3796"/>
      <c r="SZC743" s="3796"/>
      <c r="SZD743" s="3796"/>
      <c r="SZE743" s="3796"/>
      <c r="SZF743" s="3796"/>
      <c r="SZG743" s="3796"/>
      <c r="SZH743" s="3796"/>
      <c r="SZI743" s="3796"/>
      <c r="SZJ743" s="3796"/>
      <c r="SZK743" s="3796"/>
      <c r="SZL743" s="3796"/>
      <c r="SZM743" s="3796"/>
      <c r="SZN743" s="3796"/>
      <c r="SZO743" s="3796"/>
      <c r="SZP743" s="3796"/>
      <c r="SZQ743" s="3796"/>
      <c r="SZR743" s="3796"/>
      <c r="SZS743" s="3796"/>
      <c r="SZT743" s="3796"/>
      <c r="SZU743" s="3796"/>
      <c r="SZV743" s="3796"/>
      <c r="SZW743" s="3796"/>
      <c r="SZX743" s="3796"/>
      <c r="SZY743" s="3796"/>
      <c r="SZZ743" s="3796"/>
      <c r="TAA743" s="3796"/>
      <c r="TAB743" s="3796"/>
      <c r="TAC743" s="3796"/>
      <c r="TAD743" s="3796"/>
      <c r="TAE743" s="3796"/>
      <c r="TAF743" s="3796"/>
      <c r="TAG743" s="3796"/>
      <c r="TAH743" s="3796"/>
      <c r="TAI743" s="3796"/>
      <c r="TAJ743" s="3796"/>
      <c r="TAK743" s="3796"/>
      <c r="TAL743" s="3796"/>
      <c r="TAM743" s="3796"/>
      <c r="TAN743" s="3796"/>
      <c r="TAO743" s="3796"/>
      <c r="TAP743" s="3796"/>
      <c r="TAQ743" s="3796"/>
      <c r="TAR743" s="3796"/>
      <c r="TAS743" s="3796"/>
      <c r="TAT743" s="3796"/>
      <c r="TAU743" s="3796"/>
      <c r="TAV743" s="3796"/>
      <c r="TAW743" s="3796"/>
      <c r="TBB743" s="3796"/>
      <c r="TBH743" s="3796"/>
      <c r="TBI743" s="3796"/>
      <c r="TBJ743" s="3796"/>
      <c r="TBN743" s="3796"/>
      <c r="TBU743" s="3796"/>
      <c r="TBV743" s="3796"/>
      <c r="TBW743" s="3796"/>
      <c r="TBX743" s="3796"/>
      <c r="TBY743" s="3796"/>
      <c r="TBZ743" s="3796"/>
      <c r="TCA743" s="3796"/>
      <c r="TCB743" s="3796"/>
      <c r="TCC743" s="3796"/>
      <c r="TCD743" s="3796"/>
      <c r="TCE743" s="3796"/>
      <c r="TCF743" s="3796"/>
      <c r="TCG743" s="3796"/>
      <c r="TCH743" s="3796"/>
      <c r="TCI743" s="3796"/>
      <c r="TCJ743" s="3796"/>
      <c r="TCK743" s="3796"/>
      <c r="TCL743" s="3796"/>
      <c r="TCM743" s="3796"/>
      <c r="TCN743" s="3796"/>
      <c r="TCO743" s="3796"/>
      <c r="TCP743" s="3796"/>
      <c r="TCQ743" s="3796"/>
      <c r="TCR743" s="3796"/>
      <c r="TCS743" s="3796"/>
      <c r="TCT743" s="3796"/>
      <c r="TCU743" s="3796"/>
      <c r="TCV743" s="3796"/>
      <c r="TCW743" s="3796"/>
      <c r="TCX743" s="3796"/>
      <c r="TCY743" s="3796"/>
      <c r="TCZ743" s="3796"/>
      <c r="TDA743" s="3796"/>
      <c r="TDB743" s="3796"/>
      <c r="TDC743" s="3796"/>
      <c r="TDD743" s="3796"/>
      <c r="TDE743" s="3796"/>
      <c r="TDF743" s="3796"/>
      <c r="TDG743" s="3796"/>
      <c r="TDH743" s="3796"/>
      <c r="TDI743" s="3796"/>
      <c r="TDJ743" s="3796"/>
      <c r="TDK743" s="3796"/>
      <c r="TDL743" s="3796"/>
      <c r="TDM743" s="3796"/>
      <c r="TDN743" s="3796"/>
      <c r="TDO743" s="3796"/>
      <c r="TDP743" s="3796"/>
      <c r="TDQ743" s="3796"/>
      <c r="TDR743" s="3796"/>
      <c r="TDS743" s="3796"/>
      <c r="TDT743" s="3796"/>
      <c r="TDU743" s="3796"/>
      <c r="TDV743" s="3796"/>
      <c r="TDW743" s="3796"/>
      <c r="TDX743" s="3796"/>
      <c r="TDY743" s="3796"/>
      <c r="TDZ743" s="3796"/>
      <c r="TEA743" s="3796"/>
      <c r="TEB743" s="3796"/>
      <c r="TEC743" s="3796"/>
      <c r="TED743" s="3796"/>
      <c r="TEE743" s="3796"/>
      <c r="TEF743" s="3796"/>
      <c r="TEG743" s="3796"/>
      <c r="TEH743" s="3796"/>
      <c r="TEI743" s="3796"/>
      <c r="TEJ743" s="3796"/>
      <c r="TEK743" s="3796"/>
      <c r="TEL743" s="3796"/>
      <c r="TEM743" s="3796"/>
      <c r="TEN743" s="3796"/>
      <c r="TEO743" s="3796"/>
      <c r="TEP743" s="3796"/>
      <c r="TEQ743" s="3796"/>
      <c r="TER743" s="3796"/>
      <c r="TES743" s="3796"/>
      <c r="TET743" s="3796"/>
      <c r="TEU743" s="3796"/>
      <c r="TEV743" s="3796"/>
      <c r="TEW743" s="3796"/>
      <c r="TEX743" s="3796"/>
      <c r="TEY743" s="3796"/>
      <c r="TEZ743" s="3796"/>
      <c r="TFA743" s="3796"/>
      <c r="TFB743" s="3796"/>
      <c r="TFC743" s="3796"/>
      <c r="TFD743" s="3796"/>
      <c r="TFE743" s="3796"/>
      <c r="TFF743" s="3796"/>
      <c r="TFG743" s="3796"/>
      <c r="TFH743" s="3796"/>
      <c r="TFI743" s="3796"/>
      <c r="TFJ743" s="3796"/>
      <c r="TFK743" s="3796"/>
      <c r="TFL743" s="3796"/>
      <c r="TFM743" s="3796"/>
      <c r="TFN743" s="3796"/>
      <c r="TFO743" s="3796"/>
      <c r="TFP743" s="3796"/>
      <c r="TFQ743" s="3796"/>
      <c r="TFR743" s="3796"/>
      <c r="TFS743" s="3796"/>
      <c r="TFT743" s="3796"/>
      <c r="TFU743" s="3796"/>
      <c r="TFV743" s="3796"/>
      <c r="TFW743" s="3796"/>
      <c r="TFX743" s="3796"/>
      <c r="TFY743" s="3796"/>
      <c r="TFZ743" s="3796"/>
      <c r="TGA743" s="3796"/>
      <c r="TGB743" s="3796"/>
      <c r="TGC743" s="3796"/>
      <c r="TGD743" s="3796"/>
      <c r="TGE743" s="3796"/>
      <c r="TGF743" s="3796"/>
      <c r="TGG743" s="3796"/>
      <c r="TGH743" s="3796"/>
      <c r="TGI743" s="3796"/>
      <c r="TGJ743" s="3796"/>
      <c r="TGK743" s="3796"/>
      <c r="TGL743" s="3796"/>
      <c r="TGM743" s="3796"/>
      <c r="TGN743" s="3796"/>
      <c r="TGO743" s="3796"/>
      <c r="TGP743" s="3796"/>
      <c r="TGQ743" s="3796"/>
      <c r="TGR743" s="3796"/>
      <c r="TGS743" s="3796"/>
      <c r="TGT743" s="3796"/>
      <c r="TGU743" s="3796"/>
      <c r="TGV743" s="3796"/>
      <c r="TGW743" s="3796"/>
      <c r="TGX743" s="3796"/>
      <c r="TGY743" s="3796"/>
      <c r="TGZ743" s="3796"/>
      <c r="THA743" s="3796"/>
      <c r="THB743" s="3796"/>
      <c r="THC743" s="3796"/>
      <c r="THD743" s="3796"/>
      <c r="THE743" s="3796"/>
      <c r="THF743" s="3796"/>
      <c r="THG743" s="3796"/>
      <c r="THH743" s="3796"/>
      <c r="THI743" s="3796"/>
      <c r="THJ743" s="3796"/>
      <c r="THK743" s="3796"/>
      <c r="THL743" s="3796"/>
      <c r="THM743" s="3796"/>
      <c r="THN743" s="3796"/>
      <c r="THO743" s="3796"/>
      <c r="THP743" s="3796"/>
      <c r="THQ743" s="3796"/>
      <c r="THR743" s="3796"/>
      <c r="THS743" s="3796"/>
      <c r="THT743" s="3796"/>
      <c r="THU743" s="3796"/>
      <c r="THV743" s="3796"/>
      <c r="THW743" s="3796"/>
      <c r="THX743" s="3796"/>
      <c r="THY743" s="3796"/>
      <c r="THZ743" s="3796"/>
      <c r="TIA743" s="3796"/>
      <c r="TIB743" s="3796"/>
      <c r="TIC743" s="3796"/>
      <c r="TID743" s="3796"/>
      <c r="TIE743" s="3796"/>
      <c r="TIF743" s="3796"/>
      <c r="TIG743" s="3796"/>
      <c r="TIH743" s="3796"/>
      <c r="TII743" s="3796"/>
      <c r="TIJ743" s="3796"/>
      <c r="TIK743" s="3796"/>
      <c r="TIL743" s="3796"/>
      <c r="TIM743" s="3796"/>
      <c r="TIN743" s="3796"/>
      <c r="TIO743" s="3796"/>
      <c r="TIP743" s="3796"/>
      <c r="TIQ743" s="3796"/>
      <c r="TIR743" s="3796"/>
      <c r="TIS743" s="3796"/>
      <c r="TIT743" s="3796"/>
      <c r="TIU743" s="3796"/>
      <c r="TIV743" s="3796"/>
      <c r="TIW743" s="3796"/>
      <c r="TIX743" s="3796"/>
      <c r="TIY743" s="3796"/>
      <c r="TIZ743" s="3796"/>
      <c r="TJA743" s="3796"/>
      <c r="TJB743" s="3796"/>
      <c r="TJC743" s="3796"/>
      <c r="TJD743" s="3796"/>
      <c r="TJE743" s="3796"/>
      <c r="TJF743" s="3796"/>
      <c r="TJG743" s="3796"/>
      <c r="TJH743" s="3796"/>
      <c r="TJI743" s="3796"/>
      <c r="TJJ743" s="3796"/>
      <c r="TJK743" s="3796"/>
      <c r="TJL743" s="3796"/>
      <c r="TJM743" s="3796"/>
      <c r="TJN743" s="3796"/>
      <c r="TJO743" s="3796"/>
      <c r="TJP743" s="3796"/>
      <c r="TJQ743" s="3796"/>
      <c r="TJR743" s="3796"/>
      <c r="TJS743" s="3796"/>
      <c r="TJT743" s="3796"/>
      <c r="TJU743" s="3796"/>
      <c r="TJV743" s="3796"/>
      <c r="TJW743" s="3796"/>
      <c r="TJX743" s="3796"/>
      <c r="TJY743" s="3796"/>
      <c r="TJZ743" s="3796"/>
      <c r="TKA743" s="3796"/>
      <c r="TKB743" s="3796"/>
      <c r="TKC743" s="3796"/>
      <c r="TKD743" s="3796"/>
      <c r="TKE743" s="3796"/>
      <c r="TKF743" s="3796"/>
      <c r="TKG743" s="3796"/>
      <c r="TKH743" s="3796"/>
      <c r="TKI743" s="3796"/>
      <c r="TKJ743" s="3796"/>
      <c r="TKK743" s="3796"/>
      <c r="TKL743" s="3796"/>
      <c r="TKM743" s="3796"/>
      <c r="TKN743" s="3796"/>
      <c r="TKO743" s="3796"/>
      <c r="TKP743" s="3796"/>
      <c r="TKQ743" s="3796"/>
      <c r="TKR743" s="3796"/>
      <c r="TKS743" s="3796"/>
      <c r="TKX743" s="3796"/>
      <c r="TLD743" s="3796"/>
      <c r="TLE743" s="3796"/>
      <c r="TLF743" s="3796"/>
      <c r="TLJ743" s="3796"/>
      <c r="TLQ743" s="3796"/>
      <c r="TLR743" s="3796"/>
      <c r="TLS743" s="3796"/>
      <c r="TLT743" s="3796"/>
      <c r="TLU743" s="3796"/>
      <c r="TLV743" s="3796"/>
      <c r="TLW743" s="3796"/>
      <c r="TLX743" s="3796"/>
      <c r="TLY743" s="3796"/>
      <c r="TLZ743" s="3796"/>
      <c r="TMA743" s="3796"/>
      <c r="TMB743" s="3796"/>
      <c r="TMC743" s="3796"/>
      <c r="TMD743" s="3796"/>
      <c r="TME743" s="3796"/>
      <c r="TMF743" s="3796"/>
      <c r="TMG743" s="3796"/>
      <c r="TMH743" s="3796"/>
      <c r="TMI743" s="3796"/>
      <c r="TMJ743" s="3796"/>
      <c r="TMK743" s="3796"/>
      <c r="TML743" s="3796"/>
      <c r="TMM743" s="3796"/>
      <c r="TMN743" s="3796"/>
      <c r="TMO743" s="3796"/>
      <c r="TMP743" s="3796"/>
      <c r="TMQ743" s="3796"/>
      <c r="TMR743" s="3796"/>
      <c r="TMS743" s="3796"/>
      <c r="TMT743" s="3796"/>
      <c r="TMU743" s="3796"/>
      <c r="TMV743" s="3796"/>
      <c r="TMW743" s="3796"/>
      <c r="TMX743" s="3796"/>
      <c r="TMY743" s="3796"/>
      <c r="TMZ743" s="3796"/>
      <c r="TNA743" s="3796"/>
      <c r="TNB743" s="3796"/>
      <c r="TNC743" s="3796"/>
      <c r="TND743" s="3796"/>
      <c r="TNE743" s="3796"/>
      <c r="TNF743" s="3796"/>
      <c r="TNG743" s="3796"/>
      <c r="TNH743" s="3796"/>
      <c r="TNI743" s="3796"/>
      <c r="TNJ743" s="3796"/>
      <c r="TNK743" s="3796"/>
      <c r="TNL743" s="3796"/>
      <c r="TNM743" s="3796"/>
      <c r="TNN743" s="3796"/>
      <c r="TNO743" s="3796"/>
      <c r="TNP743" s="3796"/>
      <c r="TNQ743" s="3796"/>
      <c r="TNR743" s="3796"/>
      <c r="TNS743" s="3796"/>
      <c r="TNT743" s="3796"/>
      <c r="TNU743" s="3796"/>
      <c r="TNV743" s="3796"/>
      <c r="TNW743" s="3796"/>
      <c r="TNX743" s="3796"/>
      <c r="TNY743" s="3796"/>
      <c r="TNZ743" s="3796"/>
      <c r="TOA743" s="3796"/>
      <c r="TOB743" s="3796"/>
      <c r="TOC743" s="3796"/>
      <c r="TOD743" s="3796"/>
      <c r="TOE743" s="3796"/>
      <c r="TOF743" s="3796"/>
      <c r="TOG743" s="3796"/>
      <c r="TOH743" s="3796"/>
      <c r="TOI743" s="3796"/>
      <c r="TOJ743" s="3796"/>
      <c r="TOK743" s="3796"/>
      <c r="TOL743" s="3796"/>
      <c r="TOM743" s="3796"/>
      <c r="TON743" s="3796"/>
      <c r="TOO743" s="3796"/>
      <c r="TOP743" s="3796"/>
      <c r="TOQ743" s="3796"/>
      <c r="TOR743" s="3796"/>
      <c r="TOS743" s="3796"/>
      <c r="TOT743" s="3796"/>
      <c r="TOU743" s="3796"/>
      <c r="TOV743" s="3796"/>
      <c r="TOW743" s="3796"/>
      <c r="TOX743" s="3796"/>
      <c r="TOY743" s="3796"/>
      <c r="TOZ743" s="3796"/>
      <c r="TPA743" s="3796"/>
      <c r="TPB743" s="3796"/>
      <c r="TPC743" s="3796"/>
      <c r="TPD743" s="3796"/>
      <c r="TPE743" s="3796"/>
      <c r="TPF743" s="3796"/>
      <c r="TPG743" s="3796"/>
      <c r="TPH743" s="3796"/>
      <c r="TPI743" s="3796"/>
      <c r="TPJ743" s="3796"/>
      <c r="TPK743" s="3796"/>
      <c r="TPL743" s="3796"/>
      <c r="TPM743" s="3796"/>
      <c r="TPN743" s="3796"/>
      <c r="TPO743" s="3796"/>
      <c r="TPP743" s="3796"/>
      <c r="TPQ743" s="3796"/>
      <c r="TPR743" s="3796"/>
      <c r="TPS743" s="3796"/>
      <c r="TPT743" s="3796"/>
      <c r="TPU743" s="3796"/>
      <c r="TPV743" s="3796"/>
      <c r="TPW743" s="3796"/>
      <c r="TPX743" s="3796"/>
      <c r="TPY743" s="3796"/>
      <c r="TPZ743" s="3796"/>
      <c r="TQA743" s="3796"/>
      <c r="TQB743" s="3796"/>
      <c r="TQC743" s="3796"/>
      <c r="TQD743" s="3796"/>
      <c r="TQE743" s="3796"/>
      <c r="TQF743" s="3796"/>
      <c r="TQG743" s="3796"/>
      <c r="TQH743" s="3796"/>
      <c r="TQI743" s="3796"/>
      <c r="TQJ743" s="3796"/>
      <c r="TQK743" s="3796"/>
      <c r="TQL743" s="3796"/>
      <c r="TQM743" s="3796"/>
      <c r="TQN743" s="3796"/>
      <c r="TQO743" s="3796"/>
      <c r="TQP743" s="3796"/>
      <c r="TQQ743" s="3796"/>
      <c r="TQR743" s="3796"/>
      <c r="TQS743" s="3796"/>
      <c r="TQT743" s="3796"/>
      <c r="TQU743" s="3796"/>
      <c r="TQV743" s="3796"/>
      <c r="TQW743" s="3796"/>
      <c r="TQX743" s="3796"/>
      <c r="TQY743" s="3796"/>
      <c r="TQZ743" s="3796"/>
      <c r="TRA743" s="3796"/>
      <c r="TRB743" s="3796"/>
      <c r="TRC743" s="3796"/>
      <c r="TRD743" s="3796"/>
      <c r="TRE743" s="3796"/>
      <c r="TRF743" s="3796"/>
      <c r="TRG743" s="3796"/>
      <c r="TRH743" s="3796"/>
      <c r="TRI743" s="3796"/>
      <c r="TRJ743" s="3796"/>
      <c r="TRK743" s="3796"/>
      <c r="TRL743" s="3796"/>
      <c r="TRM743" s="3796"/>
      <c r="TRN743" s="3796"/>
      <c r="TRO743" s="3796"/>
      <c r="TRP743" s="3796"/>
      <c r="TRQ743" s="3796"/>
      <c r="TRR743" s="3796"/>
      <c r="TRS743" s="3796"/>
      <c r="TRT743" s="3796"/>
      <c r="TRU743" s="3796"/>
      <c r="TRV743" s="3796"/>
      <c r="TRW743" s="3796"/>
      <c r="TRX743" s="3796"/>
      <c r="TRY743" s="3796"/>
      <c r="TRZ743" s="3796"/>
      <c r="TSA743" s="3796"/>
      <c r="TSB743" s="3796"/>
      <c r="TSC743" s="3796"/>
      <c r="TSD743" s="3796"/>
      <c r="TSE743" s="3796"/>
      <c r="TSF743" s="3796"/>
      <c r="TSG743" s="3796"/>
      <c r="TSH743" s="3796"/>
      <c r="TSI743" s="3796"/>
      <c r="TSJ743" s="3796"/>
      <c r="TSK743" s="3796"/>
      <c r="TSL743" s="3796"/>
      <c r="TSM743" s="3796"/>
      <c r="TSN743" s="3796"/>
      <c r="TSO743" s="3796"/>
      <c r="TSP743" s="3796"/>
      <c r="TSQ743" s="3796"/>
      <c r="TSR743" s="3796"/>
      <c r="TSS743" s="3796"/>
      <c r="TST743" s="3796"/>
      <c r="TSU743" s="3796"/>
      <c r="TSV743" s="3796"/>
      <c r="TSW743" s="3796"/>
      <c r="TSX743" s="3796"/>
      <c r="TSY743" s="3796"/>
      <c r="TSZ743" s="3796"/>
      <c r="TTA743" s="3796"/>
      <c r="TTB743" s="3796"/>
      <c r="TTC743" s="3796"/>
      <c r="TTD743" s="3796"/>
      <c r="TTE743" s="3796"/>
      <c r="TTF743" s="3796"/>
      <c r="TTG743" s="3796"/>
      <c r="TTH743" s="3796"/>
      <c r="TTI743" s="3796"/>
      <c r="TTJ743" s="3796"/>
      <c r="TTK743" s="3796"/>
      <c r="TTL743" s="3796"/>
      <c r="TTM743" s="3796"/>
      <c r="TTN743" s="3796"/>
      <c r="TTO743" s="3796"/>
      <c r="TTP743" s="3796"/>
      <c r="TTQ743" s="3796"/>
      <c r="TTR743" s="3796"/>
      <c r="TTS743" s="3796"/>
      <c r="TTT743" s="3796"/>
      <c r="TTU743" s="3796"/>
      <c r="TTV743" s="3796"/>
      <c r="TTW743" s="3796"/>
      <c r="TTX743" s="3796"/>
      <c r="TTY743" s="3796"/>
      <c r="TTZ743" s="3796"/>
      <c r="TUA743" s="3796"/>
      <c r="TUB743" s="3796"/>
      <c r="TUC743" s="3796"/>
      <c r="TUD743" s="3796"/>
      <c r="TUE743" s="3796"/>
      <c r="TUF743" s="3796"/>
      <c r="TUG743" s="3796"/>
      <c r="TUH743" s="3796"/>
      <c r="TUI743" s="3796"/>
      <c r="TUJ743" s="3796"/>
      <c r="TUK743" s="3796"/>
      <c r="TUL743" s="3796"/>
      <c r="TUM743" s="3796"/>
      <c r="TUN743" s="3796"/>
      <c r="TUO743" s="3796"/>
      <c r="TUT743" s="3796"/>
      <c r="TUZ743" s="3796"/>
      <c r="TVA743" s="3796"/>
      <c r="TVB743" s="3796"/>
      <c r="TVF743" s="3796"/>
      <c r="TVM743" s="3796"/>
      <c r="TVN743" s="3796"/>
      <c r="TVO743" s="3796"/>
      <c r="TVP743" s="3796"/>
      <c r="TVQ743" s="3796"/>
      <c r="TVR743" s="3796"/>
      <c r="TVS743" s="3796"/>
      <c r="TVT743" s="3796"/>
      <c r="TVU743" s="3796"/>
      <c r="TVV743" s="3796"/>
      <c r="TVW743" s="3796"/>
      <c r="TVX743" s="3796"/>
      <c r="TVY743" s="3796"/>
      <c r="TVZ743" s="3796"/>
      <c r="TWA743" s="3796"/>
      <c r="TWB743" s="3796"/>
      <c r="TWC743" s="3796"/>
      <c r="TWD743" s="3796"/>
      <c r="TWE743" s="3796"/>
      <c r="TWF743" s="3796"/>
      <c r="TWG743" s="3796"/>
      <c r="TWH743" s="3796"/>
      <c r="TWI743" s="3796"/>
      <c r="TWJ743" s="3796"/>
      <c r="TWK743" s="3796"/>
      <c r="TWL743" s="3796"/>
      <c r="TWM743" s="3796"/>
      <c r="TWN743" s="3796"/>
      <c r="TWO743" s="3796"/>
      <c r="TWP743" s="3796"/>
      <c r="TWQ743" s="3796"/>
      <c r="TWR743" s="3796"/>
      <c r="TWS743" s="3796"/>
      <c r="TWT743" s="3796"/>
      <c r="TWU743" s="3796"/>
      <c r="TWV743" s="3796"/>
      <c r="TWW743" s="3796"/>
      <c r="TWX743" s="3796"/>
      <c r="TWY743" s="3796"/>
      <c r="TWZ743" s="3796"/>
      <c r="TXA743" s="3796"/>
      <c r="TXB743" s="3796"/>
      <c r="TXC743" s="3796"/>
      <c r="TXD743" s="3796"/>
      <c r="TXE743" s="3796"/>
      <c r="TXF743" s="3796"/>
      <c r="TXG743" s="3796"/>
      <c r="TXH743" s="3796"/>
      <c r="TXI743" s="3796"/>
      <c r="TXJ743" s="3796"/>
      <c r="TXK743" s="3796"/>
      <c r="TXL743" s="3796"/>
      <c r="TXM743" s="3796"/>
      <c r="TXN743" s="3796"/>
      <c r="TXO743" s="3796"/>
      <c r="TXP743" s="3796"/>
      <c r="TXQ743" s="3796"/>
      <c r="TXR743" s="3796"/>
      <c r="TXS743" s="3796"/>
      <c r="TXT743" s="3796"/>
      <c r="TXU743" s="3796"/>
      <c r="TXV743" s="3796"/>
      <c r="TXW743" s="3796"/>
      <c r="TXX743" s="3796"/>
      <c r="TXY743" s="3796"/>
      <c r="TXZ743" s="3796"/>
      <c r="TYA743" s="3796"/>
      <c r="TYB743" s="3796"/>
      <c r="TYC743" s="3796"/>
      <c r="TYD743" s="3796"/>
      <c r="TYE743" s="3796"/>
      <c r="TYF743" s="3796"/>
      <c r="TYG743" s="3796"/>
      <c r="TYH743" s="3796"/>
      <c r="TYI743" s="3796"/>
      <c r="TYJ743" s="3796"/>
      <c r="TYK743" s="3796"/>
      <c r="TYL743" s="3796"/>
      <c r="TYM743" s="3796"/>
      <c r="TYN743" s="3796"/>
      <c r="TYO743" s="3796"/>
      <c r="TYP743" s="3796"/>
      <c r="TYQ743" s="3796"/>
      <c r="TYR743" s="3796"/>
      <c r="TYS743" s="3796"/>
      <c r="TYT743" s="3796"/>
      <c r="TYU743" s="3796"/>
      <c r="TYV743" s="3796"/>
      <c r="TYW743" s="3796"/>
      <c r="TYX743" s="3796"/>
      <c r="TYY743" s="3796"/>
      <c r="TYZ743" s="3796"/>
      <c r="TZA743" s="3796"/>
      <c r="TZB743" s="3796"/>
      <c r="TZC743" s="3796"/>
      <c r="TZD743" s="3796"/>
      <c r="TZE743" s="3796"/>
      <c r="TZF743" s="3796"/>
      <c r="TZG743" s="3796"/>
      <c r="TZH743" s="3796"/>
      <c r="TZI743" s="3796"/>
      <c r="TZJ743" s="3796"/>
      <c r="TZK743" s="3796"/>
      <c r="TZL743" s="3796"/>
      <c r="TZM743" s="3796"/>
      <c r="TZN743" s="3796"/>
      <c r="TZO743" s="3796"/>
      <c r="TZP743" s="3796"/>
      <c r="TZQ743" s="3796"/>
      <c r="TZR743" s="3796"/>
      <c r="TZS743" s="3796"/>
      <c r="TZT743" s="3796"/>
      <c r="TZU743" s="3796"/>
      <c r="TZV743" s="3796"/>
      <c r="TZW743" s="3796"/>
      <c r="TZX743" s="3796"/>
      <c r="TZY743" s="3796"/>
      <c r="TZZ743" s="3796"/>
      <c r="UAA743" s="3796"/>
      <c r="UAB743" s="3796"/>
      <c r="UAC743" s="3796"/>
      <c r="UAD743" s="3796"/>
      <c r="UAE743" s="3796"/>
      <c r="UAF743" s="3796"/>
      <c r="UAG743" s="3796"/>
      <c r="UAH743" s="3796"/>
      <c r="UAI743" s="3796"/>
      <c r="UAJ743" s="3796"/>
      <c r="UAK743" s="3796"/>
      <c r="UAL743" s="3796"/>
      <c r="UAM743" s="3796"/>
      <c r="UAN743" s="3796"/>
      <c r="UAO743" s="3796"/>
      <c r="UAP743" s="3796"/>
      <c r="UAQ743" s="3796"/>
      <c r="UAR743" s="3796"/>
      <c r="UAS743" s="3796"/>
      <c r="UAT743" s="3796"/>
      <c r="UAU743" s="3796"/>
      <c r="UAV743" s="3796"/>
      <c r="UAW743" s="3796"/>
      <c r="UAX743" s="3796"/>
      <c r="UAY743" s="3796"/>
      <c r="UAZ743" s="3796"/>
      <c r="UBA743" s="3796"/>
      <c r="UBB743" s="3796"/>
      <c r="UBC743" s="3796"/>
      <c r="UBD743" s="3796"/>
      <c r="UBE743" s="3796"/>
      <c r="UBF743" s="3796"/>
      <c r="UBG743" s="3796"/>
      <c r="UBH743" s="3796"/>
      <c r="UBI743" s="3796"/>
      <c r="UBJ743" s="3796"/>
      <c r="UBK743" s="3796"/>
      <c r="UBL743" s="3796"/>
      <c r="UBM743" s="3796"/>
      <c r="UBN743" s="3796"/>
      <c r="UBO743" s="3796"/>
      <c r="UBP743" s="3796"/>
      <c r="UBQ743" s="3796"/>
      <c r="UBR743" s="3796"/>
      <c r="UBS743" s="3796"/>
      <c r="UBT743" s="3796"/>
      <c r="UBU743" s="3796"/>
      <c r="UBV743" s="3796"/>
      <c r="UBW743" s="3796"/>
      <c r="UBX743" s="3796"/>
      <c r="UBY743" s="3796"/>
      <c r="UBZ743" s="3796"/>
      <c r="UCA743" s="3796"/>
      <c r="UCB743" s="3796"/>
      <c r="UCC743" s="3796"/>
      <c r="UCD743" s="3796"/>
      <c r="UCE743" s="3796"/>
      <c r="UCF743" s="3796"/>
      <c r="UCG743" s="3796"/>
      <c r="UCH743" s="3796"/>
      <c r="UCI743" s="3796"/>
      <c r="UCJ743" s="3796"/>
      <c r="UCK743" s="3796"/>
      <c r="UCL743" s="3796"/>
      <c r="UCM743" s="3796"/>
      <c r="UCN743" s="3796"/>
      <c r="UCO743" s="3796"/>
      <c r="UCP743" s="3796"/>
      <c r="UCQ743" s="3796"/>
      <c r="UCR743" s="3796"/>
      <c r="UCS743" s="3796"/>
      <c r="UCT743" s="3796"/>
      <c r="UCU743" s="3796"/>
      <c r="UCV743" s="3796"/>
      <c r="UCW743" s="3796"/>
      <c r="UCX743" s="3796"/>
      <c r="UCY743" s="3796"/>
      <c r="UCZ743" s="3796"/>
      <c r="UDA743" s="3796"/>
      <c r="UDB743" s="3796"/>
      <c r="UDC743" s="3796"/>
      <c r="UDD743" s="3796"/>
      <c r="UDE743" s="3796"/>
      <c r="UDF743" s="3796"/>
      <c r="UDG743" s="3796"/>
      <c r="UDH743" s="3796"/>
      <c r="UDI743" s="3796"/>
      <c r="UDJ743" s="3796"/>
      <c r="UDK743" s="3796"/>
      <c r="UDL743" s="3796"/>
      <c r="UDM743" s="3796"/>
      <c r="UDN743" s="3796"/>
      <c r="UDO743" s="3796"/>
      <c r="UDP743" s="3796"/>
      <c r="UDQ743" s="3796"/>
      <c r="UDR743" s="3796"/>
      <c r="UDS743" s="3796"/>
      <c r="UDT743" s="3796"/>
      <c r="UDU743" s="3796"/>
      <c r="UDV743" s="3796"/>
      <c r="UDW743" s="3796"/>
      <c r="UDX743" s="3796"/>
      <c r="UDY743" s="3796"/>
      <c r="UDZ743" s="3796"/>
      <c r="UEA743" s="3796"/>
      <c r="UEB743" s="3796"/>
      <c r="UEC743" s="3796"/>
      <c r="UED743" s="3796"/>
      <c r="UEE743" s="3796"/>
      <c r="UEF743" s="3796"/>
      <c r="UEG743" s="3796"/>
      <c r="UEH743" s="3796"/>
      <c r="UEI743" s="3796"/>
      <c r="UEJ743" s="3796"/>
      <c r="UEK743" s="3796"/>
      <c r="UEP743" s="3796"/>
      <c r="UEV743" s="3796"/>
      <c r="UEW743" s="3796"/>
      <c r="UEX743" s="3796"/>
      <c r="UFB743" s="3796"/>
      <c r="UFI743" s="3796"/>
      <c r="UFJ743" s="3796"/>
      <c r="UFK743" s="3796"/>
      <c r="UFL743" s="3796"/>
      <c r="UFM743" s="3796"/>
      <c r="UFN743" s="3796"/>
      <c r="UFO743" s="3796"/>
      <c r="UFP743" s="3796"/>
      <c r="UFQ743" s="3796"/>
      <c r="UFR743" s="3796"/>
      <c r="UFS743" s="3796"/>
      <c r="UFT743" s="3796"/>
      <c r="UFU743" s="3796"/>
      <c r="UFV743" s="3796"/>
      <c r="UFW743" s="3796"/>
      <c r="UFX743" s="3796"/>
      <c r="UFY743" s="3796"/>
      <c r="UFZ743" s="3796"/>
      <c r="UGA743" s="3796"/>
      <c r="UGB743" s="3796"/>
      <c r="UGC743" s="3796"/>
      <c r="UGD743" s="3796"/>
      <c r="UGE743" s="3796"/>
      <c r="UGF743" s="3796"/>
      <c r="UGG743" s="3796"/>
      <c r="UGH743" s="3796"/>
      <c r="UGI743" s="3796"/>
      <c r="UGJ743" s="3796"/>
      <c r="UGK743" s="3796"/>
      <c r="UGL743" s="3796"/>
      <c r="UGM743" s="3796"/>
      <c r="UGN743" s="3796"/>
      <c r="UGO743" s="3796"/>
      <c r="UGP743" s="3796"/>
      <c r="UGQ743" s="3796"/>
      <c r="UGR743" s="3796"/>
      <c r="UGS743" s="3796"/>
      <c r="UGT743" s="3796"/>
      <c r="UGU743" s="3796"/>
      <c r="UGV743" s="3796"/>
      <c r="UGW743" s="3796"/>
      <c r="UGX743" s="3796"/>
      <c r="UGY743" s="3796"/>
      <c r="UGZ743" s="3796"/>
      <c r="UHA743" s="3796"/>
      <c r="UHB743" s="3796"/>
      <c r="UHC743" s="3796"/>
      <c r="UHD743" s="3796"/>
      <c r="UHE743" s="3796"/>
      <c r="UHF743" s="3796"/>
      <c r="UHG743" s="3796"/>
      <c r="UHH743" s="3796"/>
      <c r="UHI743" s="3796"/>
      <c r="UHJ743" s="3796"/>
      <c r="UHK743" s="3796"/>
      <c r="UHL743" s="3796"/>
      <c r="UHM743" s="3796"/>
      <c r="UHN743" s="3796"/>
      <c r="UHO743" s="3796"/>
      <c r="UHP743" s="3796"/>
      <c r="UHQ743" s="3796"/>
      <c r="UHR743" s="3796"/>
      <c r="UHS743" s="3796"/>
      <c r="UHT743" s="3796"/>
      <c r="UHU743" s="3796"/>
      <c r="UHV743" s="3796"/>
      <c r="UHW743" s="3796"/>
      <c r="UHX743" s="3796"/>
      <c r="UHY743" s="3796"/>
      <c r="UHZ743" s="3796"/>
      <c r="UIA743" s="3796"/>
      <c r="UIB743" s="3796"/>
      <c r="UIC743" s="3796"/>
      <c r="UID743" s="3796"/>
      <c r="UIE743" s="3796"/>
      <c r="UIF743" s="3796"/>
      <c r="UIG743" s="3796"/>
      <c r="UIH743" s="3796"/>
      <c r="UII743" s="3796"/>
      <c r="UIJ743" s="3796"/>
      <c r="UIK743" s="3796"/>
      <c r="UIL743" s="3796"/>
      <c r="UIM743" s="3796"/>
      <c r="UIN743" s="3796"/>
      <c r="UIO743" s="3796"/>
      <c r="UIP743" s="3796"/>
      <c r="UIQ743" s="3796"/>
      <c r="UIR743" s="3796"/>
      <c r="UIS743" s="3796"/>
      <c r="UIT743" s="3796"/>
      <c r="UIU743" s="3796"/>
      <c r="UIV743" s="3796"/>
      <c r="UIW743" s="3796"/>
      <c r="UIX743" s="3796"/>
      <c r="UIY743" s="3796"/>
      <c r="UIZ743" s="3796"/>
      <c r="UJA743" s="3796"/>
      <c r="UJB743" s="3796"/>
      <c r="UJC743" s="3796"/>
      <c r="UJD743" s="3796"/>
      <c r="UJE743" s="3796"/>
      <c r="UJF743" s="3796"/>
      <c r="UJG743" s="3796"/>
      <c r="UJH743" s="3796"/>
      <c r="UJI743" s="3796"/>
      <c r="UJJ743" s="3796"/>
      <c r="UJK743" s="3796"/>
      <c r="UJL743" s="3796"/>
      <c r="UJM743" s="3796"/>
      <c r="UJN743" s="3796"/>
      <c r="UJO743" s="3796"/>
      <c r="UJP743" s="3796"/>
      <c r="UJQ743" s="3796"/>
      <c r="UJR743" s="3796"/>
      <c r="UJS743" s="3796"/>
      <c r="UJT743" s="3796"/>
      <c r="UJU743" s="3796"/>
      <c r="UJV743" s="3796"/>
      <c r="UJW743" s="3796"/>
      <c r="UJX743" s="3796"/>
      <c r="UJY743" s="3796"/>
      <c r="UJZ743" s="3796"/>
      <c r="UKA743" s="3796"/>
      <c r="UKB743" s="3796"/>
      <c r="UKC743" s="3796"/>
      <c r="UKD743" s="3796"/>
      <c r="UKE743" s="3796"/>
      <c r="UKF743" s="3796"/>
      <c r="UKG743" s="3796"/>
      <c r="UKH743" s="3796"/>
      <c r="UKI743" s="3796"/>
      <c r="UKJ743" s="3796"/>
      <c r="UKK743" s="3796"/>
      <c r="UKL743" s="3796"/>
      <c r="UKM743" s="3796"/>
      <c r="UKN743" s="3796"/>
      <c r="UKO743" s="3796"/>
      <c r="UKP743" s="3796"/>
      <c r="UKQ743" s="3796"/>
      <c r="UKR743" s="3796"/>
      <c r="UKS743" s="3796"/>
      <c r="UKT743" s="3796"/>
      <c r="UKU743" s="3796"/>
      <c r="UKV743" s="3796"/>
      <c r="UKW743" s="3796"/>
      <c r="UKX743" s="3796"/>
      <c r="UKY743" s="3796"/>
      <c r="UKZ743" s="3796"/>
      <c r="ULA743" s="3796"/>
      <c r="ULB743" s="3796"/>
      <c r="ULC743" s="3796"/>
      <c r="ULD743" s="3796"/>
      <c r="ULE743" s="3796"/>
      <c r="ULF743" s="3796"/>
      <c r="ULG743" s="3796"/>
      <c r="ULH743" s="3796"/>
      <c r="ULI743" s="3796"/>
      <c r="ULJ743" s="3796"/>
      <c r="ULK743" s="3796"/>
      <c r="ULL743" s="3796"/>
      <c r="ULM743" s="3796"/>
      <c r="ULN743" s="3796"/>
      <c r="ULO743" s="3796"/>
      <c r="ULP743" s="3796"/>
      <c r="ULQ743" s="3796"/>
      <c r="ULR743" s="3796"/>
      <c r="ULS743" s="3796"/>
      <c r="ULT743" s="3796"/>
      <c r="ULU743" s="3796"/>
      <c r="ULV743" s="3796"/>
      <c r="ULW743" s="3796"/>
      <c r="ULX743" s="3796"/>
      <c r="ULY743" s="3796"/>
      <c r="ULZ743" s="3796"/>
      <c r="UMA743" s="3796"/>
      <c r="UMB743" s="3796"/>
      <c r="UMC743" s="3796"/>
      <c r="UMD743" s="3796"/>
      <c r="UME743" s="3796"/>
      <c r="UMF743" s="3796"/>
      <c r="UMG743" s="3796"/>
      <c r="UMH743" s="3796"/>
      <c r="UMI743" s="3796"/>
      <c r="UMJ743" s="3796"/>
      <c r="UMK743" s="3796"/>
      <c r="UML743" s="3796"/>
      <c r="UMM743" s="3796"/>
      <c r="UMN743" s="3796"/>
      <c r="UMO743" s="3796"/>
      <c r="UMP743" s="3796"/>
      <c r="UMQ743" s="3796"/>
      <c r="UMR743" s="3796"/>
      <c r="UMS743" s="3796"/>
      <c r="UMT743" s="3796"/>
      <c r="UMU743" s="3796"/>
      <c r="UMV743" s="3796"/>
      <c r="UMW743" s="3796"/>
      <c r="UMX743" s="3796"/>
      <c r="UMY743" s="3796"/>
      <c r="UMZ743" s="3796"/>
      <c r="UNA743" s="3796"/>
      <c r="UNB743" s="3796"/>
      <c r="UNC743" s="3796"/>
      <c r="UND743" s="3796"/>
      <c r="UNE743" s="3796"/>
      <c r="UNF743" s="3796"/>
      <c r="UNG743" s="3796"/>
      <c r="UNH743" s="3796"/>
      <c r="UNI743" s="3796"/>
      <c r="UNJ743" s="3796"/>
      <c r="UNK743" s="3796"/>
      <c r="UNL743" s="3796"/>
      <c r="UNM743" s="3796"/>
      <c r="UNN743" s="3796"/>
      <c r="UNO743" s="3796"/>
      <c r="UNP743" s="3796"/>
      <c r="UNQ743" s="3796"/>
      <c r="UNR743" s="3796"/>
      <c r="UNS743" s="3796"/>
      <c r="UNT743" s="3796"/>
      <c r="UNU743" s="3796"/>
      <c r="UNV743" s="3796"/>
      <c r="UNW743" s="3796"/>
      <c r="UNX743" s="3796"/>
      <c r="UNY743" s="3796"/>
      <c r="UNZ743" s="3796"/>
      <c r="UOA743" s="3796"/>
      <c r="UOB743" s="3796"/>
      <c r="UOC743" s="3796"/>
      <c r="UOD743" s="3796"/>
      <c r="UOE743" s="3796"/>
      <c r="UOF743" s="3796"/>
      <c r="UOG743" s="3796"/>
      <c r="UOL743" s="3796"/>
      <c r="UOR743" s="3796"/>
      <c r="UOS743" s="3796"/>
      <c r="UOT743" s="3796"/>
      <c r="UOX743" s="3796"/>
      <c r="UPE743" s="3796"/>
      <c r="UPF743" s="3796"/>
      <c r="UPG743" s="3796"/>
      <c r="UPH743" s="3796"/>
      <c r="UPI743" s="3796"/>
      <c r="UPJ743" s="3796"/>
      <c r="UPK743" s="3796"/>
      <c r="UPL743" s="3796"/>
      <c r="UPM743" s="3796"/>
      <c r="UPN743" s="3796"/>
      <c r="UPO743" s="3796"/>
      <c r="UPP743" s="3796"/>
      <c r="UPQ743" s="3796"/>
      <c r="UPR743" s="3796"/>
      <c r="UPS743" s="3796"/>
      <c r="UPT743" s="3796"/>
      <c r="UPU743" s="3796"/>
      <c r="UPV743" s="3796"/>
      <c r="UPW743" s="3796"/>
      <c r="UPX743" s="3796"/>
      <c r="UPY743" s="3796"/>
      <c r="UPZ743" s="3796"/>
      <c r="UQA743" s="3796"/>
      <c r="UQB743" s="3796"/>
      <c r="UQC743" s="3796"/>
      <c r="UQD743" s="3796"/>
      <c r="UQE743" s="3796"/>
      <c r="UQF743" s="3796"/>
      <c r="UQG743" s="3796"/>
      <c r="UQH743" s="3796"/>
      <c r="UQI743" s="3796"/>
      <c r="UQJ743" s="3796"/>
      <c r="UQK743" s="3796"/>
      <c r="UQL743" s="3796"/>
      <c r="UQM743" s="3796"/>
      <c r="UQN743" s="3796"/>
      <c r="UQO743" s="3796"/>
      <c r="UQP743" s="3796"/>
      <c r="UQQ743" s="3796"/>
      <c r="UQR743" s="3796"/>
      <c r="UQS743" s="3796"/>
      <c r="UQT743" s="3796"/>
      <c r="UQU743" s="3796"/>
      <c r="UQV743" s="3796"/>
      <c r="UQW743" s="3796"/>
      <c r="UQX743" s="3796"/>
      <c r="UQY743" s="3796"/>
      <c r="UQZ743" s="3796"/>
      <c r="URA743" s="3796"/>
      <c r="URB743" s="3796"/>
      <c r="URC743" s="3796"/>
      <c r="URD743" s="3796"/>
      <c r="URE743" s="3796"/>
      <c r="URF743" s="3796"/>
      <c r="URG743" s="3796"/>
      <c r="URH743" s="3796"/>
      <c r="URI743" s="3796"/>
      <c r="URJ743" s="3796"/>
      <c r="URK743" s="3796"/>
      <c r="URL743" s="3796"/>
      <c r="URM743" s="3796"/>
      <c r="URN743" s="3796"/>
      <c r="URO743" s="3796"/>
      <c r="URP743" s="3796"/>
      <c r="URQ743" s="3796"/>
      <c r="URR743" s="3796"/>
      <c r="URS743" s="3796"/>
      <c r="URT743" s="3796"/>
      <c r="URU743" s="3796"/>
      <c r="URV743" s="3796"/>
      <c r="URW743" s="3796"/>
      <c r="URX743" s="3796"/>
      <c r="URY743" s="3796"/>
      <c r="URZ743" s="3796"/>
      <c r="USA743" s="3796"/>
      <c r="USB743" s="3796"/>
      <c r="USC743" s="3796"/>
      <c r="USD743" s="3796"/>
      <c r="USE743" s="3796"/>
      <c r="USF743" s="3796"/>
      <c r="USG743" s="3796"/>
      <c r="USH743" s="3796"/>
      <c r="USI743" s="3796"/>
      <c r="USJ743" s="3796"/>
      <c r="USK743" s="3796"/>
      <c r="USL743" s="3796"/>
      <c r="USM743" s="3796"/>
      <c r="USN743" s="3796"/>
      <c r="USO743" s="3796"/>
      <c r="USP743" s="3796"/>
      <c r="USQ743" s="3796"/>
      <c r="USR743" s="3796"/>
      <c r="USS743" s="3796"/>
      <c r="UST743" s="3796"/>
      <c r="USU743" s="3796"/>
      <c r="USV743" s="3796"/>
      <c r="USW743" s="3796"/>
      <c r="USX743" s="3796"/>
      <c r="USY743" s="3796"/>
      <c r="USZ743" s="3796"/>
      <c r="UTA743" s="3796"/>
      <c r="UTB743" s="3796"/>
      <c r="UTC743" s="3796"/>
      <c r="UTD743" s="3796"/>
      <c r="UTE743" s="3796"/>
      <c r="UTF743" s="3796"/>
      <c r="UTG743" s="3796"/>
      <c r="UTH743" s="3796"/>
      <c r="UTI743" s="3796"/>
      <c r="UTJ743" s="3796"/>
      <c r="UTK743" s="3796"/>
      <c r="UTL743" s="3796"/>
      <c r="UTM743" s="3796"/>
      <c r="UTN743" s="3796"/>
      <c r="UTO743" s="3796"/>
      <c r="UTP743" s="3796"/>
      <c r="UTQ743" s="3796"/>
      <c r="UTR743" s="3796"/>
      <c r="UTS743" s="3796"/>
      <c r="UTT743" s="3796"/>
      <c r="UTU743" s="3796"/>
      <c r="UTV743" s="3796"/>
      <c r="UTW743" s="3796"/>
      <c r="UTX743" s="3796"/>
      <c r="UTY743" s="3796"/>
      <c r="UTZ743" s="3796"/>
      <c r="UUA743" s="3796"/>
      <c r="UUB743" s="3796"/>
      <c r="UUC743" s="3796"/>
      <c r="UUD743" s="3796"/>
      <c r="UUE743" s="3796"/>
      <c r="UUF743" s="3796"/>
      <c r="UUG743" s="3796"/>
      <c r="UUH743" s="3796"/>
      <c r="UUI743" s="3796"/>
      <c r="UUJ743" s="3796"/>
      <c r="UUK743" s="3796"/>
      <c r="UUL743" s="3796"/>
      <c r="UUM743" s="3796"/>
      <c r="UUN743" s="3796"/>
      <c r="UUO743" s="3796"/>
      <c r="UUP743" s="3796"/>
      <c r="UUQ743" s="3796"/>
      <c r="UUR743" s="3796"/>
      <c r="UUS743" s="3796"/>
      <c r="UUT743" s="3796"/>
      <c r="UUU743" s="3796"/>
      <c r="UUV743" s="3796"/>
      <c r="UUW743" s="3796"/>
      <c r="UUX743" s="3796"/>
      <c r="UUY743" s="3796"/>
      <c r="UUZ743" s="3796"/>
      <c r="UVA743" s="3796"/>
      <c r="UVB743" s="3796"/>
      <c r="UVC743" s="3796"/>
      <c r="UVD743" s="3796"/>
      <c r="UVE743" s="3796"/>
      <c r="UVF743" s="3796"/>
      <c r="UVG743" s="3796"/>
      <c r="UVH743" s="3796"/>
      <c r="UVI743" s="3796"/>
      <c r="UVJ743" s="3796"/>
      <c r="UVK743" s="3796"/>
      <c r="UVL743" s="3796"/>
      <c r="UVM743" s="3796"/>
      <c r="UVN743" s="3796"/>
      <c r="UVO743" s="3796"/>
      <c r="UVP743" s="3796"/>
      <c r="UVQ743" s="3796"/>
      <c r="UVR743" s="3796"/>
      <c r="UVS743" s="3796"/>
      <c r="UVT743" s="3796"/>
      <c r="UVU743" s="3796"/>
      <c r="UVV743" s="3796"/>
      <c r="UVW743" s="3796"/>
      <c r="UVX743" s="3796"/>
      <c r="UVY743" s="3796"/>
      <c r="UVZ743" s="3796"/>
      <c r="UWA743" s="3796"/>
      <c r="UWB743" s="3796"/>
      <c r="UWC743" s="3796"/>
      <c r="UWD743" s="3796"/>
      <c r="UWE743" s="3796"/>
      <c r="UWF743" s="3796"/>
      <c r="UWG743" s="3796"/>
      <c r="UWH743" s="3796"/>
      <c r="UWI743" s="3796"/>
      <c r="UWJ743" s="3796"/>
      <c r="UWK743" s="3796"/>
      <c r="UWL743" s="3796"/>
      <c r="UWM743" s="3796"/>
      <c r="UWN743" s="3796"/>
      <c r="UWO743" s="3796"/>
      <c r="UWP743" s="3796"/>
      <c r="UWQ743" s="3796"/>
      <c r="UWR743" s="3796"/>
      <c r="UWS743" s="3796"/>
      <c r="UWT743" s="3796"/>
      <c r="UWU743" s="3796"/>
      <c r="UWV743" s="3796"/>
      <c r="UWW743" s="3796"/>
      <c r="UWX743" s="3796"/>
      <c r="UWY743" s="3796"/>
      <c r="UWZ743" s="3796"/>
      <c r="UXA743" s="3796"/>
      <c r="UXB743" s="3796"/>
      <c r="UXC743" s="3796"/>
      <c r="UXD743" s="3796"/>
      <c r="UXE743" s="3796"/>
      <c r="UXF743" s="3796"/>
      <c r="UXG743" s="3796"/>
      <c r="UXH743" s="3796"/>
      <c r="UXI743" s="3796"/>
      <c r="UXJ743" s="3796"/>
      <c r="UXK743" s="3796"/>
      <c r="UXL743" s="3796"/>
      <c r="UXM743" s="3796"/>
      <c r="UXN743" s="3796"/>
      <c r="UXO743" s="3796"/>
      <c r="UXP743" s="3796"/>
      <c r="UXQ743" s="3796"/>
      <c r="UXR743" s="3796"/>
      <c r="UXS743" s="3796"/>
      <c r="UXT743" s="3796"/>
      <c r="UXU743" s="3796"/>
      <c r="UXV743" s="3796"/>
      <c r="UXW743" s="3796"/>
      <c r="UXX743" s="3796"/>
      <c r="UXY743" s="3796"/>
      <c r="UXZ743" s="3796"/>
      <c r="UYA743" s="3796"/>
      <c r="UYB743" s="3796"/>
      <c r="UYC743" s="3796"/>
      <c r="UYH743" s="3796"/>
      <c r="UYN743" s="3796"/>
      <c r="UYO743" s="3796"/>
      <c r="UYP743" s="3796"/>
      <c r="UYT743" s="3796"/>
      <c r="UZA743" s="3796"/>
      <c r="UZB743" s="3796"/>
      <c r="UZC743" s="3796"/>
      <c r="UZD743" s="3796"/>
      <c r="UZE743" s="3796"/>
      <c r="UZF743" s="3796"/>
      <c r="UZG743" s="3796"/>
      <c r="UZH743" s="3796"/>
      <c r="UZI743" s="3796"/>
      <c r="UZJ743" s="3796"/>
      <c r="UZK743" s="3796"/>
      <c r="UZL743" s="3796"/>
      <c r="UZM743" s="3796"/>
      <c r="UZN743" s="3796"/>
      <c r="UZO743" s="3796"/>
      <c r="UZP743" s="3796"/>
      <c r="UZQ743" s="3796"/>
      <c r="UZR743" s="3796"/>
      <c r="UZS743" s="3796"/>
      <c r="UZT743" s="3796"/>
      <c r="UZU743" s="3796"/>
      <c r="UZV743" s="3796"/>
      <c r="UZW743" s="3796"/>
      <c r="UZX743" s="3796"/>
      <c r="UZY743" s="3796"/>
      <c r="UZZ743" s="3796"/>
      <c r="VAA743" s="3796"/>
      <c r="VAB743" s="3796"/>
      <c r="VAC743" s="3796"/>
      <c r="VAD743" s="3796"/>
      <c r="VAE743" s="3796"/>
      <c r="VAF743" s="3796"/>
      <c r="VAG743" s="3796"/>
      <c r="VAH743" s="3796"/>
      <c r="VAI743" s="3796"/>
      <c r="VAJ743" s="3796"/>
      <c r="VAK743" s="3796"/>
      <c r="VAL743" s="3796"/>
      <c r="VAM743" s="3796"/>
      <c r="VAN743" s="3796"/>
      <c r="VAO743" s="3796"/>
      <c r="VAP743" s="3796"/>
      <c r="VAQ743" s="3796"/>
      <c r="VAR743" s="3796"/>
      <c r="VAS743" s="3796"/>
      <c r="VAT743" s="3796"/>
      <c r="VAU743" s="3796"/>
      <c r="VAV743" s="3796"/>
      <c r="VAW743" s="3796"/>
      <c r="VAX743" s="3796"/>
      <c r="VAY743" s="3796"/>
      <c r="VAZ743" s="3796"/>
      <c r="VBA743" s="3796"/>
      <c r="VBB743" s="3796"/>
      <c r="VBC743" s="3796"/>
      <c r="VBD743" s="3796"/>
      <c r="VBE743" s="3796"/>
      <c r="VBF743" s="3796"/>
      <c r="VBG743" s="3796"/>
      <c r="VBH743" s="3796"/>
      <c r="VBI743" s="3796"/>
      <c r="VBJ743" s="3796"/>
      <c r="VBK743" s="3796"/>
      <c r="VBL743" s="3796"/>
      <c r="VBM743" s="3796"/>
      <c r="VBN743" s="3796"/>
      <c r="VBO743" s="3796"/>
      <c r="VBP743" s="3796"/>
      <c r="VBQ743" s="3796"/>
      <c r="VBR743" s="3796"/>
      <c r="VBS743" s="3796"/>
      <c r="VBT743" s="3796"/>
      <c r="VBU743" s="3796"/>
      <c r="VBV743" s="3796"/>
      <c r="VBW743" s="3796"/>
      <c r="VBX743" s="3796"/>
      <c r="VBY743" s="3796"/>
      <c r="VBZ743" s="3796"/>
      <c r="VCA743" s="3796"/>
      <c r="VCB743" s="3796"/>
      <c r="VCC743" s="3796"/>
      <c r="VCD743" s="3796"/>
      <c r="VCE743" s="3796"/>
      <c r="VCF743" s="3796"/>
      <c r="VCG743" s="3796"/>
      <c r="VCH743" s="3796"/>
      <c r="VCI743" s="3796"/>
      <c r="VCJ743" s="3796"/>
      <c r="VCK743" s="3796"/>
      <c r="VCL743" s="3796"/>
      <c r="VCM743" s="3796"/>
      <c r="VCN743" s="3796"/>
      <c r="VCO743" s="3796"/>
      <c r="VCP743" s="3796"/>
      <c r="VCQ743" s="3796"/>
      <c r="VCR743" s="3796"/>
      <c r="VCS743" s="3796"/>
      <c r="VCT743" s="3796"/>
      <c r="VCU743" s="3796"/>
      <c r="VCV743" s="3796"/>
      <c r="VCW743" s="3796"/>
      <c r="VCX743" s="3796"/>
      <c r="VCY743" s="3796"/>
      <c r="VCZ743" s="3796"/>
      <c r="VDA743" s="3796"/>
      <c r="VDB743" s="3796"/>
      <c r="VDC743" s="3796"/>
      <c r="VDD743" s="3796"/>
      <c r="VDE743" s="3796"/>
      <c r="VDF743" s="3796"/>
      <c r="VDG743" s="3796"/>
      <c r="VDH743" s="3796"/>
      <c r="VDI743" s="3796"/>
      <c r="VDJ743" s="3796"/>
      <c r="VDK743" s="3796"/>
      <c r="VDL743" s="3796"/>
      <c r="VDM743" s="3796"/>
      <c r="VDN743" s="3796"/>
      <c r="VDO743" s="3796"/>
      <c r="VDP743" s="3796"/>
      <c r="VDQ743" s="3796"/>
      <c r="VDR743" s="3796"/>
      <c r="VDS743" s="3796"/>
      <c r="VDT743" s="3796"/>
      <c r="VDU743" s="3796"/>
      <c r="VDV743" s="3796"/>
      <c r="VDW743" s="3796"/>
      <c r="VDX743" s="3796"/>
      <c r="VDY743" s="3796"/>
      <c r="VDZ743" s="3796"/>
      <c r="VEA743" s="3796"/>
      <c r="VEB743" s="3796"/>
      <c r="VEC743" s="3796"/>
      <c r="VED743" s="3796"/>
      <c r="VEE743" s="3796"/>
      <c r="VEF743" s="3796"/>
      <c r="VEG743" s="3796"/>
      <c r="VEH743" s="3796"/>
      <c r="VEI743" s="3796"/>
      <c r="VEJ743" s="3796"/>
      <c r="VEK743" s="3796"/>
      <c r="VEL743" s="3796"/>
      <c r="VEM743" s="3796"/>
      <c r="VEN743" s="3796"/>
      <c r="VEO743" s="3796"/>
      <c r="VEP743" s="3796"/>
      <c r="VEQ743" s="3796"/>
      <c r="VER743" s="3796"/>
      <c r="VES743" s="3796"/>
      <c r="VET743" s="3796"/>
      <c r="VEU743" s="3796"/>
      <c r="VEV743" s="3796"/>
      <c r="VEW743" s="3796"/>
      <c r="VEX743" s="3796"/>
      <c r="VEY743" s="3796"/>
      <c r="VEZ743" s="3796"/>
      <c r="VFA743" s="3796"/>
      <c r="VFB743" s="3796"/>
      <c r="VFC743" s="3796"/>
      <c r="VFD743" s="3796"/>
      <c r="VFE743" s="3796"/>
      <c r="VFF743" s="3796"/>
      <c r="VFG743" s="3796"/>
      <c r="VFH743" s="3796"/>
      <c r="VFI743" s="3796"/>
      <c r="VFJ743" s="3796"/>
      <c r="VFK743" s="3796"/>
      <c r="VFL743" s="3796"/>
      <c r="VFM743" s="3796"/>
      <c r="VFN743" s="3796"/>
      <c r="VFO743" s="3796"/>
      <c r="VFP743" s="3796"/>
      <c r="VFQ743" s="3796"/>
      <c r="VFR743" s="3796"/>
      <c r="VFS743" s="3796"/>
      <c r="VFT743" s="3796"/>
      <c r="VFU743" s="3796"/>
      <c r="VFV743" s="3796"/>
      <c r="VFW743" s="3796"/>
      <c r="VFX743" s="3796"/>
      <c r="VFY743" s="3796"/>
      <c r="VFZ743" s="3796"/>
      <c r="VGA743" s="3796"/>
      <c r="VGB743" s="3796"/>
      <c r="VGC743" s="3796"/>
      <c r="VGD743" s="3796"/>
      <c r="VGE743" s="3796"/>
      <c r="VGF743" s="3796"/>
      <c r="VGG743" s="3796"/>
      <c r="VGH743" s="3796"/>
      <c r="VGI743" s="3796"/>
      <c r="VGJ743" s="3796"/>
      <c r="VGK743" s="3796"/>
      <c r="VGL743" s="3796"/>
      <c r="VGM743" s="3796"/>
      <c r="VGN743" s="3796"/>
      <c r="VGO743" s="3796"/>
      <c r="VGP743" s="3796"/>
      <c r="VGQ743" s="3796"/>
      <c r="VGR743" s="3796"/>
      <c r="VGS743" s="3796"/>
      <c r="VGT743" s="3796"/>
      <c r="VGU743" s="3796"/>
      <c r="VGV743" s="3796"/>
      <c r="VGW743" s="3796"/>
      <c r="VGX743" s="3796"/>
      <c r="VGY743" s="3796"/>
      <c r="VGZ743" s="3796"/>
      <c r="VHA743" s="3796"/>
      <c r="VHB743" s="3796"/>
      <c r="VHC743" s="3796"/>
      <c r="VHD743" s="3796"/>
      <c r="VHE743" s="3796"/>
      <c r="VHF743" s="3796"/>
      <c r="VHG743" s="3796"/>
      <c r="VHH743" s="3796"/>
      <c r="VHI743" s="3796"/>
      <c r="VHJ743" s="3796"/>
      <c r="VHK743" s="3796"/>
      <c r="VHL743" s="3796"/>
      <c r="VHM743" s="3796"/>
      <c r="VHN743" s="3796"/>
      <c r="VHO743" s="3796"/>
      <c r="VHP743" s="3796"/>
      <c r="VHQ743" s="3796"/>
      <c r="VHR743" s="3796"/>
      <c r="VHS743" s="3796"/>
      <c r="VHT743" s="3796"/>
      <c r="VHU743" s="3796"/>
      <c r="VHV743" s="3796"/>
      <c r="VHW743" s="3796"/>
      <c r="VHX743" s="3796"/>
      <c r="VHY743" s="3796"/>
      <c r="VID743" s="3796"/>
      <c r="VIJ743" s="3796"/>
      <c r="VIK743" s="3796"/>
      <c r="VIL743" s="3796"/>
      <c r="VIP743" s="3796"/>
      <c r="VIW743" s="3796"/>
      <c r="VIX743" s="3796"/>
      <c r="VIY743" s="3796"/>
      <c r="VIZ743" s="3796"/>
      <c r="VJA743" s="3796"/>
      <c r="VJB743" s="3796"/>
      <c r="VJC743" s="3796"/>
      <c r="VJD743" s="3796"/>
      <c r="VJE743" s="3796"/>
      <c r="VJF743" s="3796"/>
      <c r="VJG743" s="3796"/>
      <c r="VJH743" s="3796"/>
      <c r="VJI743" s="3796"/>
      <c r="VJJ743" s="3796"/>
      <c r="VJK743" s="3796"/>
      <c r="VJL743" s="3796"/>
      <c r="VJM743" s="3796"/>
      <c r="VJN743" s="3796"/>
      <c r="VJO743" s="3796"/>
      <c r="VJP743" s="3796"/>
      <c r="VJQ743" s="3796"/>
      <c r="VJR743" s="3796"/>
      <c r="VJS743" s="3796"/>
      <c r="VJT743" s="3796"/>
      <c r="VJU743" s="3796"/>
      <c r="VJV743" s="3796"/>
      <c r="VJW743" s="3796"/>
      <c r="VJX743" s="3796"/>
      <c r="VJY743" s="3796"/>
      <c r="VJZ743" s="3796"/>
      <c r="VKA743" s="3796"/>
      <c r="VKB743" s="3796"/>
      <c r="VKC743" s="3796"/>
      <c r="VKD743" s="3796"/>
      <c r="VKE743" s="3796"/>
      <c r="VKF743" s="3796"/>
      <c r="VKG743" s="3796"/>
      <c r="VKH743" s="3796"/>
      <c r="VKI743" s="3796"/>
      <c r="VKJ743" s="3796"/>
      <c r="VKK743" s="3796"/>
      <c r="VKL743" s="3796"/>
      <c r="VKM743" s="3796"/>
      <c r="VKN743" s="3796"/>
      <c r="VKO743" s="3796"/>
      <c r="VKP743" s="3796"/>
      <c r="VKQ743" s="3796"/>
      <c r="VKR743" s="3796"/>
      <c r="VKS743" s="3796"/>
      <c r="VKT743" s="3796"/>
      <c r="VKU743" s="3796"/>
      <c r="VKV743" s="3796"/>
      <c r="VKW743" s="3796"/>
      <c r="VKX743" s="3796"/>
      <c r="VKY743" s="3796"/>
      <c r="VKZ743" s="3796"/>
      <c r="VLA743" s="3796"/>
      <c r="VLB743" s="3796"/>
      <c r="VLC743" s="3796"/>
      <c r="VLD743" s="3796"/>
      <c r="VLE743" s="3796"/>
      <c r="VLF743" s="3796"/>
      <c r="VLG743" s="3796"/>
      <c r="VLH743" s="3796"/>
      <c r="VLI743" s="3796"/>
      <c r="VLJ743" s="3796"/>
      <c r="VLK743" s="3796"/>
      <c r="VLL743" s="3796"/>
      <c r="VLM743" s="3796"/>
      <c r="VLN743" s="3796"/>
      <c r="VLO743" s="3796"/>
      <c r="VLP743" s="3796"/>
      <c r="VLQ743" s="3796"/>
      <c r="VLR743" s="3796"/>
      <c r="VLS743" s="3796"/>
      <c r="VLT743" s="3796"/>
      <c r="VLU743" s="3796"/>
      <c r="VLV743" s="3796"/>
      <c r="VLW743" s="3796"/>
      <c r="VLX743" s="3796"/>
      <c r="VLY743" s="3796"/>
      <c r="VLZ743" s="3796"/>
      <c r="VMA743" s="3796"/>
      <c r="VMB743" s="3796"/>
      <c r="VMC743" s="3796"/>
      <c r="VMD743" s="3796"/>
      <c r="VME743" s="3796"/>
      <c r="VMF743" s="3796"/>
      <c r="VMG743" s="3796"/>
      <c r="VMH743" s="3796"/>
      <c r="VMI743" s="3796"/>
      <c r="VMJ743" s="3796"/>
      <c r="VMK743" s="3796"/>
      <c r="VML743" s="3796"/>
      <c r="VMM743" s="3796"/>
      <c r="VMN743" s="3796"/>
      <c r="VMO743" s="3796"/>
      <c r="VMP743" s="3796"/>
      <c r="VMQ743" s="3796"/>
      <c r="VMR743" s="3796"/>
      <c r="VMS743" s="3796"/>
      <c r="VMT743" s="3796"/>
      <c r="VMU743" s="3796"/>
      <c r="VMV743" s="3796"/>
      <c r="VMW743" s="3796"/>
      <c r="VMX743" s="3796"/>
      <c r="VMY743" s="3796"/>
      <c r="VMZ743" s="3796"/>
      <c r="VNA743" s="3796"/>
      <c r="VNB743" s="3796"/>
      <c r="VNC743" s="3796"/>
      <c r="VND743" s="3796"/>
      <c r="VNE743" s="3796"/>
      <c r="VNF743" s="3796"/>
      <c r="VNG743" s="3796"/>
      <c r="VNH743" s="3796"/>
      <c r="VNI743" s="3796"/>
      <c r="VNJ743" s="3796"/>
      <c r="VNK743" s="3796"/>
      <c r="VNL743" s="3796"/>
      <c r="VNM743" s="3796"/>
      <c r="VNN743" s="3796"/>
      <c r="VNO743" s="3796"/>
      <c r="VNP743" s="3796"/>
      <c r="VNQ743" s="3796"/>
      <c r="VNR743" s="3796"/>
      <c r="VNS743" s="3796"/>
      <c r="VNT743" s="3796"/>
      <c r="VNU743" s="3796"/>
      <c r="VNV743" s="3796"/>
      <c r="VNW743" s="3796"/>
      <c r="VNX743" s="3796"/>
      <c r="VNY743" s="3796"/>
      <c r="VNZ743" s="3796"/>
      <c r="VOA743" s="3796"/>
      <c r="VOB743" s="3796"/>
      <c r="VOC743" s="3796"/>
      <c r="VOD743" s="3796"/>
      <c r="VOE743" s="3796"/>
      <c r="VOF743" s="3796"/>
      <c r="VOG743" s="3796"/>
      <c r="VOH743" s="3796"/>
      <c r="VOI743" s="3796"/>
      <c r="VOJ743" s="3796"/>
      <c r="VOK743" s="3796"/>
      <c r="VOL743" s="3796"/>
      <c r="VOM743" s="3796"/>
      <c r="VON743" s="3796"/>
      <c r="VOO743" s="3796"/>
      <c r="VOP743" s="3796"/>
      <c r="VOQ743" s="3796"/>
      <c r="VOR743" s="3796"/>
      <c r="VOS743" s="3796"/>
      <c r="VOT743" s="3796"/>
      <c r="VOU743" s="3796"/>
      <c r="VOV743" s="3796"/>
      <c r="VOW743" s="3796"/>
      <c r="VOX743" s="3796"/>
      <c r="VOY743" s="3796"/>
      <c r="VOZ743" s="3796"/>
      <c r="VPA743" s="3796"/>
      <c r="VPB743" s="3796"/>
      <c r="VPC743" s="3796"/>
      <c r="VPD743" s="3796"/>
      <c r="VPE743" s="3796"/>
      <c r="VPF743" s="3796"/>
      <c r="VPG743" s="3796"/>
      <c r="VPH743" s="3796"/>
      <c r="VPI743" s="3796"/>
      <c r="VPJ743" s="3796"/>
      <c r="VPK743" s="3796"/>
      <c r="VPL743" s="3796"/>
      <c r="VPM743" s="3796"/>
      <c r="VPN743" s="3796"/>
      <c r="VPO743" s="3796"/>
      <c r="VPP743" s="3796"/>
      <c r="VPQ743" s="3796"/>
      <c r="VPR743" s="3796"/>
      <c r="VPS743" s="3796"/>
      <c r="VPT743" s="3796"/>
      <c r="VPU743" s="3796"/>
      <c r="VPV743" s="3796"/>
      <c r="VPW743" s="3796"/>
      <c r="VPX743" s="3796"/>
      <c r="VPY743" s="3796"/>
      <c r="VPZ743" s="3796"/>
      <c r="VQA743" s="3796"/>
      <c r="VQB743" s="3796"/>
      <c r="VQC743" s="3796"/>
      <c r="VQD743" s="3796"/>
      <c r="VQE743" s="3796"/>
      <c r="VQF743" s="3796"/>
      <c r="VQG743" s="3796"/>
      <c r="VQH743" s="3796"/>
      <c r="VQI743" s="3796"/>
      <c r="VQJ743" s="3796"/>
      <c r="VQK743" s="3796"/>
      <c r="VQL743" s="3796"/>
      <c r="VQM743" s="3796"/>
      <c r="VQN743" s="3796"/>
      <c r="VQO743" s="3796"/>
      <c r="VQP743" s="3796"/>
      <c r="VQQ743" s="3796"/>
      <c r="VQR743" s="3796"/>
      <c r="VQS743" s="3796"/>
      <c r="VQT743" s="3796"/>
      <c r="VQU743" s="3796"/>
      <c r="VQV743" s="3796"/>
      <c r="VQW743" s="3796"/>
      <c r="VQX743" s="3796"/>
      <c r="VQY743" s="3796"/>
      <c r="VQZ743" s="3796"/>
      <c r="VRA743" s="3796"/>
      <c r="VRB743" s="3796"/>
      <c r="VRC743" s="3796"/>
      <c r="VRD743" s="3796"/>
      <c r="VRE743" s="3796"/>
      <c r="VRF743" s="3796"/>
      <c r="VRG743" s="3796"/>
      <c r="VRH743" s="3796"/>
      <c r="VRI743" s="3796"/>
      <c r="VRJ743" s="3796"/>
      <c r="VRK743" s="3796"/>
      <c r="VRL743" s="3796"/>
      <c r="VRM743" s="3796"/>
      <c r="VRN743" s="3796"/>
      <c r="VRO743" s="3796"/>
      <c r="VRP743" s="3796"/>
      <c r="VRQ743" s="3796"/>
      <c r="VRR743" s="3796"/>
      <c r="VRS743" s="3796"/>
      <c r="VRT743" s="3796"/>
      <c r="VRU743" s="3796"/>
      <c r="VRZ743" s="3796"/>
      <c r="VSF743" s="3796"/>
      <c r="VSG743" s="3796"/>
      <c r="VSH743" s="3796"/>
      <c r="VSL743" s="3796"/>
      <c r="VSS743" s="3796"/>
      <c r="VST743" s="3796"/>
      <c r="VSU743" s="3796"/>
      <c r="VSV743" s="3796"/>
      <c r="VSW743" s="3796"/>
      <c r="VSX743" s="3796"/>
      <c r="VSY743" s="3796"/>
      <c r="VSZ743" s="3796"/>
      <c r="VTA743" s="3796"/>
      <c r="VTB743" s="3796"/>
      <c r="VTC743" s="3796"/>
      <c r="VTD743" s="3796"/>
      <c r="VTE743" s="3796"/>
      <c r="VTF743" s="3796"/>
      <c r="VTG743" s="3796"/>
      <c r="VTH743" s="3796"/>
      <c r="VTI743" s="3796"/>
      <c r="VTJ743" s="3796"/>
      <c r="VTK743" s="3796"/>
      <c r="VTL743" s="3796"/>
      <c r="VTM743" s="3796"/>
      <c r="VTN743" s="3796"/>
      <c r="VTO743" s="3796"/>
      <c r="VTP743" s="3796"/>
      <c r="VTQ743" s="3796"/>
      <c r="VTR743" s="3796"/>
      <c r="VTS743" s="3796"/>
      <c r="VTT743" s="3796"/>
      <c r="VTU743" s="3796"/>
      <c r="VTV743" s="3796"/>
      <c r="VTW743" s="3796"/>
      <c r="VTX743" s="3796"/>
      <c r="VTY743" s="3796"/>
      <c r="VTZ743" s="3796"/>
      <c r="VUA743" s="3796"/>
      <c r="VUB743" s="3796"/>
      <c r="VUC743" s="3796"/>
      <c r="VUD743" s="3796"/>
      <c r="VUE743" s="3796"/>
      <c r="VUF743" s="3796"/>
      <c r="VUG743" s="3796"/>
      <c r="VUH743" s="3796"/>
      <c r="VUI743" s="3796"/>
      <c r="VUJ743" s="3796"/>
      <c r="VUK743" s="3796"/>
      <c r="VUL743" s="3796"/>
      <c r="VUM743" s="3796"/>
      <c r="VUN743" s="3796"/>
      <c r="VUO743" s="3796"/>
      <c r="VUP743" s="3796"/>
      <c r="VUQ743" s="3796"/>
      <c r="VUR743" s="3796"/>
      <c r="VUS743" s="3796"/>
      <c r="VUT743" s="3796"/>
      <c r="VUU743" s="3796"/>
      <c r="VUV743" s="3796"/>
      <c r="VUW743" s="3796"/>
      <c r="VUX743" s="3796"/>
      <c r="VUY743" s="3796"/>
      <c r="VUZ743" s="3796"/>
      <c r="VVA743" s="3796"/>
      <c r="VVB743" s="3796"/>
      <c r="VVC743" s="3796"/>
      <c r="VVD743" s="3796"/>
      <c r="VVE743" s="3796"/>
      <c r="VVF743" s="3796"/>
      <c r="VVG743" s="3796"/>
      <c r="VVH743" s="3796"/>
      <c r="VVI743" s="3796"/>
      <c r="VVJ743" s="3796"/>
      <c r="VVK743" s="3796"/>
      <c r="VVL743" s="3796"/>
      <c r="VVM743" s="3796"/>
      <c r="VVN743" s="3796"/>
      <c r="VVO743" s="3796"/>
      <c r="VVP743" s="3796"/>
      <c r="VVQ743" s="3796"/>
      <c r="VVR743" s="3796"/>
      <c r="VVS743" s="3796"/>
      <c r="VVT743" s="3796"/>
      <c r="VVU743" s="3796"/>
      <c r="VVV743" s="3796"/>
      <c r="VVW743" s="3796"/>
      <c r="VVX743" s="3796"/>
      <c r="VVY743" s="3796"/>
      <c r="VVZ743" s="3796"/>
      <c r="VWA743" s="3796"/>
      <c r="VWB743" s="3796"/>
      <c r="VWC743" s="3796"/>
      <c r="VWD743" s="3796"/>
      <c r="VWE743" s="3796"/>
      <c r="VWF743" s="3796"/>
      <c r="VWG743" s="3796"/>
      <c r="VWH743" s="3796"/>
      <c r="VWI743" s="3796"/>
      <c r="VWJ743" s="3796"/>
      <c r="VWK743" s="3796"/>
      <c r="VWL743" s="3796"/>
      <c r="VWM743" s="3796"/>
      <c r="VWN743" s="3796"/>
      <c r="VWO743" s="3796"/>
      <c r="VWP743" s="3796"/>
      <c r="VWQ743" s="3796"/>
      <c r="VWR743" s="3796"/>
      <c r="VWS743" s="3796"/>
      <c r="VWT743" s="3796"/>
      <c r="VWU743" s="3796"/>
      <c r="VWV743" s="3796"/>
      <c r="VWW743" s="3796"/>
      <c r="VWX743" s="3796"/>
      <c r="VWY743" s="3796"/>
      <c r="VWZ743" s="3796"/>
      <c r="VXA743" s="3796"/>
      <c r="VXB743" s="3796"/>
      <c r="VXC743" s="3796"/>
      <c r="VXD743" s="3796"/>
      <c r="VXE743" s="3796"/>
      <c r="VXF743" s="3796"/>
      <c r="VXG743" s="3796"/>
      <c r="VXH743" s="3796"/>
      <c r="VXI743" s="3796"/>
      <c r="VXJ743" s="3796"/>
      <c r="VXK743" s="3796"/>
      <c r="VXL743" s="3796"/>
      <c r="VXM743" s="3796"/>
      <c r="VXN743" s="3796"/>
      <c r="VXO743" s="3796"/>
      <c r="VXP743" s="3796"/>
      <c r="VXQ743" s="3796"/>
      <c r="VXR743" s="3796"/>
      <c r="VXS743" s="3796"/>
      <c r="VXT743" s="3796"/>
      <c r="VXU743" s="3796"/>
      <c r="VXV743" s="3796"/>
      <c r="VXW743" s="3796"/>
      <c r="VXX743" s="3796"/>
      <c r="VXY743" s="3796"/>
      <c r="VXZ743" s="3796"/>
      <c r="VYA743" s="3796"/>
      <c r="VYB743" s="3796"/>
      <c r="VYC743" s="3796"/>
      <c r="VYD743" s="3796"/>
      <c r="VYE743" s="3796"/>
      <c r="VYF743" s="3796"/>
      <c r="VYG743" s="3796"/>
      <c r="VYH743" s="3796"/>
      <c r="VYI743" s="3796"/>
      <c r="VYJ743" s="3796"/>
      <c r="VYK743" s="3796"/>
      <c r="VYL743" s="3796"/>
      <c r="VYM743" s="3796"/>
      <c r="VYN743" s="3796"/>
      <c r="VYO743" s="3796"/>
      <c r="VYP743" s="3796"/>
      <c r="VYQ743" s="3796"/>
      <c r="VYR743" s="3796"/>
      <c r="VYS743" s="3796"/>
      <c r="VYT743" s="3796"/>
      <c r="VYU743" s="3796"/>
      <c r="VYV743" s="3796"/>
      <c r="VYW743" s="3796"/>
      <c r="VYX743" s="3796"/>
      <c r="VYY743" s="3796"/>
      <c r="VYZ743" s="3796"/>
      <c r="VZA743" s="3796"/>
      <c r="VZB743" s="3796"/>
      <c r="VZC743" s="3796"/>
      <c r="VZD743" s="3796"/>
      <c r="VZE743" s="3796"/>
      <c r="VZF743" s="3796"/>
      <c r="VZG743" s="3796"/>
      <c r="VZH743" s="3796"/>
      <c r="VZI743" s="3796"/>
      <c r="VZJ743" s="3796"/>
      <c r="VZK743" s="3796"/>
      <c r="VZL743" s="3796"/>
      <c r="VZM743" s="3796"/>
      <c r="VZN743" s="3796"/>
      <c r="VZO743" s="3796"/>
      <c r="VZP743" s="3796"/>
      <c r="VZQ743" s="3796"/>
      <c r="VZR743" s="3796"/>
      <c r="VZS743" s="3796"/>
      <c r="VZT743" s="3796"/>
      <c r="VZU743" s="3796"/>
      <c r="VZV743" s="3796"/>
      <c r="VZW743" s="3796"/>
      <c r="VZX743" s="3796"/>
      <c r="VZY743" s="3796"/>
      <c r="VZZ743" s="3796"/>
      <c r="WAA743" s="3796"/>
      <c r="WAB743" s="3796"/>
      <c r="WAC743" s="3796"/>
      <c r="WAD743" s="3796"/>
      <c r="WAE743" s="3796"/>
      <c r="WAF743" s="3796"/>
      <c r="WAG743" s="3796"/>
      <c r="WAH743" s="3796"/>
      <c r="WAI743" s="3796"/>
      <c r="WAJ743" s="3796"/>
      <c r="WAK743" s="3796"/>
      <c r="WAL743" s="3796"/>
      <c r="WAM743" s="3796"/>
      <c r="WAN743" s="3796"/>
      <c r="WAO743" s="3796"/>
      <c r="WAP743" s="3796"/>
      <c r="WAQ743" s="3796"/>
      <c r="WAR743" s="3796"/>
      <c r="WAS743" s="3796"/>
      <c r="WAT743" s="3796"/>
      <c r="WAU743" s="3796"/>
      <c r="WAV743" s="3796"/>
      <c r="WAW743" s="3796"/>
      <c r="WAX743" s="3796"/>
      <c r="WAY743" s="3796"/>
      <c r="WAZ743" s="3796"/>
      <c r="WBA743" s="3796"/>
      <c r="WBB743" s="3796"/>
      <c r="WBC743" s="3796"/>
      <c r="WBD743" s="3796"/>
      <c r="WBE743" s="3796"/>
      <c r="WBF743" s="3796"/>
      <c r="WBG743" s="3796"/>
      <c r="WBH743" s="3796"/>
      <c r="WBI743" s="3796"/>
      <c r="WBJ743" s="3796"/>
      <c r="WBK743" s="3796"/>
      <c r="WBL743" s="3796"/>
      <c r="WBM743" s="3796"/>
      <c r="WBN743" s="3796"/>
      <c r="WBO743" s="3796"/>
      <c r="WBP743" s="3796"/>
      <c r="WBQ743" s="3796"/>
      <c r="WBV743" s="3796"/>
      <c r="WCB743" s="3796"/>
      <c r="WCC743" s="3796"/>
      <c r="WCD743" s="3796"/>
      <c r="WCH743" s="3796"/>
      <c r="WCO743" s="3796"/>
      <c r="WCP743" s="3796"/>
      <c r="WCQ743" s="3796"/>
      <c r="WCR743" s="3796"/>
      <c r="WCS743" s="3796"/>
      <c r="WCT743" s="3796"/>
      <c r="WCU743" s="3796"/>
      <c r="WCV743" s="3796"/>
      <c r="WCW743" s="3796"/>
      <c r="WCX743" s="3796"/>
      <c r="WCY743" s="3796"/>
      <c r="WCZ743" s="3796"/>
      <c r="WDA743" s="3796"/>
      <c r="WDB743" s="3796"/>
      <c r="WDC743" s="3796"/>
      <c r="WDD743" s="3796"/>
      <c r="WDE743" s="3796"/>
      <c r="WDF743" s="3796"/>
      <c r="WDG743" s="3796"/>
      <c r="WDH743" s="3796"/>
      <c r="WDI743" s="3796"/>
      <c r="WDJ743" s="3796"/>
      <c r="WDK743" s="3796"/>
      <c r="WDL743" s="3796"/>
      <c r="WDM743" s="3796"/>
      <c r="WDN743" s="3796"/>
      <c r="WDO743" s="3796"/>
      <c r="WDP743" s="3796"/>
      <c r="WDQ743" s="3796"/>
      <c r="WDR743" s="3796"/>
      <c r="WDS743" s="3796"/>
      <c r="WDT743" s="3796"/>
      <c r="WDU743" s="3796"/>
      <c r="WDV743" s="3796"/>
      <c r="WDW743" s="3796"/>
      <c r="WDX743" s="3796"/>
      <c r="WDY743" s="3796"/>
      <c r="WDZ743" s="3796"/>
      <c r="WEA743" s="3796"/>
      <c r="WEB743" s="3796"/>
      <c r="WEC743" s="3796"/>
      <c r="WED743" s="3796"/>
      <c r="WEE743" s="3796"/>
      <c r="WEF743" s="3796"/>
      <c r="WEG743" s="3796"/>
      <c r="WEH743" s="3796"/>
      <c r="WEI743" s="3796"/>
      <c r="WEJ743" s="3796"/>
      <c r="WEK743" s="3796"/>
      <c r="WEL743" s="3796"/>
      <c r="WEM743" s="3796"/>
      <c r="WEN743" s="3796"/>
      <c r="WEO743" s="3796"/>
      <c r="WEP743" s="3796"/>
      <c r="WEQ743" s="3796"/>
      <c r="WER743" s="3796"/>
      <c r="WES743" s="3796"/>
      <c r="WET743" s="3796"/>
      <c r="WEU743" s="3796"/>
      <c r="WEV743" s="3796"/>
      <c r="WEW743" s="3796"/>
      <c r="WEX743" s="3796"/>
      <c r="WEY743" s="3796"/>
      <c r="WEZ743" s="3796"/>
      <c r="WFA743" s="3796"/>
      <c r="WFB743" s="3796"/>
      <c r="WFC743" s="3796"/>
      <c r="WFD743" s="3796"/>
      <c r="WFE743" s="3796"/>
      <c r="WFF743" s="3796"/>
      <c r="WFG743" s="3796"/>
      <c r="WFH743" s="3796"/>
      <c r="WFI743" s="3796"/>
      <c r="WFJ743" s="3796"/>
      <c r="WFK743" s="3796"/>
      <c r="WFL743" s="3796"/>
      <c r="WFM743" s="3796"/>
      <c r="WFN743" s="3796"/>
      <c r="WFO743" s="3796"/>
      <c r="WFP743" s="3796"/>
      <c r="WFQ743" s="3796"/>
      <c r="WFR743" s="3796"/>
      <c r="WFS743" s="3796"/>
      <c r="WFT743" s="3796"/>
      <c r="WFU743" s="3796"/>
      <c r="WFV743" s="3796"/>
      <c r="WFW743" s="3796"/>
      <c r="WFX743" s="3796"/>
      <c r="WFY743" s="3796"/>
      <c r="WFZ743" s="3796"/>
      <c r="WGA743" s="3796"/>
      <c r="WGB743" s="3796"/>
      <c r="WGC743" s="3796"/>
      <c r="WGD743" s="3796"/>
      <c r="WGE743" s="3796"/>
      <c r="WGF743" s="3796"/>
      <c r="WGG743" s="3796"/>
      <c r="WGH743" s="3796"/>
      <c r="WGI743" s="3796"/>
      <c r="WGJ743" s="3796"/>
      <c r="WGK743" s="3796"/>
      <c r="WGL743" s="3796"/>
      <c r="WGM743" s="3796"/>
      <c r="WGN743" s="3796"/>
      <c r="WGO743" s="3796"/>
      <c r="WGP743" s="3796"/>
      <c r="WGQ743" s="3796"/>
      <c r="WGR743" s="3796"/>
      <c r="WGS743" s="3796"/>
      <c r="WGT743" s="3796"/>
      <c r="WGU743" s="3796"/>
      <c r="WGV743" s="3796"/>
      <c r="WGW743" s="3796"/>
      <c r="WGX743" s="3796"/>
      <c r="WGY743" s="3796"/>
      <c r="WGZ743" s="3796"/>
      <c r="WHA743" s="3796"/>
      <c r="WHB743" s="3796"/>
      <c r="WHC743" s="3796"/>
      <c r="WHD743" s="3796"/>
      <c r="WHE743" s="3796"/>
      <c r="WHF743" s="3796"/>
      <c r="WHG743" s="3796"/>
      <c r="WHH743" s="3796"/>
      <c r="WHI743" s="3796"/>
      <c r="WHJ743" s="3796"/>
      <c r="WHK743" s="3796"/>
      <c r="WHL743" s="3796"/>
      <c r="WHM743" s="3796"/>
      <c r="WHN743" s="3796"/>
      <c r="WHO743" s="3796"/>
      <c r="WHP743" s="3796"/>
      <c r="WHQ743" s="3796"/>
      <c r="WHR743" s="3796"/>
      <c r="WHS743" s="3796"/>
      <c r="WHT743" s="3796"/>
      <c r="WHU743" s="3796"/>
      <c r="WHV743" s="3796"/>
      <c r="WHW743" s="3796"/>
      <c r="WHX743" s="3796"/>
      <c r="WHY743" s="3796"/>
      <c r="WHZ743" s="3796"/>
      <c r="WIA743" s="3796"/>
      <c r="WIB743" s="3796"/>
      <c r="WIC743" s="3796"/>
      <c r="WID743" s="3796"/>
      <c r="WIE743" s="3796"/>
      <c r="WIF743" s="3796"/>
      <c r="WIG743" s="3796"/>
      <c r="WIH743" s="3796"/>
      <c r="WII743" s="3796"/>
      <c r="WIJ743" s="3796"/>
      <c r="WIK743" s="3796"/>
      <c r="WIL743" s="3796"/>
      <c r="WIM743" s="3796"/>
      <c r="WIN743" s="3796"/>
      <c r="WIO743" s="3796"/>
      <c r="WIP743" s="3796"/>
      <c r="WIQ743" s="3796"/>
      <c r="WIR743" s="3796"/>
      <c r="WIS743" s="3796"/>
      <c r="WIT743" s="3796"/>
      <c r="WIU743" s="3796"/>
      <c r="WIV743" s="3796"/>
      <c r="WIW743" s="3796"/>
      <c r="WIX743" s="3796"/>
      <c r="WIY743" s="3796"/>
      <c r="WIZ743" s="3796"/>
      <c r="WJA743" s="3796"/>
      <c r="WJB743" s="3796"/>
      <c r="WJC743" s="3796"/>
      <c r="WJD743" s="3796"/>
      <c r="WJE743" s="3796"/>
      <c r="WJF743" s="3796"/>
      <c r="WJG743" s="3796"/>
      <c r="WJH743" s="3796"/>
      <c r="WJI743" s="3796"/>
      <c r="WJJ743" s="3796"/>
      <c r="WJK743" s="3796"/>
      <c r="WJL743" s="3796"/>
      <c r="WJM743" s="3796"/>
      <c r="WJN743" s="3796"/>
      <c r="WJO743" s="3796"/>
      <c r="WJP743" s="3796"/>
      <c r="WJQ743" s="3796"/>
      <c r="WJR743" s="3796"/>
      <c r="WJS743" s="3796"/>
      <c r="WJT743" s="3796"/>
      <c r="WJU743" s="3796"/>
      <c r="WJV743" s="3796"/>
      <c r="WJW743" s="3796"/>
      <c r="WJX743" s="3796"/>
      <c r="WJY743" s="3796"/>
      <c r="WJZ743" s="3796"/>
      <c r="WKA743" s="3796"/>
      <c r="WKB743" s="3796"/>
      <c r="WKC743" s="3796"/>
      <c r="WKD743" s="3796"/>
      <c r="WKE743" s="3796"/>
      <c r="WKF743" s="3796"/>
      <c r="WKG743" s="3796"/>
      <c r="WKH743" s="3796"/>
      <c r="WKI743" s="3796"/>
      <c r="WKJ743" s="3796"/>
      <c r="WKK743" s="3796"/>
      <c r="WKL743" s="3796"/>
      <c r="WKM743" s="3796"/>
      <c r="WKN743" s="3796"/>
      <c r="WKO743" s="3796"/>
      <c r="WKP743" s="3796"/>
      <c r="WKQ743" s="3796"/>
      <c r="WKR743" s="3796"/>
      <c r="WKS743" s="3796"/>
      <c r="WKT743" s="3796"/>
      <c r="WKU743" s="3796"/>
      <c r="WKV743" s="3796"/>
      <c r="WKW743" s="3796"/>
      <c r="WKX743" s="3796"/>
      <c r="WKY743" s="3796"/>
      <c r="WKZ743" s="3796"/>
      <c r="WLA743" s="3796"/>
      <c r="WLB743" s="3796"/>
      <c r="WLC743" s="3796"/>
      <c r="WLD743" s="3796"/>
      <c r="WLE743" s="3796"/>
      <c r="WLF743" s="3796"/>
      <c r="WLG743" s="3796"/>
      <c r="WLH743" s="3796"/>
      <c r="WLI743" s="3796"/>
      <c r="WLJ743" s="3796"/>
      <c r="WLK743" s="3796"/>
      <c r="WLL743" s="3796"/>
      <c r="WLM743" s="3796"/>
      <c r="WLR743" s="3796"/>
      <c r="WLX743" s="3796"/>
      <c r="WLY743" s="3796"/>
      <c r="WLZ743" s="3796"/>
      <c r="WMD743" s="3796"/>
      <c r="WMK743" s="3796"/>
      <c r="WML743" s="3796"/>
      <c r="WMM743" s="3796"/>
      <c r="WMN743" s="3796"/>
      <c r="WMO743" s="3796"/>
      <c r="WMP743" s="3796"/>
      <c r="WMQ743" s="3796"/>
      <c r="WMR743" s="3796"/>
      <c r="WMS743" s="3796"/>
      <c r="WMT743" s="3796"/>
      <c r="WMU743" s="3796"/>
      <c r="WMV743" s="3796"/>
      <c r="WMW743" s="3796"/>
      <c r="WMX743" s="3796"/>
      <c r="WMY743" s="3796"/>
      <c r="WMZ743" s="3796"/>
      <c r="WNA743" s="3796"/>
      <c r="WNB743" s="3796"/>
      <c r="WNC743" s="3796"/>
      <c r="WND743" s="3796"/>
      <c r="WNE743" s="3796"/>
      <c r="WNF743" s="3796"/>
      <c r="WNG743" s="3796"/>
      <c r="WNH743" s="3796"/>
      <c r="WNI743" s="3796"/>
      <c r="WNJ743" s="3796"/>
      <c r="WNK743" s="3796"/>
      <c r="WNL743" s="3796"/>
      <c r="WNM743" s="3796"/>
      <c r="WNN743" s="3796"/>
      <c r="WNO743" s="3796"/>
      <c r="WNP743" s="3796"/>
      <c r="WNQ743" s="3796"/>
      <c r="WNR743" s="3796"/>
      <c r="WNS743" s="3796"/>
      <c r="WNT743" s="3796"/>
      <c r="WNU743" s="3796"/>
      <c r="WNV743" s="3796"/>
      <c r="WNW743" s="3796"/>
      <c r="WNX743" s="3796"/>
      <c r="WNY743" s="3796"/>
      <c r="WNZ743" s="3796"/>
      <c r="WOA743" s="3796"/>
      <c r="WOB743" s="3796"/>
      <c r="WOC743" s="3796"/>
      <c r="WOD743" s="3796"/>
      <c r="WOE743" s="3796"/>
      <c r="WOF743" s="3796"/>
      <c r="WOG743" s="3796"/>
      <c r="WOH743" s="3796"/>
      <c r="WOI743" s="3796"/>
      <c r="WOJ743" s="3796"/>
      <c r="WOK743" s="3796"/>
      <c r="WOL743" s="3796"/>
      <c r="WOM743" s="3796"/>
      <c r="WON743" s="3796"/>
      <c r="WOO743" s="3796"/>
      <c r="WOP743" s="3796"/>
      <c r="WOQ743" s="3796"/>
      <c r="WOR743" s="3796"/>
      <c r="WOS743" s="3796"/>
      <c r="WOT743" s="3796"/>
      <c r="WOU743" s="3796"/>
      <c r="WOV743" s="3796"/>
      <c r="WOW743" s="3796"/>
      <c r="WOX743" s="3796"/>
      <c r="WOY743" s="3796"/>
      <c r="WOZ743" s="3796"/>
      <c r="WPA743" s="3796"/>
      <c r="WPB743" s="3796"/>
      <c r="WPC743" s="3796"/>
      <c r="WPD743" s="3796"/>
      <c r="WPE743" s="3796"/>
      <c r="WPF743" s="3796"/>
      <c r="WPG743" s="3796"/>
      <c r="WPH743" s="3796"/>
      <c r="WPI743" s="3796"/>
      <c r="WPJ743" s="3796"/>
      <c r="WPK743" s="3796"/>
      <c r="WPL743" s="3796"/>
      <c r="WPM743" s="3796"/>
      <c r="WPN743" s="3796"/>
      <c r="WPO743" s="3796"/>
      <c r="WPP743" s="3796"/>
      <c r="WPQ743" s="3796"/>
      <c r="WPR743" s="3796"/>
      <c r="WPS743" s="3796"/>
      <c r="WPT743" s="3796"/>
      <c r="WPU743" s="3796"/>
      <c r="WPV743" s="3796"/>
      <c r="WPW743" s="3796"/>
      <c r="WPX743" s="3796"/>
      <c r="WPY743" s="3796"/>
      <c r="WPZ743" s="3796"/>
      <c r="WQA743" s="3796"/>
      <c r="WQB743" s="3796"/>
      <c r="WQC743" s="3796"/>
      <c r="WQD743" s="3796"/>
      <c r="WQE743" s="3796"/>
      <c r="WQF743" s="3796"/>
      <c r="WQG743" s="3796"/>
      <c r="WQH743" s="3796"/>
      <c r="WQI743" s="3796"/>
      <c r="WQJ743" s="3796"/>
      <c r="WQK743" s="3796"/>
      <c r="WQL743" s="3796"/>
      <c r="WQM743" s="3796"/>
      <c r="WQN743" s="3796"/>
      <c r="WQO743" s="3796"/>
      <c r="WQP743" s="3796"/>
      <c r="WQQ743" s="3796"/>
      <c r="WQR743" s="3796"/>
      <c r="WQS743" s="3796"/>
      <c r="WQT743" s="3796"/>
      <c r="WQU743" s="3796"/>
      <c r="WQV743" s="3796"/>
      <c r="WQW743" s="3796"/>
      <c r="WQX743" s="3796"/>
      <c r="WQY743" s="3796"/>
      <c r="WQZ743" s="3796"/>
      <c r="WRA743" s="3796"/>
      <c r="WRB743" s="3796"/>
      <c r="WRC743" s="3796"/>
      <c r="WRD743" s="3796"/>
      <c r="WRE743" s="3796"/>
      <c r="WRF743" s="3796"/>
      <c r="WRG743" s="3796"/>
      <c r="WRH743" s="3796"/>
      <c r="WRI743" s="3796"/>
      <c r="WRJ743" s="3796"/>
      <c r="WRK743" s="3796"/>
      <c r="WRL743" s="3796"/>
      <c r="WRM743" s="3796"/>
      <c r="WRN743" s="3796"/>
      <c r="WRO743" s="3796"/>
      <c r="WRP743" s="3796"/>
      <c r="WRQ743" s="3796"/>
      <c r="WRR743" s="3796"/>
      <c r="WRS743" s="3796"/>
      <c r="WRT743" s="3796"/>
      <c r="WRU743" s="3796"/>
      <c r="WRV743" s="3796"/>
      <c r="WRW743" s="3796"/>
      <c r="WRX743" s="3796"/>
      <c r="WRY743" s="3796"/>
      <c r="WRZ743" s="3796"/>
      <c r="WSA743" s="3796"/>
      <c r="WSB743" s="3796"/>
      <c r="WSC743" s="3796"/>
      <c r="WSD743" s="3796"/>
      <c r="WSE743" s="3796"/>
      <c r="WSF743" s="3796"/>
      <c r="WSG743" s="3796"/>
      <c r="WSH743" s="3796"/>
      <c r="WSI743" s="3796"/>
      <c r="WSJ743" s="3796"/>
      <c r="WSK743" s="3796"/>
      <c r="WSL743" s="3796"/>
      <c r="WSM743" s="3796"/>
      <c r="WSN743" s="3796"/>
      <c r="WSO743" s="3796"/>
      <c r="WSP743" s="3796"/>
      <c r="WSQ743" s="3796"/>
      <c r="WSR743" s="3796"/>
      <c r="WSS743" s="3796"/>
      <c r="WST743" s="3796"/>
      <c r="WSU743" s="3796"/>
      <c r="WSV743" s="3796"/>
      <c r="WSW743" s="3796"/>
      <c r="WSX743" s="3796"/>
      <c r="WSY743" s="3796"/>
      <c r="WSZ743" s="3796"/>
      <c r="WTA743" s="3796"/>
      <c r="WTB743" s="3796"/>
      <c r="WTC743" s="3796"/>
      <c r="WTD743" s="3796"/>
      <c r="WTE743" s="3796"/>
      <c r="WTF743" s="3796"/>
      <c r="WTG743" s="3796"/>
      <c r="WTH743" s="3796"/>
      <c r="WTI743" s="3796"/>
      <c r="WTJ743" s="3796"/>
      <c r="WTK743" s="3796"/>
      <c r="WTL743" s="3796"/>
      <c r="WTM743" s="3796"/>
      <c r="WTN743" s="3796"/>
      <c r="WTO743" s="3796"/>
      <c r="WTP743" s="3796"/>
      <c r="WTQ743" s="3796"/>
      <c r="WTR743" s="3796"/>
      <c r="WTS743" s="3796"/>
      <c r="WTT743" s="3796"/>
      <c r="WTU743" s="3796"/>
      <c r="WTV743" s="3796"/>
      <c r="WTW743" s="3796"/>
      <c r="WTX743" s="3796"/>
      <c r="WTY743" s="3796"/>
      <c r="WTZ743" s="3796"/>
      <c r="WUA743" s="3796"/>
      <c r="WUB743" s="3796"/>
      <c r="WUC743" s="3796"/>
      <c r="WUD743" s="3796"/>
      <c r="WUE743" s="3796"/>
      <c r="WUF743" s="3796"/>
      <c r="WUG743" s="3796"/>
      <c r="WUH743" s="3796"/>
      <c r="WUI743" s="3796"/>
      <c r="WUJ743" s="3796"/>
      <c r="WUK743" s="3796"/>
      <c r="WUL743" s="3796"/>
      <c r="WUM743" s="3796"/>
      <c r="WUN743" s="3796"/>
      <c r="WUO743" s="3796"/>
      <c r="WUP743" s="3796"/>
      <c r="WUQ743" s="3796"/>
      <c r="WUR743" s="3796"/>
      <c r="WUS743" s="3796"/>
      <c r="WUT743" s="3796"/>
      <c r="WUU743" s="3796"/>
      <c r="WUV743" s="3796"/>
      <c r="WUW743" s="3796"/>
      <c r="WUX743" s="3796"/>
      <c r="WUY743" s="3796"/>
      <c r="WUZ743" s="3796"/>
      <c r="WVA743" s="3796"/>
      <c r="WVB743" s="3796"/>
      <c r="WVC743" s="3796"/>
      <c r="WVD743" s="3796"/>
      <c r="WVE743" s="3796"/>
      <c r="WVF743" s="3796"/>
      <c r="WVG743" s="3796"/>
      <c r="WVH743" s="3796"/>
      <c r="WVI743" s="3796"/>
      <c r="WVN743" s="3796"/>
      <c r="WVT743" s="3796"/>
      <c r="WVU743" s="3796"/>
      <c r="WVV743" s="3796"/>
      <c r="WVZ743" s="3796"/>
      <c r="WWG743" s="3796"/>
      <c r="WWH743" s="3796"/>
      <c r="WWI743" s="3796"/>
      <c r="WWJ743" s="3796"/>
      <c r="WWK743" s="3796"/>
      <c r="WWL743" s="3796"/>
      <c r="WWM743" s="3796"/>
      <c r="WWN743" s="3796"/>
      <c r="WWO743" s="3796"/>
      <c r="WWP743" s="3796"/>
      <c r="WWQ743" s="3796"/>
      <c r="WWR743" s="3796"/>
      <c r="WWS743" s="3796"/>
      <c r="WWT743" s="3796"/>
      <c r="WWU743" s="3796"/>
      <c r="WWV743" s="3796"/>
      <c r="WWW743" s="3796"/>
      <c r="WWX743" s="3796"/>
      <c r="WWY743" s="3796"/>
      <c r="WWZ743" s="3796"/>
      <c r="WXA743" s="3796"/>
      <c r="WXB743" s="3796"/>
      <c r="WXC743" s="3796"/>
      <c r="WXD743" s="3796"/>
      <c r="WXE743" s="3796"/>
      <c r="WXF743" s="3796"/>
      <c r="WXG743" s="3796"/>
      <c r="WXH743" s="3796"/>
      <c r="WXI743" s="3796"/>
      <c r="WXJ743" s="3796"/>
      <c r="WXK743" s="3796"/>
      <c r="WXL743" s="3796"/>
      <c r="WXM743" s="3796"/>
      <c r="WXN743" s="3796"/>
      <c r="WXO743" s="3796"/>
      <c r="WXP743" s="3796"/>
      <c r="WXQ743" s="3796"/>
      <c r="WXR743" s="3796"/>
      <c r="WXS743" s="3796"/>
      <c r="WXT743" s="3796"/>
      <c r="WXU743" s="3796"/>
      <c r="WXV743" s="3796"/>
      <c r="WXW743" s="3796"/>
      <c r="WXX743" s="3796"/>
      <c r="WXY743" s="3796"/>
      <c r="WXZ743" s="3796"/>
      <c r="WYA743" s="3796"/>
      <c r="WYB743" s="3796"/>
      <c r="WYC743" s="3796"/>
      <c r="WYD743" s="3796"/>
      <c r="WYE743" s="3796"/>
      <c r="WYF743" s="3796"/>
      <c r="WYG743" s="3796"/>
      <c r="WYH743" s="3796"/>
      <c r="WYI743" s="3796"/>
      <c r="WYJ743" s="3796"/>
      <c r="WYK743" s="3796"/>
      <c r="WYL743" s="3796"/>
      <c r="WYM743" s="3796"/>
      <c r="WYN743" s="3796"/>
      <c r="WYO743" s="3796"/>
      <c r="WYP743" s="3796"/>
      <c r="WYQ743" s="3796"/>
      <c r="WYR743" s="3796"/>
      <c r="WYS743" s="3796"/>
      <c r="WYT743" s="3796"/>
      <c r="WYU743" s="3796"/>
      <c r="WYV743" s="3796"/>
      <c r="WYW743" s="3796"/>
      <c r="WYX743" s="3796"/>
      <c r="WYY743" s="3796"/>
      <c r="WYZ743" s="3796"/>
      <c r="WZA743" s="3796"/>
      <c r="WZB743" s="3796"/>
      <c r="WZC743" s="3796"/>
      <c r="WZD743" s="3796"/>
      <c r="WZE743" s="3796"/>
      <c r="WZF743" s="3796"/>
      <c r="WZG743" s="3796"/>
      <c r="WZH743" s="3796"/>
      <c r="WZI743" s="3796"/>
      <c r="WZJ743" s="3796"/>
      <c r="WZK743" s="3796"/>
      <c r="WZL743" s="3796"/>
      <c r="WZM743" s="3796"/>
      <c r="WZN743" s="3796"/>
      <c r="WZO743" s="3796"/>
      <c r="WZP743" s="3796"/>
      <c r="WZQ743" s="3796"/>
      <c r="WZR743" s="3796"/>
      <c r="WZS743" s="3796"/>
      <c r="WZT743" s="3796"/>
      <c r="WZU743" s="3796"/>
      <c r="WZV743" s="3796"/>
      <c r="WZW743" s="3796"/>
      <c r="WZX743" s="3796"/>
      <c r="WZY743" s="3796"/>
      <c r="WZZ743" s="3796"/>
      <c r="XAA743" s="3796"/>
      <c r="XAB743" s="3796"/>
      <c r="XAC743" s="3796"/>
      <c r="XAD743" s="3796"/>
      <c r="XAE743" s="3796"/>
      <c r="XAF743" s="3796"/>
      <c r="XAG743" s="3796"/>
      <c r="XAH743" s="3796"/>
      <c r="XAI743" s="3796"/>
      <c r="XAJ743" s="3796"/>
      <c r="XAK743" s="3796"/>
      <c r="XAL743" s="3796"/>
      <c r="XAM743" s="3796"/>
      <c r="XAN743" s="3796"/>
      <c r="XAO743" s="3796"/>
      <c r="XAP743" s="3796"/>
      <c r="XAQ743" s="3796"/>
      <c r="XAR743" s="3796"/>
      <c r="XAS743" s="3796"/>
      <c r="XAT743" s="3796"/>
      <c r="XAU743" s="3796"/>
      <c r="XAV743" s="3796"/>
      <c r="XAW743" s="3796"/>
      <c r="XAX743" s="3796"/>
      <c r="XAY743" s="3796"/>
      <c r="XAZ743" s="3796"/>
      <c r="XBA743" s="3796"/>
      <c r="XBB743" s="3796"/>
      <c r="XBC743" s="3796"/>
      <c r="XBD743" s="3796"/>
      <c r="XBE743" s="3796"/>
      <c r="XBF743" s="3796"/>
      <c r="XBG743" s="3796"/>
      <c r="XBH743" s="3796"/>
      <c r="XBI743" s="3796"/>
      <c r="XBJ743" s="3796"/>
      <c r="XBK743" s="3796"/>
      <c r="XBL743" s="3796"/>
      <c r="XBM743" s="3796"/>
      <c r="XBN743" s="3796"/>
      <c r="XBO743" s="3796"/>
      <c r="XBP743" s="3796"/>
      <c r="XBQ743" s="3796"/>
      <c r="XBR743" s="3796"/>
      <c r="XBS743" s="3796"/>
      <c r="XBT743" s="3796"/>
      <c r="XBU743" s="3796"/>
      <c r="XBV743" s="3796"/>
      <c r="XBW743" s="3796"/>
      <c r="XBX743" s="3796"/>
      <c r="XBY743" s="3796"/>
      <c r="XBZ743" s="3796"/>
      <c r="XCA743" s="3796"/>
      <c r="XCB743" s="3796"/>
      <c r="XCC743" s="3796"/>
      <c r="XCD743" s="3796"/>
      <c r="XCE743" s="3796"/>
      <c r="XCF743" s="3796"/>
      <c r="XCG743" s="3796"/>
      <c r="XCH743" s="3796"/>
      <c r="XCI743" s="3796"/>
      <c r="XCJ743" s="3796"/>
      <c r="XCK743" s="3796"/>
      <c r="XCL743" s="3796"/>
      <c r="XCM743" s="3796"/>
      <c r="XCN743" s="3796"/>
      <c r="XCO743" s="3796"/>
      <c r="XCP743" s="3796"/>
      <c r="XCQ743" s="3796"/>
      <c r="XCR743" s="3796"/>
      <c r="XCS743" s="3796"/>
      <c r="XCT743" s="3796"/>
      <c r="XCU743" s="3796"/>
      <c r="XCV743" s="3796"/>
      <c r="XCW743" s="3796"/>
      <c r="XCX743" s="3796"/>
      <c r="XCY743" s="3796"/>
      <c r="XCZ743" s="3796"/>
      <c r="XDA743" s="3796"/>
      <c r="XDB743" s="3796"/>
      <c r="XDC743" s="3796"/>
      <c r="XDD743" s="3796"/>
      <c r="XDE743" s="3796"/>
      <c r="XDF743" s="3796"/>
      <c r="XDG743" s="3796"/>
      <c r="XDH743" s="3796"/>
      <c r="XDI743" s="3796"/>
      <c r="XDJ743" s="3796"/>
      <c r="XDK743" s="3796"/>
      <c r="XDL743" s="3796"/>
      <c r="XDM743" s="3796"/>
      <c r="XDN743" s="3796"/>
      <c r="XDO743" s="3796"/>
      <c r="XDP743" s="3796"/>
      <c r="XDQ743" s="3796"/>
      <c r="XDR743" s="3796"/>
      <c r="XDS743" s="3796"/>
      <c r="XDT743" s="3796"/>
      <c r="XDU743" s="3796"/>
      <c r="XDV743" s="3796"/>
      <c r="XDW743" s="3796"/>
      <c r="XDX743" s="3796"/>
      <c r="XDY743" s="3796"/>
      <c r="XDZ743" s="3796"/>
      <c r="XEA743" s="3796"/>
      <c r="XEB743" s="3796"/>
      <c r="XEC743" s="3796"/>
      <c r="XED743" s="3796"/>
      <c r="XEE743" s="3796"/>
      <c r="XEF743" s="3796"/>
      <c r="XEG743" s="3796"/>
      <c r="XEH743" s="3796"/>
      <c r="XEI743" s="3796"/>
      <c r="XEJ743" s="3796"/>
      <c r="XEK743" s="3796"/>
      <c r="XEL743" s="3796"/>
      <c r="XEM743" s="3796"/>
      <c r="XEN743" s="3796"/>
      <c r="XEO743" s="3796"/>
      <c r="XEP743" s="3796"/>
      <c r="XEQ743" s="3796"/>
      <c r="XER743" s="3796"/>
      <c r="XES743" s="3796"/>
      <c r="XET743" s="3796"/>
      <c r="XEU743" s="3796"/>
      <c r="XEV743" s="3796"/>
      <c r="XEW743" s="3796"/>
      <c r="XEX743" s="3796"/>
      <c r="XEY743" s="3796"/>
      <c r="XEZ743" s="3796"/>
      <c r="XFA743" s="3796"/>
      <c r="XFB743" s="3796"/>
      <c r="XFC743" s="3796"/>
      <c r="XFD743" s="3796"/>
    </row>
    <row r="744" spans="1:16384" hidden="1">
      <c r="A744" s="3267" t="s">
        <v>8196</v>
      </c>
      <c r="B744" s="3267" t="s">
        <v>8197</v>
      </c>
      <c r="C744" s="3269" t="s">
        <v>8198</v>
      </c>
      <c r="D744" s="3268" t="s">
        <v>8199</v>
      </c>
      <c r="E744" s="3267" t="s">
        <v>2985</v>
      </c>
      <c r="F744" s="3268" t="s">
        <v>3292</v>
      </c>
      <c r="G744" s="3267"/>
      <c r="H744" s="3267" t="s">
        <v>3244</v>
      </c>
      <c r="I744" s="3267"/>
      <c r="J744" s="3269" t="s">
        <v>6259</v>
      </c>
      <c r="K744" s="3267" t="s">
        <v>8200</v>
      </c>
      <c r="L744" s="3300">
        <v>110.99</v>
      </c>
      <c r="M744" s="3267">
        <v>15</v>
      </c>
      <c r="N744" s="3268" t="s">
        <v>3098</v>
      </c>
      <c r="O744" s="3267">
        <v>93.93</v>
      </c>
      <c r="P744" s="3267" t="s">
        <v>2963</v>
      </c>
      <c r="Q744" s="3317">
        <v>600000</v>
      </c>
      <c r="R744" s="3288">
        <v>5406</v>
      </c>
      <c r="S744" s="3272">
        <v>57.45</v>
      </c>
      <c r="T744" s="3273">
        <v>574500</v>
      </c>
      <c r="U744" s="3267">
        <v>5177</v>
      </c>
      <c r="V744" s="3289">
        <v>0.3</v>
      </c>
      <c r="W744" s="3272">
        <v>40.21</v>
      </c>
      <c r="X744" s="3273">
        <v>402100</v>
      </c>
      <c r="Y744" s="3276">
        <v>2006</v>
      </c>
      <c r="Z744" s="3276">
        <v>8</v>
      </c>
      <c r="AA744" s="3276">
        <v>28</v>
      </c>
      <c r="AB744" s="3267">
        <v>1500</v>
      </c>
      <c r="AC744" s="3267" t="s">
        <v>2980</v>
      </c>
      <c r="AD744" s="3269" t="s">
        <v>8201</v>
      </c>
      <c r="AE744" s="3314" t="s">
        <v>3344</v>
      </c>
      <c r="AF744" s="3267" t="s">
        <v>2966</v>
      </c>
      <c r="AG744" s="3267" t="s">
        <v>2967</v>
      </c>
      <c r="AH744" s="3267"/>
      <c r="AI744" s="3279" t="s">
        <v>2992</v>
      </c>
      <c r="AJ744" s="3290"/>
      <c r="AK744" s="3278">
        <v>8</v>
      </c>
      <c r="AL744" s="3276">
        <v>55</v>
      </c>
      <c r="AM744" s="3267"/>
      <c r="AN744" s="3279" t="s">
        <v>3099</v>
      </c>
      <c r="AO744" s="3267"/>
      <c r="AP744" s="3279" t="s">
        <v>3305</v>
      </c>
      <c r="AQ744" s="3276" t="s">
        <v>2996</v>
      </c>
      <c r="AR744" s="3276"/>
      <c r="AS744" s="3276"/>
      <c r="AT744" s="3276"/>
      <c r="AU744" s="3267"/>
      <c r="AV744" s="3267"/>
      <c r="AW744" s="3267" t="s">
        <v>3119</v>
      </c>
      <c r="AX744" s="3267"/>
      <c r="AY744" s="3267"/>
      <c r="AZ744" s="3267" t="s">
        <v>8200</v>
      </c>
      <c r="BA744" s="3267"/>
      <c r="BB744" s="3267"/>
      <c r="BC744" s="3267"/>
      <c r="BD744" s="3267"/>
      <c r="BE744" s="3267" t="s">
        <v>8202</v>
      </c>
      <c r="BF744" s="3267"/>
      <c r="BG744" s="3299">
        <v>38901</v>
      </c>
      <c r="BH744" s="3267" t="s">
        <v>2998</v>
      </c>
      <c r="BI744" s="3314" t="s">
        <v>3305</v>
      </c>
      <c r="BJ744" s="3293">
        <v>38953</v>
      </c>
      <c r="BK744" s="3283"/>
      <c r="BL744" s="3267" t="s">
        <v>3249</v>
      </c>
      <c r="BM744" s="3267" t="s">
        <v>2879</v>
      </c>
      <c r="BN744" s="3267" t="s">
        <v>2999</v>
      </c>
      <c r="BO744" s="3267" t="s">
        <v>3146</v>
      </c>
      <c r="BP744" s="3267"/>
      <c r="BQ744" s="3276">
        <v>6116</v>
      </c>
      <c r="BR744" s="3276">
        <v>6388</v>
      </c>
      <c r="BS744" s="3285"/>
      <c r="BT744" s="3285"/>
      <c r="BU744" s="3285"/>
    </row>
    <row r="745" spans="1:16384" hidden="1">
      <c r="A745" s="3267" t="s">
        <v>8203</v>
      </c>
      <c r="B745" s="3267" t="s">
        <v>8204</v>
      </c>
      <c r="C745" s="3269" t="s">
        <v>8205</v>
      </c>
      <c r="D745" s="3268">
        <v>89116112</v>
      </c>
      <c r="E745" s="3267" t="s">
        <v>2985</v>
      </c>
      <c r="F745" s="3269" t="s">
        <v>8206</v>
      </c>
      <c r="G745" s="3267"/>
      <c r="H745" s="3270" t="s">
        <v>3139</v>
      </c>
      <c r="I745" s="3268"/>
      <c r="J745" s="3270" t="s">
        <v>8207</v>
      </c>
      <c r="K745" s="3267" t="s">
        <v>7828</v>
      </c>
      <c r="L745" s="3286">
        <v>64.17</v>
      </c>
      <c r="M745" s="3270">
        <v>8</v>
      </c>
      <c r="N745" s="3267" t="s">
        <v>3122</v>
      </c>
      <c r="O745" s="3267"/>
      <c r="P745" s="3267" t="s">
        <v>2963</v>
      </c>
      <c r="Q745" s="3287">
        <v>500000</v>
      </c>
      <c r="R745" s="3267">
        <v>7792</v>
      </c>
      <c r="S745" s="3272">
        <v>43.93</v>
      </c>
      <c r="T745" s="3273">
        <v>439300</v>
      </c>
      <c r="U745" s="3287">
        <v>6846</v>
      </c>
      <c r="V745" s="3274">
        <v>0.2</v>
      </c>
      <c r="W745" s="3272">
        <v>35.14</v>
      </c>
      <c r="X745" s="3275">
        <v>351400</v>
      </c>
      <c r="Y745" s="3267">
        <v>2006</v>
      </c>
      <c r="Z745" s="3267">
        <v>9</v>
      </c>
      <c r="AA745" s="3267">
        <v>12</v>
      </c>
      <c r="AB745" s="3267">
        <v>1315</v>
      </c>
      <c r="AC745" s="3267" t="s">
        <v>2980</v>
      </c>
      <c r="AD745" s="3269" t="s">
        <v>8208</v>
      </c>
      <c r="AE745" s="3267" t="s">
        <v>2991</v>
      </c>
      <c r="AF745" s="3267" t="s">
        <v>2966</v>
      </c>
      <c r="AG745" s="3267" t="s">
        <v>2967</v>
      </c>
      <c r="AH745" s="3267"/>
      <c r="AI745" s="3267" t="s">
        <v>2992</v>
      </c>
      <c r="AJ745" s="3290"/>
      <c r="AK745" s="3267" t="s">
        <v>3154</v>
      </c>
      <c r="AL745" s="3267">
        <v>43</v>
      </c>
      <c r="AM745" s="3267"/>
      <c r="AN745" s="3267" t="s">
        <v>3114</v>
      </c>
      <c r="AO745" s="3267"/>
      <c r="AP745" s="3267" t="s">
        <v>2991</v>
      </c>
      <c r="AQ745" s="3267" t="s">
        <v>3228</v>
      </c>
      <c r="AR745" s="3276">
        <v>2006</v>
      </c>
      <c r="AS745" s="3276">
        <v>9</v>
      </c>
      <c r="AT745" s="3276">
        <v>12</v>
      </c>
      <c r="AU745" s="3267"/>
      <c r="AV745" s="3267"/>
      <c r="AW745" s="3267" t="s">
        <v>3119</v>
      </c>
      <c r="AX745" s="3267" t="s">
        <v>2968</v>
      </c>
      <c r="AY745" s="3279"/>
      <c r="AZ745" s="3267" t="s">
        <v>7828</v>
      </c>
      <c r="BA745" s="3267"/>
      <c r="BB745" s="3267"/>
      <c r="BC745" s="3267"/>
      <c r="BD745" s="3267"/>
      <c r="BE745" s="3267"/>
      <c r="BF745" s="3267"/>
      <c r="BG745" s="3290">
        <v>38950</v>
      </c>
      <c r="BH745" s="3267"/>
      <c r="BI745" s="3267" t="s">
        <v>2991</v>
      </c>
      <c r="BJ745" s="3284">
        <v>38953</v>
      </c>
      <c r="BK745" s="3284"/>
      <c r="BL745" s="3276" t="s">
        <v>2998</v>
      </c>
      <c r="BM745" s="3267" t="s">
        <v>2879</v>
      </c>
      <c r="BN745" s="3267" t="s">
        <v>2999</v>
      </c>
      <c r="BO745" s="3267" t="s">
        <v>3000</v>
      </c>
      <c r="BP745" s="3267"/>
      <c r="BQ745" s="3276" t="e">
        <v>#DIV/0!</v>
      </c>
      <c r="BR745" s="3276" t="e">
        <v>#DIV/0!</v>
      </c>
      <c r="BS745" s="3285"/>
      <c r="BT745" s="3285"/>
      <c r="BU745" s="3285"/>
    </row>
    <row r="746" spans="1:16384" hidden="1">
      <c r="A746" s="3268" t="s">
        <v>8209</v>
      </c>
      <c r="B746" s="3267" t="s">
        <v>8210</v>
      </c>
      <c r="C746" s="3269" t="s">
        <v>8211</v>
      </c>
      <c r="D746" s="3268">
        <v>13601385070</v>
      </c>
      <c r="E746" s="3268" t="s">
        <v>2985</v>
      </c>
      <c r="F746" s="3268" t="s">
        <v>3484</v>
      </c>
      <c r="G746" s="3268"/>
      <c r="H746" s="3268" t="s">
        <v>3169</v>
      </c>
      <c r="I746" s="3268"/>
      <c r="J746" s="3268" t="s">
        <v>8212</v>
      </c>
      <c r="K746" s="3268" t="s">
        <v>8213</v>
      </c>
      <c r="L746" s="3286">
        <v>61.53</v>
      </c>
      <c r="M746" s="3268">
        <v>15</v>
      </c>
      <c r="N746" s="3267" t="s">
        <v>3152</v>
      </c>
      <c r="O746" s="3268"/>
      <c r="P746" s="3268" t="s">
        <v>2963</v>
      </c>
      <c r="Q746" s="3287">
        <v>370000</v>
      </c>
      <c r="R746" s="3267">
        <v>6013</v>
      </c>
      <c r="S746" s="3272">
        <v>40.159999999999997</v>
      </c>
      <c r="T746" s="3273">
        <v>401600</v>
      </c>
      <c r="U746" s="3365">
        <v>6528</v>
      </c>
      <c r="V746" s="3274">
        <v>0.2</v>
      </c>
      <c r="W746" s="3272">
        <v>32.119999999999997</v>
      </c>
      <c r="X746" s="3275">
        <v>321200</v>
      </c>
      <c r="Y746" s="3276">
        <v>2006</v>
      </c>
      <c r="Z746" s="3268">
        <v>9</v>
      </c>
      <c r="AA746" s="3268">
        <v>4</v>
      </c>
      <c r="AB746" s="3267">
        <v>1200</v>
      </c>
      <c r="AC746" s="3267" t="s">
        <v>2980</v>
      </c>
      <c r="AD746" s="3280" t="s">
        <v>8214</v>
      </c>
      <c r="AE746" s="3267" t="s">
        <v>3069</v>
      </c>
      <c r="AF746" s="3268" t="s">
        <v>2966</v>
      </c>
      <c r="AG746" s="3268" t="s">
        <v>2967</v>
      </c>
      <c r="AH746" s="3268"/>
      <c r="AI746" s="3268" t="s">
        <v>2992</v>
      </c>
      <c r="AJ746" s="3307"/>
      <c r="AK746" s="3278" t="s">
        <v>3154</v>
      </c>
      <c r="AL746" s="3268" t="s">
        <v>8215</v>
      </c>
      <c r="AM746" s="3268"/>
      <c r="AN746" s="3276" t="s">
        <v>3140</v>
      </c>
      <c r="AO746" s="3276"/>
      <c r="AP746" s="3267" t="s">
        <v>3069</v>
      </c>
      <c r="AQ746" s="3267" t="s">
        <v>3228</v>
      </c>
      <c r="AR746" s="3268">
        <v>2006</v>
      </c>
      <c r="AS746" s="3268">
        <v>9</v>
      </c>
      <c r="AT746" s="3268">
        <v>4</v>
      </c>
      <c r="AU746" s="3268"/>
      <c r="AV746" s="3268"/>
      <c r="AW746" s="3268" t="s">
        <v>3171</v>
      </c>
      <c r="AX746" s="3268"/>
      <c r="AY746" s="3268"/>
      <c r="AZ746" s="3268" t="s">
        <v>8213</v>
      </c>
      <c r="BA746" s="3268"/>
      <c r="BB746" s="3268"/>
      <c r="BC746" s="3268"/>
      <c r="BD746" s="3268"/>
      <c r="BE746" s="3268"/>
      <c r="BF746" s="3268"/>
      <c r="BG746" s="3307">
        <v>38953</v>
      </c>
      <c r="BH746" s="3268"/>
      <c r="BI746" s="3267" t="s">
        <v>3069</v>
      </c>
      <c r="BJ746" s="3307">
        <v>38953</v>
      </c>
      <c r="BK746" s="3307"/>
      <c r="BL746" s="3276" t="s">
        <v>2998</v>
      </c>
      <c r="BM746" s="3267" t="s">
        <v>2879</v>
      </c>
      <c r="BN746" s="3276" t="s">
        <v>2999</v>
      </c>
      <c r="BO746" s="3267" t="s">
        <v>3446</v>
      </c>
      <c r="BP746" s="3268"/>
      <c r="BQ746" s="3276" t="e">
        <v>#DIV/0!</v>
      </c>
      <c r="BR746" s="3276" t="e">
        <v>#DIV/0!</v>
      </c>
      <c r="BS746" s="3285"/>
      <c r="BT746" s="3285"/>
      <c r="BU746" s="3285"/>
    </row>
    <row r="747" spans="1:16384" hidden="1">
      <c r="A747" s="3267" t="s">
        <v>8216</v>
      </c>
      <c r="B747" s="3267" t="s">
        <v>8217</v>
      </c>
      <c r="C747" s="3269" t="s">
        <v>8218</v>
      </c>
      <c r="D747" s="3268" t="s">
        <v>8219</v>
      </c>
      <c r="E747" s="3267" t="s">
        <v>2985</v>
      </c>
      <c r="F747" s="3268" t="s">
        <v>3292</v>
      </c>
      <c r="G747" s="3267"/>
      <c r="H747" s="3267" t="s">
        <v>3139</v>
      </c>
      <c r="I747" s="3267"/>
      <c r="J747" s="3269" t="s">
        <v>4862</v>
      </c>
      <c r="K747" s="3267" t="s">
        <v>8220</v>
      </c>
      <c r="L747" s="3300">
        <v>79.53</v>
      </c>
      <c r="M747" s="3267">
        <v>17</v>
      </c>
      <c r="N747" s="3268" t="s">
        <v>3122</v>
      </c>
      <c r="O747" s="3267">
        <v>66.13</v>
      </c>
      <c r="P747" s="3267" t="s">
        <v>2963</v>
      </c>
      <c r="Q747" s="3317">
        <v>480000</v>
      </c>
      <c r="R747" s="3288">
        <v>6035</v>
      </c>
      <c r="S747" s="3272">
        <v>40.909999999999997</v>
      </c>
      <c r="T747" s="3273">
        <v>409100</v>
      </c>
      <c r="U747" s="3267">
        <v>5144</v>
      </c>
      <c r="V747" s="3289">
        <v>0.2</v>
      </c>
      <c r="W747" s="3272">
        <v>32.72</v>
      </c>
      <c r="X747" s="3273">
        <v>327200</v>
      </c>
      <c r="Y747" s="3276">
        <v>2006</v>
      </c>
      <c r="Z747" s="3276">
        <v>9</v>
      </c>
      <c r="AA747" s="3276">
        <v>5</v>
      </c>
      <c r="AB747" s="3267">
        <v>1225</v>
      </c>
      <c r="AC747" s="3267" t="s">
        <v>2980</v>
      </c>
      <c r="AD747" s="3269" t="s">
        <v>8221</v>
      </c>
      <c r="AE747" s="3314" t="s">
        <v>3344</v>
      </c>
      <c r="AF747" s="3267" t="s">
        <v>2966</v>
      </c>
      <c r="AG747" s="3267" t="s">
        <v>2967</v>
      </c>
      <c r="AH747" s="3267"/>
      <c r="AI747" s="3279" t="s">
        <v>2992</v>
      </c>
      <c r="AJ747" s="3290"/>
      <c r="AK747" s="3278">
        <v>9</v>
      </c>
      <c r="AL747" s="3276">
        <v>55</v>
      </c>
      <c r="AM747" s="3267"/>
      <c r="AN747" s="3279" t="s">
        <v>3140</v>
      </c>
      <c r="AO747" s="3267"/>
      <c r="AP747" s="3279" t="s">
        <v>4230</v>
      </c>
      <c r="AQ747" s="3267" t="s">
        <v>3228</v>
      </c>
      <c r="AR747" s="3276"/>
      <c r="AS747" s="3276"/>
      <c r="AT747" s="3276"/>
      <c r="AU747" s="3267"/>
      <c r="AV747" s="3267"/>
      <c r="AW747" s="3267" t="s">
        <v>3119</v>
      </c>
      <c r="AX747" s="3267"/>
      <c r="AY747" s="3267"/>
      <c r="AZ747" s="3267" t="s">
        <v>8220</v>
      </c>
      <c r="BA747" s="3267"/>
      <c r="BB747" s="3267"/>
      <c r="BC747" s="3267"/>
      <c r="BD747" s="3267"/>
      <c r="BE747" s="3267" t="s">
        <v>8222</v>
      </c>
      <c r="BF747" s="3267"/>
      <c r="BG747" s="3299">
        <v>38946</v>
      </c>
      <c r="BH747" s="3267" t="s">
        <v>2998</v>
      </c>
      <c r="BI747" s="3314" t="s">
        <v>4230</v>
      </c>
      <c r="BJ747" s="3293">
        <v>38953</v>
      </c>
      <c r="BK747" s="3283"/>
      <c r="BL747" s="3267" t="s">
        <v>3249</v>
      </c>
      <c r="BM747" s="3267" t="s">
        <v>2879</v>
      </c>
      <c r="BN747" s="3267" t="s">
        <v>2999</v>
      </c>
      <c r="BO747" s="3267" t="s">
        <v>3146</v>
      </c>
      <c r="BP747" s="3267"/>
      <c r="BQ747" s="3276">
        <v>6186</v>
      </c>
      <c r="BR747" s="3276">
        <v>7258</v>
      </c>
      <c r="BS747" s="3285"/>
      <c r="BT747" s="3285"/>
      <c r="BU747" s="3285"/>
    </row>
    <row r="748" spans="1:16384" hidden="1">
      <c r="A748" s="3267" t="s">
        <v>8223</v>
      </c>
      <c r="B748" s="3268" t="s">
        <v>8224</v>
      </c>
      <c r="C748" s="3269" t="s">
        <v>8225</v>
      </c>
      <c r="D748" s="3268">
        <v>13910005435</v>
      </c>
      <c r="E748" s="3268" t="s">
        <v>2985</v>
      </c>
      <c r="F748" s="3268" t="s">
        <v>4529</v>
      </c>
      <c r="G748" s="3268"/>
      <c r="H748" s="3268" t="s">
        <v>8080</v>
      </c>
      <c r="I748" s="3268"/>
      <c r="J748" s="3268" t="s">
        <v>8226</v>
      </c>
      <c r="K748" s="3268" t="s">
        <v>8227</v>
      </c>
      <c r="L748" s="3270">
        <v>69.36</v>
      </c>
      <c r="M748" s="3270">
        <v>18</v>
      </c>
      <c r="N748" s="3267" t="s">
        <v>3122</v>
      </c>
      <c r="O748" s="3270"/>
      <c r="P748" s="3268" t="s">
        <v>2963</v>
      </c>
      <c r="Q748" s="3271">
        <v>490000</v>
      </c>
      <c r="R748" s="3267">
        <v>7065</v>
      </c>
      <c r="S748" s="3272">
        <v>45.12</v>
      </c>
      <c r="T748" s="3273">
        <v>451200</v>
      </c>
      <c r="U748" s="3267">
        <v>6506</v>
      </c>
      <c r="V748" s="3289">
        <v>0.2</v>
      </c>
      <c r="W748" s="3272">
        <v>36.090000000000003</v>
      </c>
      <c r="X748" s="3275">
        <v>360900</v>
      </c>
      <c r="Y748" s="3276">
        <v>2006</v>
      </c>
      <c r="Z748" s="3276">
        <v>9</v>
      </c>
      <c r="AA748" s="3267">
        <v>13</v>
      </c>
      <c r="AB748" s="3267">
        <v>1350</v>
      </c>
      <c r="AC748" s="3267" t="s">
        <v>2980</v>
      </c>
      <c r="AD748" s="3280" t="s">
        <v>8228</v>
      </c>
      <c r="AE748" s="3267" t="s">
        <v>3069</v>
      </c>
      <c r="AF748" s="3268" t="s">
        <v>2966</v>
      </c>
      <c r="AG748" s="3268" t="s">
        <v>2967</v>
      </c>
      <c r="AH748" s="3268"/>
      <c r="AI748" s="3268" t="s">
        <v>3295</v>
      </c>
      <c r="AJ748" s="3290"/>
      <c r="AK748" s="3278">
        <v>9</v>
      </c>
      <c r="AL748" s="3276" t="s">
        <v>8229</v>
      </c>
      <c r="AM748" s="3267" t="s">
        <v>8230</v>
      </c>
      <c r="AN748" s="3279" t="s">
        <v>3114</v>
      </c>
      <c r="AO748" s="3267"/>
      <c r="AP748" s="3267" t="s">
        <v>3069</v>
      </c>
      <c r="AQ748" s="3267" t="s">
        <v>3228</v>
      </c>
      <c r="AR748" s="3267">
        <v>2006</v>
      </c>
      <c r="AS748" s="3267">
        <v>9</v>
      </c>
      <c r="AT748" s="3267">
        <v>13</v>
      </c>
      <c r="AU748" s="3267"/>
      <c r="AV748" s="3277"/>
      <c r="AW748" s="3276" t="s">
        <v>3112</v>
      </c>
      <c r="AX748" s="3276"/>
      <c r="AY748" s="3291"/>
      <c r="AZ748" s="3267" t="s">
        <v>8227</v>
      </c>
      <c r="BA748" s="3296"/>
      <c r="BB748" s="3297"/>
      <c r="BC748" s="3296"/>
      <c r="BD748" s="3298"/>
      <c r="BE748" s="3276"/>
      <c r="BF748" s="3281"/>
      <c r="BG748" s="3293">
        <v>38877</v>
      </c>
      <c r="BH748" s="3267"/>
      <c r="BI748" s="3267" t="s">
        <v>3069</v>
      </c>
      <c r="BJ748" s="3299">
        <v>38953</v>
      </c>
      <c r="BK748" s="3284"/>
      <c r="BL748" s="3276" t="s">
        <v>2998</v>
      </c>
      <c r="BM748" s="3267" t="s">
        <v>2879</v>
      </c>
      <c r="BN748" s="3276" t="s">
        <v>2999</v>
      </c>
      <c r="BO748" s="3267" t="s">
        <v>3446</v>
      </c>
      <c r="BP748" s="3276"/>
      <c r="BQ748" s="3276" t="e">
        <v>#DIV/0!</v>
      </c>
      <c r="BR748" s="3276" t="e">
        <v>#DIV/0!</v>
      </c>
      <c r="BS748" s="3285"/>
      <c r="BT748" s="3285"/>
      <c r="BU748" s="3285"/>
    </row>
    <row r="749" spans="1:16384" hidden="1">
      <c r="A749" s="3269" t="s">
        <v>8231</v>
      </c>
      <c r="B749" s="3268" t="s">
        <v>8232</v>
      </c>
      <c r="C749" s="3269" t="s">
        <v>8233</v>
      </c>
      <c r="D749" s="3268">
        <v>13522738814</v>
      </c>
      <c r="E749" s="3268" t="s">
        <v>2985</v>
      </c>
      <c r="F749" s="3268" t="s">
        <v>4412</v>
      </c>
      <c r="G749" s="3268"/>
      <c r="H749" s="3268" t="s">
        <v>4597</v>
      </c>
      <c r="I749" s="3268"/>
      <c r="J749" s="3268" t="s">
        <v>4000</v>
      </c>
      <c r="K749" s="3268" t="s">
        <v>8234</v>
      </c>
      <c r="L749" s="3270">
        <v>85.84</v>
      </c>
      <c r="M749" s="3270">
        <v>10</v>
      </c>
      <c r="N749" s="3267" t="s">
        <v>3122</v>
      </c>
      <c r="O749" s="3270"/>
      <c r="P749" s="3268" t="s">
        <v>2963</v>
      </c>
      <c r="Q749" s="3271">
        <v>456000</v>
      </c>
      <c r="R749" s="3267">
        <v>5312</v>
      </c>
      <c r="S749" s="3272">
        <v>55.87</v>
      </c>
      <c r="T749" s="3273">
        <v>558700</v>
      </c>
      <c r="U749" s="3267">
        <v>6509</v>
      </c>
      <c r="V749" s="3289">
        <v>0.2</v>
      </c>
      <c r="W749" s="3272">
        <v>44.69</v>
      </c>
      <c r="X749" s="3275">
        <v>446900</v>
      </c>
      <c r="Y749" s="3276">
        <v>2006</v>
      </c>
      <c r="Z749" s="3276">
        <v>8</v>
      </c>
      <c r="AA749" s="3276">
        <v>28</v>
      </c>
      <c r="AB749" s="3267">
        <v>1500</v>
      </c>
      <c r="AC749" s="3267" t="s">
        <v>2980</v>
      </c>
      <c r="AD749" s="3280" t="s">
        <v>8235</v>
      </c>
      <c r="AE749" s="3267" t="s">
        <v>3069</v>
      </c>
      <c r="AF749" s="3268" t="s">
        <v>2966</v>
      </c>
      <c r="AG749" s="3268" t="s">
        <v>2967</v>
      </c>
      <c r="AH749" s="3268"/>
      <c r="AI749" s="3268" t="s">
        <v>2992</v>
      </c>
      <c r="AJ749" s="3290"/>
      <c r="AK749" s="3278">
        <v>8</v>
      </c>
      <c r="AL749" s="3269" t="s">
        <v>5508</v>
      </c>
      <c r="AM749" s="3276"/>
      <c r="AN749" s="3279" t="s">
        <v>3099</v>
      </c>
      <c r="AO749" s="3267"/>
      <c r="AP749" s="3267" t="s">
        <v>3069</v>
      </c>
      <c r="AQ749" s="3267" t="s">
        <v>3228</v>
      </c>
      <c r="AR749" s="3267">
        <v>2006</v>
      </c>
      <c r="AS749" s="3267">
        <v>8</v>
      </c>
      <c r="AT749" s="3267">
        <v>28</v>
      </c>
      <c r="AU749" s="3267"/>
      <c r="AV749" s="3277"/>
      <c r="AW749" s="3268" t="s">
        <v>3171</v>
      </c>
      <c r="AX749" s="3268"/>
      <c r="AY749" s="3268"/>
      <c r="AZ749" s="3268" t="s">
        <v>8234</v>
      </c>
      <c r="BA749" s="3268"/>
      <c r="BB749" s="3280"/>
      <c r="BC749" s="3268"/>
      <c r="BD749" s="3268"/>
      <c r="BE749" s="3268"/>
      <c r="BF749" s="3281"/>
      <c r="BG749" s="3283">
        <v>38932</v>
      </c>
      <c r="BH749" s="3267"/>
      <c r="BI749" s="3267" t="s">
        <v>3069</v>
      </c>
      <c r="BJ749" s="3283">
        <v>38953</v>
      </c>
      <c r="BK749" s="3284"/>
      <c r="BL749" s="3267" t="s">
        <v>2998</v>
      </c>
      <c r="BM749" s="3267" t="s">
        <v>2879</v>
      </c>
      <c r="BN749" s="3267" t="s">
        <v>2999</v>
      </c>
      <c r="BO749" s="3267" t="s">
        <v>3146</v>
      </c>
      <c r="BP749" s="3276"/>
      <c r="BQ749" s="3276" t="e">
        <v>#DIV/0!</v>
      </c>
      <c r="BR749" s="3276" t="e">
        <v>#DIV/0!</v>
      </c>
      <c r="BS749" s="3285"/>
      <c r="BT749" s="3285"/>
      <c r="BU749" s="3285"/>
    </row>
    <row r="750" spans="1:16384" hidden="1">
      <c r="A750" s="3267" t="s">
        <v>8236</v>
      </c>
      <c r="B750" s="3267" t="s">
        <v>8237</v>
      </c>
      <c r="C750" s="3269" t="s">
        <v>8238</v>
      </c>
      <c r="D750" s="3269">
        <v>13031132557</v>
      </c>
      <c r="E750" s="3268" t="s">
        <v>2985</v>
      </c>
      <c r="F750" s="3268" t="s">
        <v>3324</v>
      </c>
      <c r="G750" s="3267"/>
      <c r="H750" s="3267" t="s">
        <v>8239</v>
      </c>
      <c r="I750" s="3268" t="s">
        <v>8240</v>
      </c>
      <c r="J750" s="3267" t="s">
        <v>8241</v>
      </c>
      <c r="K750" s="3267" t="s">
        <v>8242</v>
      </c>
      <c r="L750" s="3267">
        <v>96.74</v>
      </c>
      <c r="M750" s="3267">
        <v>17</v>
      </c>
      <c r="N750" s="3267" t="s">
        <v>3125</v>
      </c>
      <c r="O750" s="3267"/>
      <c r="P750" s="3267" t="s">
        <v>2963</v>
      </c>
      <c r="Q750" s="3271">
        <v>718000</v>
      </c>
      <c r="R750" s="3267">
        <v>7422</v>
      </c>
      <c r="S750" s="3272">
        <v>61.54</v>
      </c>
      <c r="T750" s="3273">
        <v>615400</v>
      </c>
      <c r="U750" s="3267">
        <v>6362</v>
      </c>
      <c r="V750" s="3289">
        <v>0.3</v>
      </c>
      <c r="W750" s="3272">
        <v>43.07</v>
      </c>
      <c r="X750" s="3275">
        <v>430700</v>
      </c>
      <c r="Y750" s="3276">
        <v>2006</v>
      </c>
      <c r="Z750" s="3276">
        <v>9</v>
      </c>
      <c r="AA750" s="3276">
        <v>25</v>
      </c>
      <c r="AB750" s="3267">
        <v>1500</v>
      </c>
      <c r="AC750" s="3267" t="s">
        <v>2980</v>
      </c>
      <c r="AD750" s="3280" t="s">
        <v>8243</v>
      </c>
      <c r="AE750" s="3279" t="s">
        <v>3245</v>
      </c>
      <c r="AF750" s="3268" t="s">
        <v>2966</v>
      </c>
      <c r="AG750" s="3279" t="s">
        <v>2967</v>
      </c>
      <c r="AH750" s="3267" t="s">
        <v>8244</v>
      </c>
      <c r="AI750" s="3279" t="s">
        <v>2992</v>
      </c>
      <c r="AJ750" s="3284"/>
      <c r="AK750" s="3278">
        <v>9</v>
      </c>
      <c r="AL750" s="3276">
        <v>52</v>
      </c>
      <c r="AM750" s="3267"/>
      <c r="AN750" s="3279" t="s">
        <v>3099</v>
      </c>
      <c r="AO750" s="3267"/>
      <c r="AP750" s="3279" t="s">
        <v>3305</v>
      </c>
      <c r="AQ750" s="3267" t="s">
        <v>3228</v>
      </c>
      <c r="AR750" s="3276"/>
      <c r="AS750" s="3276"/>
      <c r="AT750" s="3276"/>
      <c r="AU750" s="3276"/>
      <c r="AV750" s="3276"/>
      <c r="AW750" s="3276" t="s">
        <v>2997</v>
      </c>
      <c r="AX750" s="3276"/>
      <c r="AY750" s="3291"/>
      <c r="AZ750" s="3267" t="s">
        <v>8242</v>
      </c>
      <c r="BA750" s="3296"/>
      <c r="BB750" s="3297"/>
      <c r="BC750" s="3296"/>
      <c r="BD750" s="3298"/>
      <c r="BE750" s="3276"/>
      <c r="BF750" s="3281"/>
      <c r="BG750" s="3293">
        <v>38947</v>
      </c>
      <c r="BH750" s="3267" t="s">
        <v>2998</v>
      </c>
      <c r="BI750" s="3314" t="s">
        <v>3305</v>
      </c>
      <c r="BJ750" s="3283">
        <v>38953</v>
      </c>
      <c r="BK750" s="3283"/>
      <c r="BL750" s="3267" t="s">
        <v>3249</v>
      </c>
      <c r="BM750" s="3276" t="s">
        <v>2879</v>
      </c>
      <c r="BN750" s="3276" t="s">
        <v>2999</v>
      </c>
      <c r="BO750" s="3276" t="s">
        <v>5484</v>
      </c>
      <c r="BP750" s="3276"/>
      <c r="BQ750" s="3276" t="e">
        <v>#DIV/0!</v>
      </c>
      <c r="BR750" s="3276" t="e">
        <v>#DIV/0!</v>
      </c>
      <c r="BS750" s="3285"/>
      <c r="BT750" s="3285"/>
      <c r="BU750" s="3285"/>
    </row>
    <row r="751" spans="1:16384" hidden="1">
      <c r="A751" s="3268" t="s">
        <v>8245</v>
      </c>
      <c r="B751" s="3267" t="s">
        <v>8246</v>
      </c>
      <c r="C751" s="3269" t="s">
        <v>8247</v>
      </c>
      <c r="D751" s="3269" t="s">
        <v>8248</v>
      </c>
      <c r="E751" s="3267" t="s">
        <v>2985</v>
      </c>
      <c r="F751" s="3268" t="s">
        <v>7099</v>
      </c>
      <c r="G751" s="3267"/>
      <c r="H751" s="3267" t="s">
        <v>3402</v>
      </c>
      <c r="I751" s="3267" t="s">
        <v>3458</v>
      </c>
      <c r="J751" s="3269" t="s">
        <v>3380</v>
      </c>
      <c r="K751" s="3267" t="s">
        <v>8249</v>
      </c>
      <c r="L751" s="3267">
        <v>53.77</v>
      </c>
      <c r="M751" s="3267">
        <v>3</v>
      </c>
      <c r="N751" s="3267" t="s">
        <v>3122</v>
      </c>
      <c r="O751" s="3267"/>
      <c r="P751" s="3267" t="s">
        <v>2963</v>
      </c>
      <c r="Q751" s="3271">
        <v>317243</v>
      </c>
      <c r="R751" s="3267">
        <v>5900</v>
      </c>
      <c r="S751" s="3272">
        <v>28.76</v>
      </c>
      <c r="T751" s="3273">
        <v>287600</v>
      </c>
      <c r="U751" s="3267">
        <v>5350</v>
      </c>
      <c r="V751" s="3289">
        <v>0.2</v>
      </c>
      <c r="W751" s="3272">
        <v>23</v>
      </c>
      <c r="X751" s="3275">
        <v>230000</v>
      </c>
      <c r="Y751" s="3267">
        <v>2006</v>
      </c>
      <c r="Z751" s="3276">
        <v>8</v>
      </c>
      <c r="AA751" s="3276">
        <v>30</v>
      </c>
      <c r="AB751" s="3267">
        <v>860</v>
      </c>
      <c r="AC751" s="3267" t="s">
        <v>2980</v>
      </c>
      <c r="AD751" s="3280" t="s">
        <v>8250</v>
      </c>
      <c r="AE751" s="3268" t="s">
        <v>3180</v>
      </c>
      <c r="AF751" s="3267" t="s">
        <v>2966</v>
      </c>
      <c r="AG751" s="3267" t="s">
        <v>2967</v>
      </c>
      <c r="AH751" s="3267" t="s">
        <v>2968</v>
      </c>
      <c r="AI751" s="3267" t="s">
        <v>2992</v>
      </c>
      <c r="AJ751" s="3284"/>
      <c r="AK751" s="3278">
        <v>8</v>
      </c>
      <c r="AL751" s="3276">
        <v>28</v>
      </c>
      <c r="AM751" s="3276"/>
      <c r="AN751" s="3267" t="s">
        <v>3099</v>
      </c>
      <c r="AO751" s="3276" t="s">
        <v>2968</v>
      </c>
      <c r="AP751" s="3276" t="s">
        <v>3180</v>
      </c>
      <c r="AQ751" s="3276" t="s">
        <v>3113</v>
      </c>
      <c r="AR751" s="3276"/>
      <c r="AS751" s="3276"/>
      <c r="AT751" s="3276"/>
      <c r="AU751" s="3276"/>
      <c r="AV751" s="3276" t="s">
        <v>2968</v>
      </c>
      <c r="AW751" s="3276" t="s">
        <v>3171</v>
      </c>
      <c r="AX751" s="3276"/>
      <c r="AY751" s="3291"/>
      <c r="AZ751" s="3267" t="s">
        <v>8249</v>
      </c>
      <c r="BA751" s="3276"/>
      <c r="BB751" s="3291"/>
      <c r="BC751" s="3276"/>
      <c r="BD751" s="3292"/>
      <c r="BE751" s="3276"/>
      <c r="BF751" s="3281"/>
      <c r="BG751" s="3290">
        <v>38953</v>
      </c>
      <c r="BH751" s="3276"/>
      <c r="BI751" s="3267" t="s">
        <v>3180</v>
      </c>
      <c r="BJ751" s="3290">
        <v>38954</v>
      </c>
      <c r="BK751" s="3283"/>
      <c r="BL751" s="3267" t="s">
        <v>2998</v>
      </c>
      <c r="BM751" s="3267" t="s">
        <v>2879</v>
      </c>
      <c r="BN751" s="3267" t="s">
        <v>2999</v>
      </c>
      <c r="BO751" s="3267" t="s">
        <v>3146</v>
      </c>
      <c r="BP751" s="3276"/>
      <c r="BQ751" s="3276" t="e">
        <v>#DIV/0!</v>
      </c>
      <c r="BR751" s="3276" t="e">
        <v>#DIV/0!</v>
      </c>
      <c r="BS751" s="3285"/>
      <c r="BT751" s="3285"/>
      <c r="BU751" s="3285"/>
    </row>
    <row r="752" spans="1:16384" hidden="1">
      <c r="A752" s="3267" t="s">
        <v>8251</v>
      </c>
      <c r="B752" s="3267" t="s">
        <v>8252</v>
      </c>
      <c r="C752" s="3269" t="s">
        <v>8253</v>
      </c>
      <c r="D752" s="3269" t="s">
        <v>8254</v>
      </c>
      <c r="E752" s="3268" t="s">
        <v>2985</v>
      </c>
      <c r="F752" s="3268" t="s">
        <v>8255</v>
      </c>
      <c r="G752" s="3267"/>
      <c r="H752" s="3267" t="s">
        <v>3182</v>
      </c>
      <c r="I752" s="3268"/>
      <c r="J752" s="3267" t="s">
        <v>4507</v>
      </c>
      <c r="K752" s="3267"/>
      <c r="L752" s="3267">
        <v>76.790000000000006</v>
      </c>
      <c r="M752" s="3267">
        <v>5</v>
      </c>
      <c r="N752" s="3268" t="s">
        <v>3122</v>
      </c>
      <c r="O752" s="3267">
        <v>61.36</v>
      </c>
      <c r="P752" s="3267" t="s">
        <v>2963</v>
      </c>
      <c r="Q752" s="3271">
        <v>500000</v>
      </c>
      <c r="R752" s="3288">
        <v>6511</v>
      </c>
      <c r="S752" s="3272">
        <v>50.68</v>
      </c>
      <c r="T752" s="3273">
        <v>506800</v>
      </c>
      <c r="U752" s="3267">
        <v>6600</v>
      </c>
      <c r="V752" s="3289">
        <v>0.2</v>
      </c>
      <c r="W752" s="3272">
        <v>40.54</v>
      </c>
      <c r="X752" s="3273">
        <v>405400</v>
      </c>
      <c r="Y752" s="3267">
        <v>2006</v>
      </c>
      <c r="Z752" s="3276">
        <v>9</v>
      </c>
      <c r="AA752" s="3276">
        <v>18</v>
      </c>
      <c r="AB752" s="3267">
        <v>1500</v>
      </c>
      <c r="AC752" s="3267" t="s">
        <v>2980</v>
      </c>
      <c r="AD752" s="3280" t="s">
        <v>8256</v>
      </c>
      <c r="AE752" s="3279" t="s">
        <v>3245</v>
      </c>
      <c r="AF752" s="3268" t="s">
        <v>2966</v>
      </c>
      <c r="AG752" s="3279" t="s">
        <v>2967</v>
      </c>
      <c r="AH752" s="3267"/>
      <c r="AI752" s="3279" t="s">
        <v>2992</v>
      </c>
      <c r="AJ752" s="3284"/>
      <c r="AK752" s="3278" t="s">
        <v>3154</v>
      </c>
      <c r="AL752" s="3276">
        <v>57</v>
      </c>
      <c r="AM752" s="3267"/>
      <c r="AN752" s="3279" t="s">
        <v>2994</v>
      </c>
      <c r="AO752" s="3267"/>
      <c r="AP752" s="3279" t="s">
        <v>4395</v>
      </c>
      <c r="AQ752" s="3267" t="s">
        <v>3228</v>
      </c>
      <c r="AR752" s="3276"/>
      <c r="AS752" s="3276"/>
      <c r="AT752" s="3276"/>
      <c r="AU752" s="3276"/>
      <c r="AV752" s="3276"/>
      <c r="AW752" s="3276" t="s">
        <v>2997</v>
      </c>
      <c r="AX752" s="3276"/>
      <c r="AY752" s="3291"/>
      <c r="AZ752" s="3267" t="s">
        <v>8257</v>
      </c>
      <c r="BA752" s="3296"/>
      <c r="BB752" s="3297"/>
      <c r="BC752" s="3296"/>
      <c r="BD752" s="3298"/>
      <c r="BE752" s="3276"/>
      <c r="BF752" s="3281"/>
      <c r="BG752" s="3293">
        <v>38951</v>
      </c>
      <c r="BH752" s="3267" t="s">
        <v>2998</v>
      </c>
      <c r="BI752" s="3314" t="s">
        <v>4395</v>
      </c>
      <c r="BJ752" s="3283">
        <v>38953</v>
      </c>
      <c r="BK752" s="3283"/>
      <c r="BL752" s="3267" t="s">
        <v>3249</v>
      </c>
      <c r="BM752" s="3276" t="s">
        <v>2879</v>
      </c>
      <c r="BN752" s="3276" t="s">
        <v>2999</v>
      </c>
      <c r="BO752" s="3276" t="s">
        <v>3146</v>
      </c>
      <c r="BP752" s="3276"/>
      <c r="BQ752" s="3276">
        <v>8259</v>
      </c>
      <c r="BR752" s="3276">
        <v>8149</v>
      </c>
      <c r="BS752" s="3285"/>
      <c r="BT752" s="3285"/>
      <c r="BU752" s="3285"/>
    </row>
    <row r="753" spans="1:16384" hidden="1">
      <c r="A753" s="3267" t="s">
        <v>8258</v>
      </c>
      <c r="B753" s="3267" t="s">
        <v>8259</v>
      </c>
      <c r="C753" s="3269" t="s">
        <v>8260</v>
      </c>
      <c r="D753" s="3268">
        <v>13911814625</v>
      </c>
      <c r="E753" s="3267" t="s">
        <v>2985</v>
      </c>
      <c r="F753" s="3267" t="s">
        <v>3457</v>
      </c>
      <c r="G753" s="3267"/>
      <c r="H753" s="3270" t="s">
        <v>6258</v>
      </c>
      <c r="I753" s="3268" t="s">
        <v>3436</v>
      </c>
      <c r="J753" s="3270" t="s">
        <v>3528</v>
      </c>
      <c r="K753" s="3267" t="s">
        <v>8259</v>
      </c>
      <c r="L753" s="3286">
        <v>61.3</v>
      </c>
      <c r="M753" s="3270">
        <v>6</v>
      </c>
      <c r="N753" s="3267" t="s">
        <v>3122</v>
      </c>
      <c r="O753" s="3267"/>
      <c r="P753" s="3267" t="s">
        <v>2963</v>
      </c>
      <c r="Q753" s="3287">
        <v>480000</v>
      </c>
      <c r="R753" s="3267">
        <v>7830</v>
      </c>
      <c r="S753" s="3272">
        <v>42.84</v>
      </c>
      <c r="T753" s="3273">
        <v>428400</v>
      </c>
      <c r="U753" s="3287">
        <v>6990</v>
      </c>
      <c r="V753" s="3274">
        <v>0.2</v>
      </c>
      <c r="W753" s="3272">
        <v>34.270000000000003</v>
      </c>
      <c r="X753" s="3275">
        <v>342700</v>
      </c>
      <c r="Y753" s="3267">
        <v>2006</v>
      </c>
      <c r="Z753" s="3267">
        <v>9</v>
      </c>
      <c r="AA753" s="3267">
        <v>19</v>
      </c>
      <c r="AB753" s="3267">
        <v>1285</v>
      </c>
      <c r="AC753" s="3267" t="s">
        <v>2980</v>
      </c>
      <c r="AD753" s="3269" t="s">
        <v>8261</v>
      </c>
      <c r="AE753" s="3267" t="s">
        <v>2991</v>
      </c>
      <c r="AF753" s="3267" t="s">
        <v>2966</v>
      </c>
      <c r="AG753" s="3267" t="s">
        <v>2967</v>
      </c>
      <c r="AH753" s="3267"/>
      <c r="AI753" s="3267" t="s">
        <v>2992</v>
      </c>
      <c r="AJ753" s="3290"/>
      <c r="AK753" s="3267" t="s">
        <v>3154</v>
      </c>
      <c r="AL753" s="3267">
        <v>28</v>
      </c>
      <c r="AM753" s="3276" t="s">
        <v>8262</v>
      </c>
      <c r="AN753" s="3267" t="s">
        <v>2994</v>
      </c>
      <c r="AO753" s="3267"/>
      <c r="AP753" s="3267" t="s">
        <v>2991</v>
      </c>
      <c r="AQ753" s="3267" t="s">
        <v>3228</v>
      </c>
      <c r="AR753" s="3276">
        <v>2006</v>
      </c>
      <c r="AS753" s="3276">
        <v>9</v>
      </c>
      <c r="AT753" s="3276">
        <v>19</v>
      </c>
      <c r="AU753" s="3267"/>
      <c r="AV753" s="3267"/>
      <c r="AW753" s="3267" t="s">
        <v>3119</v>
      </c>
      <c r="AX753" s="3267" t="s">
        <v>2968</v>
      </c>
      <c r="AY753" s="3279"/>
      <c r="AZ753" s="3267" t="s">
        <v>8263</v>
      </c>
      <c r="BA753" s="3267"/>
      <c r="BB753" s="3267"/>
      <c r="BC753" s="3267"/>
      <c r="BD753" s="3267"/>
      <c r="BE753" s="3267"/>
      <c r="BF753" s="3267"/>
      <c r="BG753" s="3290">
        <v>38944</v>
      </c>
      <c r="BH753" s="3267"/>
      <c r="BI753" s="3267" t="s">
        <v>2991</v>
      </c>
      <c r="BJ753" s="3284">
        <v>38954</v>
      </c>
      <c r="BK753" s="3284"/>
      <c r="BL753" s="3276" t="s">
        <v>2998</v>
      </c>
      <c r="BM753" s="3267" t="s">
        <v>2879</v>
      </c>
      <c r="BN753" s="3267" t="s">
        <v>2999</v>
      </c>
      <c r="BO753" s="3267" t="s">
        <v>3000</v>
      </c>
      <c r="BP753" s="3267"/>
      <c r="BQ753" s="3276" t="e">
        <v>#DIV/0!</v>
      </c>
      <c r="BR753" s="3276" t="e">
        <v>#DIV/0!</v>
      </c>
      <c r="BS753" s="3285"/>
      <c r="BT753" s="3285"/>
      <c r="BU753" s="3285"/>
    </row>
    <row r="754" spans="1:16384">
      <c r="A754" s="3267" t="s">
        <v>8264</v>
      </c>
      <c r="B754" s="3267" t="s">
        <v>8265</v>
      </c>
      <c r="C754" s="3269" t="s">
        <v>8266</v>
      </c>
      <c r="D754" s="3269" t="s">
        <v>8267</v>
      </c>
      <c r="E754" s="3268" t="s">
        <v>2985</v>
      </c>
      <c r="F754" s="3789" t="s">
        <v>5306</v>
      </c>
      <c r="G754" s="3267"/>
      <c r="H754" s="3267" t="s">
        <v>3402</v>
      </c>
      <c r="I754" s="3268" t="s">
        <v>3586</v>
      </c>
      <c r="J754" s="3267" t="s">
        <v>3173</v>
      </c>
      <c r="K754" s="3267" t="s">
        <v>8265</v>
      </c>
      <c r="L754" s="3791">
        <v>114.67</v>
      </c>
      <c r="M754" s="3791">
        <v>2</v>
      </c>
      <c r="N754" s="3791" t="s">
        <v>8268</v>
      </c>
      <c r="O754" s="3267">
        <v>94</v>
      </c>
      <c r="P754" s="3267" t="s">
        <v>2963</v>
      </c>
      <c r="Q754" s="3271">
        <v>660000</v>
      </c>
      <c r="R754" s="3791">
        <v>5756</v>
      </c>
      <c r="S754" s="3272">
        <v>76.760000000000005</v>
      </c>
      <c r="T754" s="3273">
        <v>767600</v>
      </c>
      <c r="U754" s="3267">
        <v>6694</v>
      </c>
      <c r="V754" s="3289">
        <v>0.3</v>
      </c>
      <c r="W754" s="3272">
        <v>53.73</v>
      </c>
      <c r="X754" s="3275">
        <v>537300</v>
      </c>
      <c r="Y754" s="3276">
        <v>2006</v>
      </c>
      <c r="Z754" s="3276">
        <v>9</v>
      </c>
      <c r="AA754" s="3276">
        <v>12</v>
      </c>
      <c r="AB754" s="3267">
        <v>1500</v>
      </c>
      <c r="AC754" s="3267" t="s">
        <v>2980</v>
      </c>
      <c r="AD754" s="3280" t="s">
        <v>8269</v>
      </c>
      <c r="AE754" s="3279" t="s">
        <v>3344</v>
      </c>
      <c r="AF754" s="3268" t="s">
        <v>2966</v>
      </c>
      <c r="AG754" s="3279" t="s">
        <v>2967</v>
      </c>
      <c r="AH754" s="3267"/>
      <c r="AI754" s="3279" t="s">
        <v>2992</v>
      </c>
      <c r="AJ754" s="3284"/>
      <c r="AK754" s="3278">
        <v>9</v>
      </c>
      <c r="AL754" s="3276">
        <v>56</v>
      </c>
      <c r="AM754" s="3267" t="s">
        <v>8270</v>
      </c>
      <c r="AN754" s="3279" t="s">
        <v>3114</v>
      </c>
      <c r="AO754" s="3267"/>
      <c r="AP754" s="3279" t="s">
        <v>3305</v>
      </c>
      <c r="AQ754" s="3267" t="s">
        <v>3228</v>
      </c>
      <c r="AR754" s="3276"/>
      <c r="AS754" s="3276"/>
      <c r="AT754" s="3276"/>
      <c r="AU754" s="3276"/>
      <c r="AV754" s="3276"/>
      <c r="AW754" s="3276" t="s">
        <v>3119</v>
      </c>
      <c r="AX754" s="3276"/>
      <c r="AY754" s="3291"/>
      <c r="AZ754" s="3267" t="s">
        <v>8271</v>
      </c>
      <c r="BA754" s="3296"/>
      <c r="BB754" s="3297"/>
      <c r="BC754" s="3296"/>
      <c r="BD754" s="3298"/>
      <c r="BE754" s="3276">
        <v>13911112207</v>
      </c>
      <c r="BF754" s="3281"/>
      <c r="BG754" s="3797">
        <v>38953</v>
      </c>
      <c r="BH754" s="3267" t="s">
        <v>2998</v>
      </c>
      <c r="BI754" s="3314" t="s">
        <v>3305</v>
      </c>
      <c r="BJ754" s="3283">
        <v>38957</v>
      </c>
      <c r="BK754" s="3283"/>
      <c r="BL754" s="3791" t="s">
        <v>3249</v>
      </c>
      <c r="BM754" s="3794" t="s">
        <v>2879</v>
      </c>
      <c r="BN754" s="3794" t="s">
        <v>2999</v>
      </c>
      <c r="BO754" s="3794" t="s">
        <v>3146</v>
      </c>
      <c r="BP754" s="3794"/>
      <c r="BQ754" s="3794">
        <v>8166</v>
      </c>
      <c r="BR754" s="3794">
        <v>7021</v>
      </c>
      <c r="BS754" s="3795"/>
      <c r="BT754" s="3795"/>
      <c r="BU754" s="3795"/>
      <c r="BV754" s="3796"/>
      <c r="BW754" s="3796"/>
      <c r="BX754" s="3796"/>
      <c r="BY754" s="3796"/>
      <c r="BZ754" s="3796"/>
      <c r="CA754" s="3796"/>
      <c r="CB754" s="3796"/>
      <c r="CC754" s="3796"/>
      <c r="CD754" s="3796"/>
      <c r="CE754" s="3796"/>
      <c r="CF754" s="3796"/>
      <c r="CG754" s="3796"/>
      <c r="CH754" s="3796"/>
      <c r="CI754" s="3796"/>
      <c r="CJ754" s="3796"/>
      <c r="CK754" s="3796"/>
      <c r="CL754" s="3796"/>
      <c r="CM754" s="3796"/>
      <c r="CN754" s="3796"/>
      <c r="CO754" s="3796"/>
      <c r="CP754" s="3796"/>
      <c r="CQ754" s="3796"/>
      <c r="CR754" s="3796"/>
      <c r="CS754" s="3796"/>
      <c r="CT754" s="3796"/>
      <c r="CU754" s="3796"/>
      <c r="CV754" s="3796"/>
      <c r="CW754" s="3796"/>
      <c r="CX754" s="3796"/>
      <c r="CY754" s="3796"/>
      <c r="CZ754" s="3796"/>
      <c r="DA754" s="3796"/>
      <c r="DB754" s="3796"/>
      <c r="DC754" s="3796"/>
      <c r="DD754" s="3796"/>
      <c r="DE754" s="3796"/>
      <c r="DF754" s="3796"/>
      <c r="DG754" s="3796"/>
      <c r="DH754" s="3796"/>
      <c r="DI754" s="3796"/>
      <c r="DJ754" s="3796"/>
      <c r="DK754" s="3796"/>
      <c r="DL754" s="3796"/>
      <c r="DM754" s="3796"/>
      <c r="DN754" s="3796"/>
      <c r="DO754" s="3796"/>
      <c r="DP754" s="3796"/>
      <c r="DQ754" s="3796"/>
      <c r="DR754" s="3796"/>
      <c r="DS754" s="3796"/>
      <c r="DT754" s="3796"/>
      <c r="DU754" s="3796"/>
      <c r="DV754" s="3796"/>
      <c r="DW754" s="3796"/>
      <c r="DX754" s="3796"/>
      <c r="DY754" s="3796"/>
      <c r="DZ754" s="3796"/>
      <c r="EA754" s="3796"/>
      <c r="EB754" s="3796"/>
      <c r="EC754" s="3796"/>
      <c r="ED754" s="3796"/>
      <c r="EE754" s="3796"/>
      <c r="EF754" s="3796"/>
      <c r="EG754" s="3796"/>
      <c r="EH754" s="3796"/>
      <c r="EI754" s="3796"/>
      <c r="EJ754" s="3796"/>
      <c r="EK754" s="3796"/>
      <c r="EL754" s="3796"/>
      <c r="EM754" s="3796"/>
      <c r="EN754" s="3796"/>
      <c r="EO754" s="3796"/>
      <c r="EP754" s="3796"/>
      <c r="EQ754" s="3796"/>
      <c r="ER754" s="3796"/>
      <c r="ES754" s="3796"/>
      <c r="ET754" s="3796"/>
      <c r="EU754" s="3796"/>
      <c r="EV754" s="3796"/>
      <c r="EW754" s="3796"/>
      <c r="EX754" s="3796"/>
      <c r="EY754" s="3796"/>
      <c r="EZ754" s="3796"/>
      <c r="FA754" s="3796"/>
      <c r="FB754" s="3796"/>
      <c r="FC754" s="3796"/>
      <c r="FD754" s="3796"/>
      <c r="FE754" s="3796"/>
      <c r="FF754" s="3796"/>
      <c r="FG754" s="3796"/>
      <c r="FH754" s="3796"/>
      <c r="FI754" s="3796"/>
      <c r="FJ754" s="3796"/>
      <c r="FK754" s="3796"/>
      <c r="FL754" s="3796"/>
      <c r="FM754" s="3796"/>
      <c r="FN754" s="3796"/>
      <c r="FO754" s="3796"/>
      <c r="FP754" s="3796"/>
      <c r="FQ754" s="3796"/>
      <c r="FR754" s="3796"/>
      <c r="FS754" s="3796"/>
      <c r="FT754" s="3796"/>
      <c r="FU754" s="3796"/>
      <c r="FV754" s="3796"/>
      <c r="FW754" s="3796"/>
      <c r="FX754" s="3796"/>
      <c r="FY754" s="3796"/>
      <c r="FZ754" s="3796"/>
      <c r="GA754" s="3796"/>
      <c r="GB754" s="3796"/>
      <c r="GC754" s="3796"/>
      <c r="GD754" s="3796"/>
      <c r="GE754" s="3796"/>
      <c r="GF754" s="3796"/>
      <c r="GG754" s="3796"/>
      <c r="GH754" s="3796"/>
      <c r="GI754" s="3796"/>
      <c r="GJ754" s="3796"/>
      <c r="GK754" s="3796"/>
      <c r="GL754" s="3796"/>
      <c r="GM754" s="3796"/>
      <c r="GN754" s="3796"/>
      <c r="GO754" s="3796"/>
      <c r="GP754" s="3796"/>
      <c r="GQ754" s="3796"/>
      <c r="GR754" s="3796"/>
      <c r="GS754" s="3796"/>
      <c r="GT754" s="3796"/>
      <c r="GU754" s="3796"/>
      <c r="GV754" s="3796"/>
      <c r="GW754" s="3796"/>
      <c r="GX754" s="3796"/>
      <c r="GY754" s="3796"/>
      <c r="GZ754" s="3796"/>
      <c r="HA754" s="3796"/>
      <c r="HB754" s="3796"/>
      <c r="HC754" s="3796"/>
      <c r="HD754" s="3796"/>
      <c r="HE754" s="3796"/>
      <c r="HF754" s="3796"/>
      <c r="HG754" s="3796"/>
      <c r="HH754" s="3796"/>
      <c r="HI754" s="3796"/>
      <c r="HJ754" s="3796"/>
      <c r="HK754" s="3796"/>
      <c r="HL754" s="3796"/>
      <c r="HM754" s="3796"/>
      <c r="HN754" s="3796"/>
      <c r="HO754" s="3796"/>
      <c r="HP754" s="3796"/>
      <c r="HQ754" s="3796"/>
      <c r="HR754" s="3796"/>
      <c r="HS754" s="3796"/>
      <c r="HT754" s="3796"/>
      <c r="HU754" s="3796"/>
      <c r="HV754" s="3796"/>
      <c r="HW754" s="3796"/>
      <c r="HX754" s="3796"/>
      <c r="HY754" s="3796"/>
      <c r="HZ754" s="3796"/>
      <c r="IA754" s="3796"/>
      <c r="IB754" s="3796"/>
      <c r="IC754" s="3796"/>
      <c r="ID754" s="3796"/>
      <c r="IE754" s="3796"/>
      <c r="IF754" s="3796"/>
      <c r="IG754" s="3796"/>
      <c r="IH754" s="3796"/>
      <c r="II754" s="3796"/>
      <c r="IJ754" s="3796"/>
      <c r="IK754" s="3796"/>
      <c r="IL754" s="3796"/>
      <c r="IM754" s="3796"/>
      <c r="IN754" s="3796"/>
      <c r="IO754" s="3796"/>
      <c r="IP754" s="3796"/>
      <c r="IQ754" s="3796"/>
      <c r="IR754" s="3796"/>
      <c r="IS754" s="3796"/>
      <c r="IT754" s="3796"/>
      <c r="IU754" s="3796"/>
      <c r="IV754" s="3796"/>
      <c r="IW754" s="3796"/>
      <c r="JB754" s="3796"/>
      <c r="JH754" s="3796"/>
      <c r="JI754" s="3796"/>
      <c r="JJ754" s="3796"/>
      <c r="JN754" s="3796"/>
      <c r="JU754" s="3796"/>
      <c r="JV754" s="3796"/>
      <c r="JW754" s="3796"/>
      <c r="JX754" s="3796"/>
      <c r="JY754" s="3796"/>
      <c r="JZ754" s="3796"/>
      <c r="KA754" s="3796"/>
      <c r="KB754" s="3796"/>
      <c r="KC754" s="3796"/>
      <c r="KD754" s="3796"/>
      <c r="KE754" s="3796"/>
      <c r="KF754" s="3796"/>
      <c r="KG754" s="3796"/>
      <c r="KH754" s="3796"/>
      <c r="KI754" s="3796"/>
      <c r="KJ754" s="3796"/>
      <c r="KK754" s="3796"/>
      <c r="KL754" s="3796"/>
      <c r="KM754" s="3796"/>
      <c r="KN754" s="3796"/>
      <c r="KO754" s="3796"/>
      <c r="KP754" s="3796"/>
      <c r="KQ754" s="3796"/>
      <c r="KR754" s="3796"/>
      <c r="KS754" s="3796"/>
      <c r="KT754" s="3796"/>
      <c r="KU754" s="3796"/>
      <c r="KV754" s="3796"/>
      <c r="KW754" s="3796"/>
      <c r="KX754" s="3796"/>
      <c r="KY754" s="3796"/>
      <c r="KZ754" s="3796"/>
      <c r="LA754" s="3796"/>
      <c r="LB754" s="3796"/>
      <c r="LC754" s="3796"/>
      <c r="LD754" s="3796"/>
      <c r="LE754" s="3796"/>
      <c r="LF754" s="3796"/>
      <c r="LG754" s="3796"/>
      <c r="LH754" s="3796"/>
      <c r="LI754" s="3796"/>
      <c r="LJ754" s="3796"/>
      <c r="LK754" s="3796"/>
      <c r="LL754" s="3796"/>
      <c r="LM754" s="3796"/>
      <c r="LN754" s="3796"/>
      <c r="LO754" s="3796"/>
      <c r="LP754" s="3796"/>
      <c r="LQ754" s="3796"/>
      <c r="LR754" s="3796"/>
      <c r="LS754" s="3796"/>
      <c r="LT754" s="3796"/>
      <c r="LU754" s="3796"/>
      <c r="LV754" s="3796"/>
      <c r="LW754" s="3796"/>
      <c r="LX754" s="3796"/>
      <c r="LY754" s="3796"/>
      <c r="LZ754" s="3796"/>
      <c r="MA754" s="3796"/>
      <c r="MB754" s="3796"/>
      <c r="MC754" s="3796"/>
      <c r="MD754" s="3796"/>
      <c r="ME754" s="3796"/>
      <c r="MF754" s="3796"/>
      <c r="MG754" s="3796"/>
      <c r="MH754" s="3796"/>
      <c r="MI754" s="3796"/>
      <c r="MJ754" s="3796"/>
      <c r="MK754" s="3796"/>
      <c r="ML754" s="3796"/>
      <c r="MM754" s="3796"/>
      <c r="MN754" s="3796"/>
      <c r="MO754" s="3796"/>
      <c r="MP754" s="3796"/>
      <c r="MQ754" s="3796"/>
      <c r="MR754" s="3796"/>
      <c r="MS754" s="3796"/>
      <c r="MT754" s="3796"/>
      <c r="MU754" s="3796"/>
      <c r="MV754" s="3796"/>
      <c r="MW754" s="3796"/>
      <c r="MX754" s="3796"/>
      <c r="MY754" s="3796"/>
      <c r="MZ754" s="3796"/>
      <c r="NA754" s="3796"/>
      <c r="NB754" s="3796"/>
      <c r="NC754" s="3796"/>
      <c r="ND754" s="3796"/>
      <c r="NE754" s="3796"/>
      <c r="NF754" s="3796"/>
      <c r="NG754" s="3796"/>
      <c r="NH754" s="3796"/>
      <c r="NI754" s="3796"/>
      <c r="NJ754" s="3796"/>
      <c r="NK754" s="3796"/>
      <c r="NL754" s="3796"/>
      <c r="NM754" s="3796"/>
      <c r="NN754" s="3796"/>
      <c r="NO754" s="3796"/>
      <c r="NP754" s="3796"/>
      <c r="NQ754" s="3796"/>
      <c r="NR754" s="3796"/>
      <c r="NS754" s="3796"/>
      <c r="NT754" s="3796"/>
      <c r="NU754" s="3796"/>
      <c r="NV754" s="3796"/>
      <c r="NW754" s="3796"/>
      <c r="NX754" s="3796"/>
      <c r="NY754" s="3796"/>
      <c r="NZ754" s="3796"/>
      <c r="OA754" s="3796"/>
      <c r="OB754" s="3796"/>
      <c r="OC754" s="3796"/>
      <c r="OD754" s="3796"/>
      <c r="OE754" s="3796"/>
      <c r="OF754" s="3796"/>
      <c r="OG754" s="3796"/>
      <c r="OH754" s="3796"/>
      <c r="OI754" s="3796"/>
      <c r="OJ754" s="3796"/>
      <c r="OK754" s="3796"/>
      <c r="OL754" s="3796"/>
      <c r="OM754" s="3796"/>
      <c r="ON754" s="3796"/>
      <c r="OO754" s="3796"/>
      <c r="OP754" s="3796"/>
      <c r="OQ754" s="3796"/>
      <c r="OR754" s="3796"/>
      <c r="OS754" s="3796"/>
      <c r="OT754" s="3796"/>
      <c r="OU754" s="3796"/>
      <c r="OV754" s="3796"/>
      <c r="OW754" s="3796"/>
      <c r="OX754" s="3796"/>
      <c r="OY754" s="3796"/>
      <c r="OZ754" s="3796"/>
      <c r="PA754" s="3796"/>
      <c r="PB754" s="3796"/>
      <c r="PC754" s="3796"/>
      <c r="PD754" s="3796"/>
      <c r="PE754" s="3796"/>
      <c r="PF754" s="3796"/>
      <c r="PG754" s="3796"/>
      <c r="PH754" s="3796"/>
      <c r="PI754" s="3796"/>
      <c r="PJ754" s="3796"/>
      <c r="PK754" s="3796"/>
      <c r="PL754" s="3796"/>
      <c r="PM754" s="3796"/>
      <c r="PN754" s="3796"/>
      <c r="PO754" s="3796"/>
      <c r="PP754" s="3796"/>
      <c r="PQ754" s="3796"/>
      <c r="PR754" s="3796"/>
      <c r="PS754" s="3796"/>
      <c r="PT754" s="3796"/>
      <c r="PU754" s="3796"/>
      <c r="PV754" s="3796"/>
      <c r="PW754" s="3796"/>
      <c r="PX754" s="3796"/>
      <c r="PY754" s="3796"/>
      <c r="PZ754" s="3796"/>
      <c r="QA754" s="3796"/>
      <c r="QB754" s="3796"/>
      <c r="QC754" s="3796"/>
      <c r="QD754" s="3796"/>
      <c r="QE754" s="3796"/>
      <c r="QF754" s="3796"/>
      <c r="QG754" s="3796"/>
      <c r="QH754" s="3796"/>
      <c r="QI754" s="3796"/>
      <c r="QJ754" s="3796"/>
      <c r="QK754" s="3796"/>
      <c r="QL754" s="3796"/>
      <c r="QM754" s="3796"/>
      <c r="QN754" s="3796"/>
      <c r="QO754" s="3796"/>
      <c r="QP754" s="3796"/>
      <c r="QQ754" s="3796"/>
      <c r="QR754" s="3796"/>
      <c r="QS754" s="3796"/>
      <c r="QT754" s="3796"/>
      <c r="QU754" s="3796"/>
      <c r="QV754" s="3796"/>
      <c r="QW754" s="3796"/>
      <c r="QX754" s="3796"/>
      <c r="QY754" s="3796"/>
      <c r="QZ754" s="3796"/>
      <c r="RA754" s="3796"/>
      <c r="RB754" s="3796"/>
      <c r="RC754" s="3796"/>
      <c r="RD754" s="3796"/>
      <c r="RE754" s="3796"/>
      <c r="RF754" s="3796"/>
      <c r="RG754" s="3796"/>
      <c r="RH754" s="3796"/>
      <c r="RI754" s="3796"/>
      <c r="RJ754" s="3796"/>
      <c r="RK754" s="3796"/>
      <c r="RL754" s="3796"/>
      <c r="RM754" s="3796"/>
      <c r="RN754" s="3796"/>
      <c r="RO754" s="3796"/>
      <c r="RP754" s="3796"/>
      <c r="RQ754" s="3796"/>
      <c r="RR754" s="3796"/>
      <c r="RS754" s="3796"/>
      <c r="RT754" s="3796"/>
      <c r="RU754" s="3796"/>
      <c r="RV754" s="3796"/>
      <c r="RW754" s="3796"/>
      <c r="RX754" s="3796"/>
      <c r="RY754" s="3796"/>
      <c r="RZ754" s="3796"/>
      <c r="SA754" s="3796"/>
      <c r="SB754" s="3796"/>
      <c r="SC754" s="3796"/>
      <c r="SD754" s="3796"/>
      <c r="SE754" s="3796"/>
      <c r="SF754" s="3796"/>
      <c r="SG754" s="3796"/>
      <c r="SH754" s="3796"/>
      <c r="SI754" s="3796"/>
      <c r="SJ754" s="3796"/>
      <c r="SK754" s="3796"/>
      <c r="SL754" s="3796"/>
      <c r="SM754" s="3796"/>
      <c r="SN754" s="3796"/>
      <c r="SO754" s="3796"/>
      <c r="SP754" s="3796"/>
      <c r="SQ754" s="3796"/>
      <c r="SR754" s="3796"/>
      <c r="SS754" s="3796"/>
      <c r="SX754" s="3796"/>
      <c r="TD754" s="3796"/>
      <c r="TE754" s="3796"/>
      <c r="TF754" s="3796"/>
      <c r="TJ754" s="3796"/>
      <c r="TQ754" s="3796"/>
      <c r="TR754" s="3796"/>
      <c r="TS754" s="3796"/>
      <c r="TT754" s="3796"/>
      <c r="TU754" s="3796"/>
      <c r="TV754" s="3796"/>
      <c r="TW754" s="3796"/>
      <c r="TX754" s="3796"/>
      <c r="TY754" s="3796"/>
      <c r="TZ754" s="3796"/>
      <c r="UA754" s="3796"/>
      <c r="UB754" s="3796"/>
      <c r="UC754" s="3796"/>
      <c r="UD754" s="3796"/>
      <c r="UE754" s="3796"/>
      <c r="UF754" s="3796"/>
      <c r="UG754" s="3796"/>
      <c r="UH754" s="3796"/>
      <c r="UI754" s="3796"/>
      <c r="UJ754" s="3796"/>
      <c r="UK754" s="3796"/>
      <c r="UL754" s="3796"/>
      <c r="UM754" s="3796"/>
      <c r="UN754" s="3796"/>
      <c r="UO754" s="3796"/>
      <c r="UP754" s="3796"/>
      <c r="UQ754" s="3796"/>
      <c r="UR754" s="3796"/>
      <c r="US754" s="3796"/>
      <c r="UT754" s="3796"/>
      <c r="UU754" s="3796"/>
      <c r="UV754" s="3796"/>
      <c r="UW754" s="3796"/>
      <c r="UX754" s="3796"/>
      <c r="UY754" s="3796"/>
      <c r="UZ754" s="3796"/>
      <c r="VA754" s="3796"/>
      <c r="VB754" s="3796"/>
      <c r="VC754" s="3796"/>
      <c r="VD754" s="3796"/>
      <c r="VE754" s="3796"/>
      <c r="VF754" s="3796"/>
      <c r="VG754" s="3796"/>
      <c r="VH754" s="3796"/>
      <c r="VI754" s="3796"/>
      <c r="VJ754" s="3796"/>
      <c r="VK754" s="3796"/>
      <c r="VL754" s="3796"/>
      <c r="VM754" s="3796"/>
      <c r="VN754" s="3796"/>
      <c r="VO754" s="3796"/>
      <c r="VP754" s="3796"/>
      <c r="VQ754" s="3796"/>
      <c r="VR754" s="3796"/>
      <c r="VS754" s="3796"/>
      <c r="VT754" s="3796"/>
      <c r="VU754" s="3796"/>
      <c r="VV754" s="3796"/>
      <c r="VW754" s="3796"/>
      <c r="VX754" s="3796"/>
      <c r="VY754" s="3796"/>
      <c r="VZ754" s="3796"/>
      <c r="WA754" s="3796"/>
      <c r="WB754" s="3796"/>
      <c r="WC754" s="3796"/>
      <c r="WD754" s="3796"/>
      <c r="WE754" s="3796"/>
      <c r="WF754" s="3796"/>
      <c r="WG754" s="3796"/>
      <c r="WH754" s="3796"/>
      <c r="WI754" s="3796"/>
      <c r="WJ754" s="3796"/>
      <c r="WK754" s="3796"/>
      <c r="WL754" s="3796"/>
      <c r="WM754" s="3796"/>
      <c r="WN754" s="3796"/>
      <c r="WO754" s="3796"/>
      <c r="WP754" s="3796"/>
      <c r="WQ754" s="3796"/>
      <c r="WR754" s="3796"/>
      <c r="WS754" s="3796"/>
      <c r="WT754" s="3796"/>
      <c r="WU754" s="3796"/>
      <c r="WV754" s="3796"/>
      <c r="WW754" s="3796"/>
      <c r="WX754" s="3796"/>
      <c r="WY754" s="3796"/>
      <c r="WZ754" s="3796"/>
      <c r="XA754" s="3796"/>
      <c r="XB754" s="3796"/>
      <c r="XC754" s="3796"/>
      <c r="XD754" s="3796"/>
      <c r="XE754" s="3796"/>
      <c r="XF754" s="3796"/>
      <c r="XG754" s="3796"/>
      <c r="XH754" s="3796"/>
      <c r="XI754" s="3796"/>
      <c r="XJ754" s="3796"/>
      <c r="XK754" s="3796"/>
      <c r="XL754" s="3796"/>
      <c r="XM754" s="3796"/>
      <c r="XN754" s="3796"/>
      <c r="XO754" s="3796"/>
      <c r="XP754" s="3796"/>
      <c r="XQ754" s="3796"/>
      <c r="XR754" s="3796"/>
      <c r="XS754" s="3796"/>
      <c r="XT754" s="3796"/>
      <c r="XU754" s="3796"/>
      <c r="XV754" s="3796"/>
      <c r="XW754" s="3796"/>
      <c r="XX754" s="3796"/>
      <c r="XY754" s="3796"/>
      <c r="XZ754" s="3796"/>
      <c r="YA754" s="3796"/>
      <c r="YB754" s="3796"/>
      <c r="YC754" s="3796"/>
      <c r="YD754" s="3796"/>
      <c r="YE754" s="3796"/>
      <c r="YF754" s="3796"/>
      <c r="YG754" s="3796"/>
      <c r="YH754" s="3796"/>
      <c r="YI754" s="3796"/>
      <c r="YJ754" s="3796"/>
      <c r="YK754" s="3796"/>
      <c r="YL754" s="3796"/>
      <c r="YM754" s="3796"/>
      <c r="YN754" s="3796"/>
      <c r="YO754" s="3796"/>
      <c r="YP754" s="3796"/>
      <c r="YQ754" s="3796"/>
      <c r="YR754" s="3796"/>
      <c r="YS754" s="3796"/>
      <c r="YT754" s="3796"/>
      <c r="YU754" s="3796"/>
      <c r="YV754" s="3796"/>
      <c r="YW754" s="3796"/>
      <c r="YX754" s="3796"/>
      <c r="YY754" s="3796"/>
      <c r="YZ754" s="3796"/>
      <c r="ZA754" s="3796"/>
      <c r="ZB754" s="3796"/>
      <c r="ZC754" s="3796"/>
      <c r="ZD754" s="3796"/>
      <c r="ZE754" s="3796"/>
      <c r="ZF754" s="3796"/>
      <c r="ZG754" s="3796"/>
      <c r="ZH754" s="3796"/>
      <c r="ZI754" s="3796"/>
      <c r="ZJ754" s="3796"/>
      <c r="ZK754" s="3796"/>
      <c r="ZL754" s="3796"/>
      <c r="ZM754" s="3796"/>
      <c r="ZN754" s="3796"/>
      <c r="ZO754" s="3796"/>
      <c r="ZP754" s="3796"/>
      <c r="ZQ754" s="3796"/>
      <c r="ZR754" s="3796"/>
      <c r="ZS754" s="3796"/>
      <c r="ZT754" s="3796"/>
      <c r="ZU754" s="3796"/>
      <c r="ZV754" s="3796"/>
      <c r="ZW754" s="3796"/>
      <c r="ZX754" s="3796"/>
      <c r="ZY754" s="3796"/>
      <c r="ZZ754" s="3796"/>
      <c r="AAA754" s="3796"/>
      <c r="AAB754" s="3796"/>
      <c r="AAC754" s="3796"/>
      <c r="AAD754" s="3796"/>
      <c r="AAE754" s="3796"/>
      <c r="AAF754" s="3796"/>
      <c r="AAG754" s="3796"/>
      <c r="AAH754" s="3796"/>
      <c r="AAI754" s="3796"/>
      <c r="AAJ754" s="3796"/>
      <c r="AAK754" s="3796"/>
      <c r="AAL754" s="3796"/>
      <c r="AAM754" s="3796"/>
      <c r="AAN754" s="3796"/>
      <c r="AAO754" s="3796"/>
      <c r="AAP754" s="3796"/>
      <c r="AAQ754" s="3796"/>
      <c r="AAR754" s="3796"/>
      <c r="AAS754" s="3796"/>
      <c r="AAT754" s="3796"/>
      <c r="AAU754" s="3796"/>
      <c r="AAV754" s="3796"/>
      <c r="AAW754" s="3796"/>
      <c r="AAX754" s="3796"/>
      <c r="AAY754" s="3796"/>
      <c r="AAZ754" s="3796"/>
      <c r="ABA754" s="3796"/>
      <c r="ABB754" s="3796"/>
      <c r="ABC754" s="3796"/>
      <c r="ABD754" s="3796"/>
      <c r="ABE754" s="3796"/>
      <c r="ABF754" s="3796"/>
      <c r="ABG754" s="3796"/>
      <c r="ABH754" s="3796"/>
      <c r="ABI754" s="3796"/>
      <c r="ABJ754" s="3796"/>
      <c r="ABK754" s="3796"/>
      <c r="ABL754" s="3796"/>
      <c r="ABM754" s="3796"/>
      <c r="ABN754" s="3796"/>
      <c r="ABO754" s="3796"/>
      <c r="ABP754" s="3796"/>
      <c r="ABQ754" s="3796"/>
      <c r="ABR754" s="3796"/>
      <c r="ABS754" s="3796"/>
      <c r="ABT754" s="3796"/>
      <c r="ABU754" s="3796"/>
      <c r="ABV754" s="3796"/>
      <c r="ABW754" s="3796"/>
      <c r="ABX754" s="3796"/>
      <c r="ABY754" s="3796"/>
      <c r="ABZ754" s="3796"/>
      <c r="ACA754" s="3796"/>
      <c r="ACB754" s="3796"/>
      <c r="ACC754" s="3796"/>
      <c r="ACD754" s="3796"/>
      <c r="ACE754" s="3796"/>
      <c r="ACF754" s="3796"/>
      <c r="ACG754" s="3796"/>
      <c r="ACH754" s="3796"/>
      <c r="ACI754" s="3796"/>
      <c r="ACJ754" s="3796"/>
      <c r="ACK754" s="3796"/>
      <c r="ACL754" s="3796"/>
      <c r="ACM754" s="3796"/>
      <c r="ACN754" s="3796"/>
      <c r="ACO754" s="3796"/>
      <c r="ACT754" s="3796"/>
      <c r="ACZ754" s="3796"/>
      <c r="ADA754" s="3796"/>
      <c r="ADB754" s="3796"/>
      <c r="ADF754" s="3796"/>
      <c r="ADM754" s="3796"/>
      <c r="ADN754" s="3796"/>
      <c r="ADO754" s="3796"/>
      <c r="ADP754" s="3796"/>
      <c r="ADQ754" s="3796"/>
      <c r="ADR754" s="3796"/>
      <c r="ADS754" s="3796"/>
      <c r="ADT754" s="3796"/>
      <c r="ADU754" s="3796"/>
      <c r="ADV754" s="3796"/>
      <c r="ADW754" s="3796"/>
      <c r="ADX754" s="3796"/>
      <c r="ADY754" s="3796"/>
      <c r="ADZ754" s="3796"/>
      <c r="AEA754" s="3796"/>
      <c r="AEB754" s="3796"/>
      <c r="AEC754" s="3796"/>
      <c r="AED754" s="3796"/>
      <c r="AEE754" s="3796"/>
      <c r="AEF754" s="3796"/>
      <c r="AEG754" s="3796"/>
      <c r="AEH754" s="3796"/>
      <c r="AEI754" s="3796"/>
      <c r="AEJ754" s="3796"/>
      <c r="AEK754" s="3796"/>
      <c r="AEL754" s="3796"/>
      <c r="AEM754" s="3796"/>
      <c r="AEN754" s="3796"/>
      <c r="AEO754" s="3796"/>
      <c r="AEP754" s="3796"/>
      <c r="AEQ754" s="3796"/>
      <c r="AER754" s="3796"/>
      <c r="AES754" s="3796"/>
      <c r="AET754" s="3796"/>
      <c r="AEU754" s="3796"/>
      <c r="AEV754" s="3796"/>
      <c r="AEW754" s="3796"/>
      <c r="AEX754" s="3796"/>
      <c r="AEY754" s="3796"/>
      <c r="AEZ754" s="3796"/>
      <c r="AFA754" s="3796"/>
      <c r="AFB754" s="3796"/>
      <c r="AFC754" s="3796"/>
      <c r="AFD754" s="3796"/>
      <c r="AFE754" s="3796"/>
      <c r="AFF754" s="3796"/>
      <c r="AFG754" s="3796"/>
      <c r="AFH754" s="3796"/>
      <c r="AFI754" s="3796"/>
      <c r="AFJ754" s="3796"/>
      <c r="AFK754" s="3796"/>
      <c r="AFL754" s="3796"/>
      <c r="AFM754" s="3796"/>
      <c r="AFN754" s="3796"/>
      <c r="AFO754" s="3796"/>
      <c r="AFP754" s="3796"/>
      <c r="AFQ754" s="3796"/>
      <c r="AFR754" s="3796"/>
      <c r="AFS754" s="3796"/>
      <c r="AFT754" s="3796"/>
      <c r="AFU754" s="3796"/>
      <c r="AFV754" s="3796"/>
      <c r="AFW754" s="3796"/>
      <c r="AFX754" s="3796"/>
      <c r="AFY754" s="3796"/>
      <c r="AFZ754" s="3796"/>
      <c r="AGA754" s="3796"/>
      <c r="AGB754" s="3796"/>
      <c r="AGC754" s="3796"/>
      <c r="AGD754" s="3796"/>
      <c r="AGE754" s="3796"/>
      <c r="AGF754" s="3796"/>
      <c r="AGG754" s="3796"/>
      <c r="AGH754" s="3796"/>
      <c r="AGI754" s="3796"/>
      <c r="AGJ754" s="3796"/>
      <c r="AGK754" s="3796"/>
      <c r="AGL754" s="3796"/>
      <c r="AGM754" s="3796"/>
      <c r="AGN754" s="3796"/>
      <c r="AGO754" s="3796"/>
      <c r="AGP754" s="3796"/>
      <c r="AGQ754" s="3796"/>
      <c r="AGR754" s="3796"/>
      <c r="AGS754" s="3796"/>
      <c r="AGT754" s="3796"/>
      <c r="AGU754" s="3796"/>
      <c r="AGV754" s="3796"/>
      <c r="AGW754" s="3796"/>
      <c r="AGX754" s="3796"/>
      <c r="AGY754" s="3796"/>
      <c r="AGZ754" s="3796"/>
      <c r="AHA754" s="3796"/>
      <c r="AHB754" s="3796"/>
      <c r="AHC754" s="3796"/>
      <c r="AHD754" s="3796"/>
      <c r="AHE754" s="3796"/>
      <c r="AHF754" s="3796"/>
      <c r="AHG754" s="3796"/>
      <c r="AHH754" s="3796"/>
      <c r="AHI754" s="3796"/>
      <c r="AHJ754" s="3796"/>
      <c r="AHK754" s="3796"/>
      <c r="AHL754" s="3796"/>
      <c r="AHM754" s="3796"/>
      <c r="AHN754" s="3796"/>
      <c r="AHO754" s="3796"/>
      <c r="AHP754" s="3796"/>
      <c r="AHQ754" s="3796"/>
      <c r="AHR754" s="3796"/>
      <c r="AHS754" s="3796"/>
      <c r="AHT754" s="3796"/>
      <c r="AHU754" s="3796"/>
      <c r="AHV754" s="3796"/>
      <c r="AHW754" s="3796"/>
      <c r="AHX754" s="3796"/>
      <c r="AHY754" s="3796"/>
      <c r="AHZ754" s="3796"/>
      <c r="AIA754" s="3796"/>
      <c r="AIB754" s="3796"/>
      <c r="AIC754" s="3796"/>
      <c r="AID754" s="3796"/>
      <c r="AIE754" s="3796"/>
      <c r="AIF754" s="3796"/>
      <c r="AIG754" s="3796"/>
      <c r="AIH754" s="3796"/>
      <c r="AII754" s="3796"/>
      <c r="AIJ754" s="3796"/>
      <c r="AIK754" s="3796"/>
      <c r="AIL754" s="3796"/>
      <c r="AIM754" s="3796"/>
      <c r="AIN754" s="3796"/>
      <c r="AIO754" s="3796"/>
      <c r="AIP754" s="3796"/>
      <c r="AIQ754" s="3796"/>
      <c r="AIR754" s="3796"/>
      <c r="AIS754" s="3796"/>
      <c r="AIT754" s="3796"/>
      <c r="AIU754" s="3796"/>
      <c r="AIV754" s="3796"/>
      <c r="AIW754" s="3796"/>
      <c r="AIX754" s="3796"/>
      <c r="AIY754" s="3796"/>
      <c r="AIZ754" s="3796"/>
      <c r="AJA754" s="3796"/>
      <c r="AJB754" s="3796"/>
      <c r="AJC754" s="3796"/>
      <c r="AJD754" s="3796"/>
      <c r="AJE754" s="3796"/>
      <c r="AJF754" s="3796"/>
      <c r="AJG754" s="3796"/>
      <c r="AJH754" s="3796"/>
      <c r="AJI754" s="3796"/>
      <c r="AJJ754" s="3796"/>
      <c r="AJK754" s="3796"/>
      <c r="AJL754" s="3796"/>
      <c r="AJM754" s="3796"/>
      <c r="AJN754" s="3796"/>
      <c r="AJO754" s="3796"/>
      <c r="AJP754" s="3796"/>
      <c r="AJQ754" s="3796"/>
      <c r="AJR754" s="3796"/>
      <c r="AJS754" s="3796"/>
      <c r="AJT754" s="3796"/>
      <c r="AJU754" s="3796"/>
      <c r="AJV754" s="3796"/>
      <c r="AJW754" s="3796"/>
      <c r="AJX754" s="3796"/>
      <c r="AJY754" s="3796"/>
      <c r="AJZ754" s="3796"/>
      <c r="AKA754" s="3796"/>
      <c r="AKB754" s="3796"/>
      <c r="AKC754" s="3796"/>
      <c r="AKD754" s="3796"/>
      <c r="AKE754" s="3796"/>
      <c r="AKF754" s="3796"/>
      <c r="AKG754" s="3796"/>
      <c r="AKH754" s="3796"/>
      <c r="AKI754" s="3796"/>
      <c r="AKJ754" s="3796"/>
      <c r="AKK754" s="3796"/>
      <c r="AKL754" s="3796"/>
      <c r="AKM754" s="3796"/>
      <c r="AKN754" s="3796"/>
      <c r="AKO754" s="3796"/>
      <c r="AKP754" s="3796"/>
      <c r="AKQ754" s="3796"/>
      <c r="AKR754" s="3796"/>
      <c r="AKS754" s="3796"/>
      <c r="AKT754" s="3796"/>
      <c r="AKU754" s="3796"/>
      <c r="AKV754" s="3796"/>
      <c r="AKW754" s="3796"/>
      <c r="AKX754" s="3796"/>
      <c r="AKY754" s="3796"/>
      <c r="AKZ754" s="3796"/>
      <c r="ALA754" s="3796"/>
      <c r="ALB754" s="3796"/>
      <c r="ALC754" s="3796"/>
      <c r="ALD754" s="3796"/>
      <c r="ALE754" s="3796"/>
      <c r="ALF754" s="3796"/>
      <c r="ALG754" s="3796"/>
      <c r="ALH754" s="3796"/>
      <c r="ALI754" s="3796"/>
      <c r="ALJ754" s="3796"/>
      <c r="ALK754" s="3796"/>
      <c r="ALL754" s="3796"/>
      <c r="ALM754" s="3796"/>
      <c r="ALN754" s="3796"/>
      <c r="ALO754" s="3796"/>
      <c r="ALP754" s="3796"/>
      <c r="ALQ754" s="3796"/>
      <c r="ALR754" s="3796"/>
      <c r="ALS754" s="3796"/>
      <c r="ALT754" s="3796"/>
      <c r="ALU754" s="3796"/>
      <c r="ALV754" s="3796"/>
      <c r="ALW754" s="3796"/>
      <c r="ALX754" s="3796"/>
      <c r="ALY754" s="3796"/>
      <c r="ALZ754" s="3796"/>
      <c r="AMA754" s="3796"/>
      <c r="AMB754" s="3796"/>
      <c r="AMC754" s="3796"/>
      <c r="AMD754" s="3796"/>
      <c r="AME754" s="3796"/>
      <c r="AMF754" s="3796"/>
      <c r="AMG754" s="3796"/>
      <c r="AMH754" s="3796"/>
      <c r="AMI754" s="3796"/>
      <c r="AMJ754" s="3796"/>
      <c r="AMK754" s="3796"/>
      <c r="AMP754" s="3796"/>
      <c r="AMV754" s="3796"/>
      <c r="AMW754" s="3796"/>
      <c r="AMX754" s="3796"/>
      <c r="ANB754" s="3796"/>
      <c r="ANI754" s="3796"/>
      <c r="ANJ754" s="3796"/>
      <c r="ANK754" s="3796"/>
      <c r="ANL754" s="3796"/>
      <c r="ANM754" s="3796"/>
      <c r="ANN754" s="3796"/>
      <c r="ANO754" s="3796"/>
      <c r="ANP754" s="3796"/>
      <c r="ANQ754" s="3796"/>
      <c r="ANR754" s="3796"/>
      <c r="ANS754" s="3796"/>
      <c r="ANT754" s="3796"/>
      <c r="ANU754" s="3796"/>
      <c r="ANV754" s="3796"/>
      <c r="ANW754" s="3796"/>
      <c r="ANX754" s="3796"/>
      <c r="ANY754" s="3796"/>
      <c r="ANZ754" s="3796"/>
      <c r="AOA754" s="3796"/>
      <c r="AOB754" s="3796"/>
      <c r="AOC754" s="3796"/>
      <c r="AOD754" s="3796"/>
      <c r="AOE754" s="3796"/>
      <c r="AOF754" s="3796"/>
      <c r="AOG754" s="3796"/>
      <c r="AOH754" s="3796"/>
      <c r="AOI754" s="3796"/>
      <c r="AOJ754" s="3796"/>
      <c r="AOK754" s="3796"/>
      <c r="AOL754" s="3796"/>
      <c r="AOM754" s="3796"/>
      <c r="AON754" s="3796"/>
      <c r="AOO754" s="3796"/>
      <c r="AOP754" s="3796"/>
      <c r="AOQ754" s="3796"/>
      <c r="AOR754" s="3796"/>
      <c r="AOS754" s="3796"/>
      <c r="AOT754" s="3796"/>
      <c r="AOU754" s="3796"/>
      <c r="AOV754" s="3796"/>
      <c r="AOW754" s="3796"/>
      <c r="AOX754" s="3796"/>
      <c r="AOY754" s="3796"/>
      <c r="AOZ754" s="3796"/>
      <c r="APA754" s="3796"/>
      <c r="APB754" s="3796"/>
      <c r="APC754" s="3796"/>
      <c r="APD754" s="3796"/>
      <c r="APE754" s="3796"/>
      <c r="APF754" s="3796"/>
      <c r="APG754" s="3796"/>
      <c r="APH754" s="3796"/>
      <c r="API754" s="3796"/>
      <c r="APJ754" s="3796"/>
      <c r="APK754" s="3796"/>
      <c r="APL754" s="3796"/>
      <c r="APM754" s="3796"/>
      <c r="APN754" s="3796"/>
      <c r="APO754" s="3796"/>
      <c r="APP754" s="3796"/>
      <c r="APQ754" s="3796"/>
      <c r="APR754" s="3796"/>
      <c r="APS754" s="3796"/>
      <c r="APT754" s="3796"/>
      <c r="APU754" s="3796"/>
      <c r="APV754" s="3796"/>
      <c r="APW754" s="3796"/>
      <c r="APX754" s="3796"/>
      <c r="APY754" s="3796"/>
      <c r="APZ754" s="3796"/>
      <c r="AQA754" s="3796"/>
      <c r="AQB754" s="3796"/>
      <c r="AQC754" s="3796"/>
      <c r="AQD754" s="3796"/>
      <c r="AQE754" s="3796"/>
      <c r="AQF754" s="3796"/>
      <c r="AQG754" s="3796"/>
      <c r="AQH754" s="3796"/>
      <c r="AQI754" s="3796"/>
      <c r="AQJ754" s="3796"/>
      <c r="AQK754" s="3796"/>
      <c r="AQL754" s="3796"/>
      <c r="AQM754" s="3796"/>
      <c r="AQN754" s="3796"/>
      <c r="AQO754" s="3796"/>
      <c r="AQP754" s="3796"/>
      <c r="AQQ754" s="3796"/>
      <c r="AQR754" s="3796"/>
      <c r="AQS754" s="3796"/>
      <c r="AQT754" s="3796"/>
      <c r="AQU754" s="3796"/>
      <c r="AQV754" s="3796"/>
      <c r="AQW754" s="3796"/>
      <c r="AQX754" s="3796"/>
      <c r="AQY754" s="3796"/>
      <c r="AQZ754" s="3796"/>
      <c r="ARA754" s="3796"/>
      <c r="ARB754" s="3796"/>
      <c r="ARC754" s="3796"/>
      <c r="ARD754" s="3796"/>
      <c r="ARE754" s="3796"/>
      <c r="ARF754" s="3796"/>
      <c r="ARG754" s="3796"/>
      <c r="ARH754" s="3796"/>
      <c r="ARI754" s="3796"/>
      <c r="ARJ754" s="3796"/>
      <c r="ARK754" s="3796"/>
      <c r="ARL754" s="3796"/>
      <c r="ARM754" s="3796"/>
      <c r="ARN754" s="3796"/>
      <c r="ARO754" s="3796"/>
      <c r="ARP754" s="3796"/>
      <c r="ARQ754" s="3796"/>
      <c r="ARR754" s="3796"/>
      <c r="ARS754" s="3796"/>
      <c r="ART754" s="3796"/>
      <c r="ARU754" s="3796"/>
      <c r="ARV754" s="3796"/>
      <c r="ARW754" s="3796"/>
      <c r="ARX754" s="3796"/>
      <c r="ARY754" s="3796"/>
      <c r="ARZ754" s="3796"/>
      <c r="ASA754" s="3796"/>
      <c r="ASB754" s="3796"/>
      <c r="ASC754" s="3796"/>
      <c r="ASD754" s="3796"/>
      <c r="ASE754" s="3796"/>
      <c r="ASF754" s="3796"/>
      <c r="ASG754" s="3796"/>
      <c r="ASH754" s="3796"/>
      <c r="ASI754" s="3796"/>
      <c r="ASJ754" s="3796"/>
      <c r="ASK754" s="3796"/>
      <c r="ASL754" s="3796"/>
      <c r="ASM754" s="3796"/>
      <c r="ASN754" s="3796"/>
      <c r="ASO754" s="3796"/>
      <c r="ASP754" s="3796"/>
      <c r="ASQ754" s="3796"/>
      <c r="ASR754" s="3796"/>
      <c r="ASS754" s="3796"/>
      <c r="AST754" s="3796"/>
      <c r="ASU754" s="3796"/>
      <c r="ASV754" s="3796"/>
      <c r="ASW754" s="3796"/>
      <c r="ASX754" s="3796"/>
      <c r="ASY754" s="3796"/>
      <c r="ASZ754" s="3796"/>
      <c r="ATA754" s="3796"/>
      <c r="ATB754" s="3796"/>
      <c r="ATC754" s="3796"/>
      <c r="ATD754" s="3796"/>
      <c r="ATE754" s="3796"/>
      <c r="ATF754" s="3796"/>
      <c r="ATG754" s="3796"/>
      <c r="ATH754" s="3796"/>
      <c r="ATI754" s="3796"/>
      <c r="ATJ754" s="3796"/>
      <c r="ATK754" s="3796"/>
      <c r="ATL754" s="3796"/>
      <c r="ATM754" s="3796"/>
      <c r="ATN754" s="3796"/>
      <c r="ATO754" s="3796"/>
      <c r="ATP754" s="3796"/>
      <c r="ATQ754" s="3796"/>
      <c r="ATR754" s="3796"/>
      <c r="ATS754" s="3796"/>
      <c r="ATT754" s="3796"/>
      <c r="ATU754" s="3796"/>
      <c r="ATV754" s="3796"/>
      <c r="ATW754" s="3796"/>
      <c r="ATX754" s="3796"/>
      <c r="ATY754" s="3796"/>
      <c r="ATZ754" s="3796"/>
      <c r="AUA754" s="3796"/>
      <c r="AUB754" s="3796"/>
      <c r="AUC754" s="3796"/>
      <c r="AUD754" s="3796"/>
      <c r="AUE754" s="3796"/>
      <c r="AUF754" s="3796"/>
      <c r="AUG754" s="3796"/>
      <c r="AUH754" s="3796"/>
      <c r="AUI754" s="3796"/>
      <c r="AUJ754" s="3796"/>
      <c r="AUK754" s="3796"/>
      <c r="AUL754" s="3796"/>
      <c r="AUM754" s="3796"/>
      <c r="AUN754" s="3796"/>
      <c r="AUO754" s="3796"/>
      <c r="AUP754" s="3796"/>
      <c r="AUQ754" s="3796"/>
      <c r="AUR754" s="3796"/>
      <c r="AUS754" s="3796"/>
      <c r="AUT754" s="3796"/>
      <c r="AUU754" s="3796"/>
      <c r="AUV754" s="3796"/>
      <c r="AUW754" s="3796"/>
      <c r="AUX754" s="3796"/>
      <c r="AUY754" s="3796"/>
      <c r="AUZ754" s="3796"/>
      <c r="AVA754" s="3796"/>
      <c r="AVB754" s="3796"/>
      <c r="AVC754" s="3796"/>
      <c r="AVD754" s="3796"/>
      <c r="AVE754" s="3796"/>
      <c r="AVF754" s="3796"/>
      <c r="AVG754" s="3796"/>
      <c r="AVH754" s="3796"/>
      <c r="AVI754" s="3796"/>
      <c r="AVJ754" s="3796"/>
      <c r="AVK754" s="3796"/>
      <c r="AVL754" s="3796"/>
      <c r="AVM754" s="3796"/>
      <c r="AVN754" s="3796"/>
      <c r="AVO754" s="3796"/>
      <c r="AVP754" s="3796"/>
      <c r="AVQ754" s="3796"/>
      <c r="AVR754" s="3796"/>
      <c r="AVS754" s="3796"/>
      <c r="AVT754" s="3796"/>
      <c r="AVU754" s="3796"/>
      <c r="AVV754" s="3796"/>
      <c r="AVW754" s="3796"/>
      <c r="AVX754" s="3796"/>
      <c r="AVY754" s="3796"/>
      <c r="AVZ754" s="3796"/>
      <c r="AWA754" s="3796"/>
      <c r="AWB754" s="3796"/>
      <c r="AWC754" s="3796"/>
      <c r="AWD754" s="3796"/>
      <c r="AWE754" s="3796"/>
      <c r="AWF754" s="3796"/>
      <c r="AWG754" s="3796"/>
      <c r="AWL754" s="3796"/>
      <c r="AWR754" s="3796"/>
      <c r="AWS754" s="3796"/>
      <c r="AWT754" s="3796"/>
      <c r="AWX754" s="3796"/>
      <c r="AXE754" s="3796"/>
      <c r="AXF754" s="3796"/>
      <c r="AXG754" s="3796"/>
      <c r="AXH754" s="3796"/>
      <c r="AXI754" s="3796"/>
      <c r="AXJ754" s="3796"/>
      <c r="AXK754" s="3796"/>
      <c r="AXL754" s="3796"/>
      <c r="AXM754" s="3796"/>
      <c r="AXN754" s="3796"/>
      <c r="AXO754" s="3796"/>
      <c r="AXP754" s="3796"/>
      <c r="AXQ754" s="3796"/>
      <c r="AXR754" s="3796"/>
      <c r="AXS754" s="3796"/>
      <c r="AXT754" s="3796"/>
      <c r="AXU754" s="3796"/>
      <c r="AXV754" s="3796"/>
      <c r="AXW754" s="3796"/>
      <c r="AXX754" s="3796"/>
      <c r="AXY754" s="3796"/>
      <c r="AXZ754" s="3796"/>
      <c r="AYA754" s="3796"/>
      <c r="AYB754" s="3796"/>
      <c r="AYC754" s="3796"/>
      <c r="AYD754" s="3796"/>
      <c r="AYE754" s="3796"/>
      <c r="AYF754" s="3796"/>
      <c r="AYG754" s="3796"/>
      <c r="AYH754" s="3796"/>
      <c r="AYI754" s="3796"/>
      <c r="AYJ754" s="3796"/>
      <c r="AYK754" s="3796"/>
      <c r="AYL754" s="3796"/>
      <c r="AYM754" s="3796"/>
      <c r="AYN754" s="3796"/>
      <c r="AYO754" s="3796"/>
      <c r="AYP754" s="3796"/>
      <c r="AYQ754" s="3796"/>
      <c r="AYR754" s="3796"/>
      <c r="AYS754" s="3796"/>
      <c r="AYT754" s="3796"/>
      <c r="AYU754" s="3796"/>
      <c r="AYV754" s="3796"/>
      <c r="AYW754" s="3796"/>
      <c r="AYX754" s="3796"/>
      <c r="AYY754" s="3796"/>
      <c r="AYZ754" s="3796"/>
      <c r="AZA754" s="3796"/>
      <c r="AZB754" s="3796"/>
      <c r="AZC754" s="3796"/>
      <c r="AZD754" s="3796"/>
      <c r="AZE754" s="3796"/>
      <c r="AZF754" s="3796"/>
      <c r="AZG754" s="3796"/>
      <c r="AZH754" s="3796"/>
      <c r="AZI754" s="3796"/>
      <c r="AZJ754" s="3796"/>
      <c r="AZK754" s="3796"/>
      <c r="AZL754" s="3796"/>
      <c r="AZM754" s="3796"/>
      <c r="AZN754" s="3796"/>
      <c r="AZO754" s="3796"/>
      <c r="AZP754" s="3796"/>
      <c r="AZQ754" s="3796"/>
      <c r="AZR754" s="3796"/>
      <c r="AZS754" s="3796"/>
      <c r="AZT754" s="3796"/>
      <c r="AZU754" s="3796"/>
      <c r="AZV754" s="3796"/>
      <c r="AZW754" s="3796"/>
      <c r="AZX754" s="3796"/>
      <c r="AZY754" s="3796"/>
      <c r="AZZ754" s="3796"/>
      <c r="BAA754" s="3796"/>
      <c r="BAB754" s="3796"/>
      <c r="BAC754" s="3796"/>
      <c r="BAD754" s="3796"/>
      <c r="BAE754" s="3796"/>
      <c r="BAF754" s="3796"/>
      <c r="BAG754" s="3796"/>
      <c r="BAH754" s="3796"/>
      <c r="BAI754" s="3796"/>
      <c r="BAJ754" s="3796"/>
      <c r="BAK754" s="3796"/>
      <c r="BAL754" s="3796"/>
      <c r="BAM754" s="3796"/>
      <c r="BAN754" s="3796"/>
      <c r="BAO754" s="3796"/>
      <c r="BAP754" s="3796"/>
      <c r="BAQ754" s="3796"/>
      <c r="BAR754" s="3796"/>
      <c r="BAS754" s="3796"/>
      <c r="BAT754" s="3796"/>
      <c r="BAU754" s="3796"/>
      <c r="BAV754" s="3796"/>
      <c r="BAW754" s="3796"/>
      <c r="BAX754" s="3796"/>
      <c r="BAY754" s="3796"/>
      <c r="BAZ754" s="3796"/>
      <c r="BBA754" s="3796"/>
      <c r="BBB754" s="3796"/>
      <c r="BBC754" s="3796"/>
      <c r="BBD754" s="3796"/>
      <c r="BBE754" s="3796"/>
      <c r="BBF754" s="3796"/>
      <c r="BBG754" s="3796"/>
      <c r="BBH754" s="3796"/>
      <c r="BBI754" s="3796"/>
      <c r="BBJ754" s="3796"/>
      <c r="BBK754" s="3796"/>
      <c r="BBL754" s="3796"/>
      <c r="BBM754" s="3796"/>
      <c r="BBN754" s="3796"/>
      <c r="BBO754" s="3796"/>
      <c r="BBP754" s="3796"/>
      <c r="BBQ754" s="3796"/>
      <c r="BBR754" s="3796"/>
      <c r="BBS754" s="3796"/>
      <c r="BBT754" s="3796"/>
      <c r="BBU754" s="3796"/>
      <c r="BBV754" s="3796"/>
      <c r="BBW754" s="3796"/>
      <c r="BBX754" s="3796"/>
      <c r="BBY754" s="3796"/>
      <c r="BBZ754" s="3796"/>
      <c r="BCA754" s="3796"/>
      <c r="BCB754" s="3796"/>
      <c r="BCC754" s="3796"/>
      <c r="BCD754" s="3796"/>
      <c r="BCE754" s="3796"/>
      <c r="BCF754" s="3796"/>
      <c r="BCG754" s="3796"/>
      <c r="BCH754" s="3796"/>
      <c r="BCI754" s="3796"/>
      <c r="BCJ754" s="3796"/>
      <c r="BCK754" s="3796"/>
      <c r="BCL754" s="3796"/>
      <c r="BCM754" s="3796"/>
      <c r="BCN754" s="3796"/>
      <c r="BCO754" s="3796"/>
      <c r="BCP754" s="3796"/>
      <c r="BCQ754" s="3796"/>
      <c r="BCR754" s="3796"/>
      <c r="BCS754" s="3796"/>
      <c r="BCT754" s="3796"/>
      <c r="BCU754" s="3796"/>
      <c r="BCV754" s="3796"/>
      <c r="BCW754" s="3796"/>
      <c r="BCX754" s="3796"/>
      <c r="BCY754" s="3796"/>
      <c r="BCZ754" s="3796"/>
      <c r="BDA754" s="3796"/>
      <c r="BDB754" s="3796"/>
      <c r="BDC754" s="3796"/>
      <c r="BDD754" s="3796"/>
      <c r="BDE754" s="3796"/>
      <c r="BDF754" s="3796"/>
      <c r="BDG754" s="3796"/>
      <c r="BDH754" s="3796"/>
      <c r="BDI754" s="3796"/>
      <c r="BDJ754" s="3796"/>
      <c r="BDK754" s="3796"/>
      <c r="BDL754" s="3796"/>
      <c r="BDM754" s="3796"/>
      <c r="BDN754" s="3796"/>
      <c r="BDO754" s="3796"/>
      <c r="BDP754" s="3796"/>
      <c r="BDQ754" s="3796"/>
      <c r="BDR754" s="3796"/>
      <c r="BDS754" s="3796"/>
      <c r="BDT754" s="3796"/>
      <c r="BDU754" s="3796"/>
      <c r="BDV754" s="3796"/>
      <c r="BDW754" s="3796"/>
      <c r="BDX754" s="3796"/>
      <c r="BDY754" s="3796"/>
      <c r="BDZ754" s="3796"/>
      <c r="BEA754" s="3796"/>
      <c r="BEB754" s="3796"/>
      <c r="BEC754" s="3796"/>
      <c r="BED754" s="3796"/>
      <c r="BEE754" s="3796"/>
      <c r="BEF754" s="3796"/>
      <c r="BEG754" s="3796"/>
      <c r="BEH754" s="3796"/>
      <c r="BEI754" s="3796"/>
      <c r="BEJ754" s="3796"/>
      <c r="BEK754" s="3796"/>
      <c r="BEL754" s="3796"/>
      <c r="BEM754" s="3796"/>
      <c r="BEN754" s="3796"/>
      <c r="BEO754" s="3796"/>
      <c r="BEP754" s="3796"/>
      <c r="BEQ754" s="3796"/>
      <c r="BER754" s="3796"/>
      <c r="BES754" s="3796"/>
      <c r="BET754" s="3796"/>
      <c r="BEU754" s="3796"/>
      <c r="BEV754" s="3796"/>
      <c r="BEW754" s="3796"/>
      <c r="BEX754" s="3796"/>
      <c r="BEY754" s="3796"/>
      <c r="BEZ754" s="3796"/>
      <c r="BFA754" s="3796"/>
      <c r="BFB754" s="3796"/>
      <c r="BFC754" s="3796"/>
      <c r="BFD754" s="3796"/>
      <c r="BFE754" s="3796"/>
      <c r="BFF754" s="3796"/>
      <c r="BFG754" s="3796"/>
      <c r="BFH754" s="3796"/>
      <c r="BFI754" s="3796"/>
      <c r="BFJ754" s="3796"/>
      <c r="BFK754" s="3796"/>
      <c r="BFL754" s="3796"/>
      <c r="BFM754" s="3796"/>
      <c r="BFN754" s="3796"/>
      <c r="BFO754" s="3796"/>
      <c r="BFP754" s="3796"/>
      <c r="BFQ754" s="3796"/>
      <c r="BFR754" s="3796"/>
      <c r="BFS754" s="3796"/>
      <c r="BFT754" s="3796"/>
      <c r="BFU754" s="3796"/>
      <c r="BFV754" s="3796"/>
      <c r="BFW754" s="3796"/>
      <c r="BFX754" s="3796"/>
      <c r="BFY754" s="3796"/>
      <c r="BFZ754" s="3796"/>
      <c r="BGA754" s="3796"/>
      <c r="BGB754" s="3796"/>
      <c r="BGC754" s="3796"/>
      <c r="BGH754" s="3796"/>
      <c r="BGN754" s="3796"/>
      <c r="BGO754" s="3796"/>
      <c r="BGP754" s="3796"/>
      <c r="BGT754" s="3796"/>
      <c r="BHA754" s="3796"/>
      <c r="BHB754" s="3796"/>
      <c r="BHC754" s="3796"/>
      <c r="BHD754" s="3796"/>
      <c r="BHE754" s="3796"/>
      <c r="BHF754" s="3796"/>
      <c r="BHG754" s="3796"/>
      <c r="BHH754" s="3796"/>
      <c r="BHI754" s="3796"/>
      <c r="BHJ754" s="3796"/>
      <c r="BHK754" s="3796"/>
      <c r="BHL754" s="3796"/>
      <c r="BHM754" s="3796"/>
      <c r="BHN754" s="3796"/>
      <c r="BHO754" s="3796"/>
      <c r="BHP754" s="3796"/>
      <c r="BHQ754" s="3796"/>
      <c r="BHR754" s="3796"/>
      <c r="BHS754" s="3796"/>
      <c r="BHT754" s="3796"/>
      <c r="BHU754" s="3796"/>
      <c r="BHV754" s="3796"/>
      <c r="BHW754" s="3796"/>
      <c r="BHX754" s="3796"/>
      <c r="BHY754" s="3796"/>
      <c r="BHZ754" s="3796"/>
      <c r="BIA754" s="3796"/>
      <c r="BIB754" s="3796"/>
      <c r="BIC754" s="3796"/>
      <c r="BID754" s="3796"/>
      <c r="BIE754" s="3796"/>
      <c r="BIF754" s="3796"/>
      <c r="BIG754" s="3796"/>
      <c r="BIH754" s="3796"/>
      <c r="BII754" s="3796"/>
      <c r="BIJ754" s="3796"/>
      <c r="BIK754" s="3796"/>
      <c r="BIL754" s="3796"/>
      <c r="BIM754" s="3796"/>
      <c r="BIN754" s="3796"/>
      <c r="BIO754" s="3796"/>
      <c r="BIP754" s="3796"/>
      <c r="BIQ754" s="3796"/>
      <c r="BIR754" s="3796"/>
      <c r="BIS754" s="3796"/>
      <c r="BIT754" s="3796"/>
      <c r="BIU754" s="3796"/>
      <c r="BIV754" s="3796"/>
      <c r="BIW754" s="3796"/>
      <c r="BIX754" s="3796"/>
      <c r="BIY754" s="3796"/>
      <c r="BIZ754" s="3796"/>
      <c r="BJA754" s="3796"/>
      <c r="BJB754" s="3796"/>
      <c r="BJC754" s="3796"/>
      <c r="BJD754" s="3796"/>
      <c r="BJE754" s="3796"/>
      <c r="BJF754" s="3796"/>
      <c r="BJG754" s="3796"/>
      <c r="BJH754" s="3796"/>
      <c r="BJI754" s="3796"/>
      <c r="BJJ754" s="3796"/>
      <c r="BJK754" s="3796"/>
      <c r="BJL754" s="3796"/>
      <c r="BJM754" s="3796"/>
      <c r="BJN754" s="3796"/>
      <c r="BJO754" s="3796"/>
      <c r="BJP754" s="3796"/>
      <c r="BJQ754" s="3796"/>
      <c r="BJR754" s="3796"/>
      <c r="BJS754" s="3796"/>
      <c r="BJT754" s="3796"/>
      <c r="BJU754" s="3796"/>
      <c r="BJV754" s="3796"/>
      <c r="BJW754" s="3796"/>
      <c r="BJX754" s="3796"/>
      <c r="BJY754" s="3796"/>
      <c r="BJZ754" s="3796"/>
      <c r="BKA754" s="3796"/>
      <c r="BKB754" s="3796"/>
      <c r="BKC754" s="3796"/>
      <c r="BKD754" s="3796"/>
      <c r="BKE754" s="3796"/>
      <c r="BKF754" s="3796"/>
      <c r="BKG754" s="3796"/>
      <c r="BKH754" s="3796"/>
      <c r="BKI754" s="3796"/>
      <c r="BKJ754" s="3796"/>
      <c r="BKK754" s="3796"/>
      <c r="BKL754" s="3796"/>
      <c r="BKM754" s="3796"/>
      <c r="BKN754" s="3796"/>
      <c r="BKO754" s="3796"/>
      <c r="BKP754" s="3796"/>
      <c r="BKQ754" s="3796"/>
      <c r="BKR754" s="3796"/>
      <c r="BKS754" s="3796"/>
      <c r="BKT754" s="3796"/>
      <c r="BKU754" s="3796"/>
      <c r="BKV754" s="3796"/>
      <c r="BKW754" s="3796"/>
      <c r="BKX754" s="3796"/>
      <c r="BKY754" s="3796"/>
      <c r="BKZ754" s="3796"/>
      <c r="BLA754" s="3796"/>
      <c r="BLB754" s="3796"/>
      <c r="BLC754" s="3796"/>
      <c r="BLD754" s="3796"/>
      <c r="BLE754" s="3796"/>
      <c r="BLF754" s="3796"/>
      <c r="BLG754" s="3796"/>
      <c r="BLH754" s="3796"/>
      <c r="BLI754" s="3796"/>
      <c r="BLJ754" s="3796"/>
      <c r="BLK754" s="3796"/>
      <c r="BLL754" s="3796"/>
      <c r="BLM754" s="3796"/>
      <c r="BLN754" s="3796"/>
      <c r="BLO754" s="3796"/>
      <c r="BLP754" s="3796"/>
      <c r="BLQ754" s="3796"/>
      <c r="BLR754" s="3796"/>
      <c r="BLS754" s="3796"/>
      <c r="BLT754" s="3796"/>
      <c r="BLU754" s="3796"/>
      <c r="BLV754" s="3796"/>
      <c r="BLW754" s="3796"/>
      <c r="BLX754" s="3796"/>
      <c r="BLY754" s="3796"/>
      <c r="BLZ754" s="3796"/>
      <c r="BMA754" s="3796"/>
      <c r="BMB754" s="3796"/>
      <c r="BMC754" s="3796"/>
      <c r="BMD754" s="3796"/>
      <c r="BME754" s="3796"/>
      <c r="BMF754" s="3796"/>
      <c r="BMG754" s="3796"/>
      <c r="BMH754" s="3796"/>
      <c r="BMI754" s="3796"/>
      <c r="BMJ754" s="3796"/>
      <c r="BMK754" s="3796"/>
      <c r="BML754" s="3796"/>
      <c r="BMM754" s="3796"/>
      <c r="BMN754" s="3796"/>
      <c r="BMO754" s="3796"/>
      <c r="BMP754" s="3796"/>
      <c r="BMQ754" s="3796"/>
      <c r="BMR754" s="3796"/>
      <c r="BMS754" s="3796"/>
      <c r="BMT754" s="3796"/>
      <c r="BMU754" s="3796"/>
      <c r="BMV754" s="3796"/>
      <c r="BMW754" s="3796"/>
      <c r="BMX754" s="3796"/>
      <c r="BMY754" s="3796"/>
      <c r="BMZ754" s="3796"/>
      <c r="BNA754" s="3796"/>
      <c r="BNB754" s="3796"/>
      <c r="BNC754" s="3796"/>
      <c r="BND754" s="3796"/>
      <c r="BNE754" s="3796"/>
      <c r="BNF754" s="3796"/>
      <c r="BNG754" s="3796"/>
      <c r="BNH754" s="3796"/>
      <c r="BNI754" s="3796"/>
      <c r="BNJ754" s="3796"/>
      <c r="BNK754" s="3796"/>
      <c r="BNL754" s="3796"/>
      <c r="BNM754" s="3796"/>
      <c r="BNN754" s="3796"/>
      <c r="BNO754" s="3796"/>
      <c r="BNP754" s="3796"/>
      <c r="BNQ754" s="3796"/>
      <c r="BNR754" s="3796"/>
      <c r="BNS754" s="3796"/>
      <c r="BNT754" s="3796"/>
      <c r="BNU754" s="3796"/>
      <c r="BNV754" s="3796"/>
      <c r="BNW754" s="3796"/>
      <c r="BNX754" s="3796"/>
      <c r="BNY754" s="3796"/>
      <c r="BNZ754" s="3796"/>
      <c r="BOA754" s="3796"/>
      <c r="BOB754" s="3796"/>
      <c r="BOC754" s="3796"/>
      <c r="BOD754" s="3796"/>
      <c r="BOE754" s="3796"/>
      <c r="BOF754" s="3796"/>
      <c r="BOG754" s="3796"/>
      <c r="BOH754" s="3796"/>
      <c r="BOI754" s="3796"/>
      <c r="BOJ754" s="3796"/>
      <c r="BOK754" s="3796"/>
      <c r="BOL754" s="3796"/>
      <c r="BOM754" s="3796"/>
      <c r="BON754" s="3796"/>
      <c r="BOO754" s="3796"/>
      <c r="BOP754" s="3796"/>
      <c r="BOQ754" s="3796"/>
      <c r="BOR754" s="3796"/>
      <c r="BOS754" s="3796"/>
      <c r="BOT754" s="3796"/>
      <c r="BOU754" s="3796"/>
      <c r="BOV754" s="3796"/>
      <c r="BOW754" s="3796"/>
      <c r="BOX754" s="3796"/>
      <c r="BOY754" s="3796"/>
      <c r="BOZ754" s="3796"/>
      <c r="BPA754" s="3796"/>
      <c r="BPB754" s="3796"/>
      <c r="BPC754" s="3796"/>
      <c r="BPD754" s="3796"/>
      <c r="BPE754" s="3796"/>
      <c r="BPF754" s="3796"/>
      <c r="BPG754" s="3796"/>
      <c r="BPH754" s="3796"/>
      <c r="BPI754" s="3796"/>
      <c r="BPJ754" s="3796"/>
      <c r="BPK754" s="3796"/>
      <c r="BPL754" s="3796"/>
      <c r="BPM754" s="3796"/>
      <c r="BPN754" s="3796"/>
      <c r="BPO754" s="3796"/>
      <c r="BPP754" s="3796"/>
      <c r="BPQ754" s="3796"/>
      <c r="BPR754" s="3796"/>
      <c r="BPS754" s="3796"/>
      <c r="BPT754" s="3796"/>
      <c r="BPU754" s="3796"/>
      <c r="BPV754" s="3796"/>
      <c r="BPW754" s="3796"/>
      <c r="BPX754" s="3796"/>
      <c r="BPY754" s="3796"/>
      <c r="BQD754" s="3796"/>
      <c r="BQJ754" s="3796"/>
      <c r="BQK754" s="3796"/>
      <c r="BQL754" s="3796"/>
      <c r="BQP754" s="3796"/>
      <c r="BQW754" s="3796"/>
      <c r="BQX754" s="3796"/>
      <c r="BQY754" s="3796"/>
      <c r="BQZ754" s="3796"/>
      <c r="BRA754" s="3796"/>
      <c r="BRB754" s="3796"/>
      <c r="BRC754" s="3796"/>
      <c r="BRD754" s="3796"/>
      <c r="BRE754" s="3796"/>
      <c r="BRF754" s="3796"/>
      <c r="BRG754" s="3796"/>
      <c r="BRH754" s="3796"/>
      <c r="BRI754" s="3796"/>
      <c r="BRJ754" s="3796"/>
      <c r="BRK754" s="3796"/>
      <c r="BRL754" s="3796"/>
      <c r="BRM754" s="3796"/>
      <c r="BRN754" s="3796"/>
      <c r="BRO754" s="3796"/>
      <c r="BRP754" s="3796"/>
      <c r="BRQ754" s="3796"/>
      <c r="BRR754" s="3796"/>
      <c r="BRS754" s="3796"/>
      <c r="BRT754" s="3796"/>
      <c r="BRU754" s="3796"/>
      <c r="BRV754" s="3796"/>
      <c r="BRW754" s="3796"/>
      <c r="BRX754" s="3796"/>
      <c r="BRY754" s="3796"/>
      <c r="BRZ754" s="3796"/>
      <c r="BSA754" s="3796"/>
      <c r="BSB754" s="3796"/>
      <c r="BSC754" s="3796"/>
      <c r="BSD754" s="3796"/>
      <c r="BSE754" s="3796"/>
      <c r="BSF754" s="3796"/>
      <c r="BSG754" s="3796"/>
      <c r="BSH754" s="3796"/>
      <c r="BSI754" s="3796"/>
      <c r="BSJ754" s="3796"/>
      <c r="BSK754" s="3796"/>
      <c r="BSL754" s="3796"/>
      <c r="BSM754" s="3796"/>
      <c r="BSN754" s="3796"/>
      <c r="BSO754" s="3796"/>
      <c r="BSP754" s="3796"/>
      <c r="BSQ754" s="3796"/>
      <c r="BSR754" s="3796"/>
      <c r="BSS754" s="3796"/>
      <c r="BST754" s="3796"/>
      <c r="BSU754" s="3796"/>
      <c r="BSV754" s="3796"/>
      <c r="BSW754" s="3796"/>
      <c r="BSX754" s="3796"/>
      <c r="BSY754" s="3796"/>
      <c r="BSZ754" s="3796"/>
      <c r="BTA754" s="3796"/>
      <c r="BTB754" s="3796"/>
      <c r="BTC754" s="3796"/>
      <c r="BTD754" s="3796"/>
      <c r="BTE754" s="3796"/>
      <c r="BTF754" s="3796"/>
      <c r="BTG754" s="3796"/>
      <c r="BTH754" s="3796"/>
      <c r="BTI754" s="3796"/>
      <c r="BTJ754" s="3796"/>
      <c r="BTK754" s="3796"/>
      <c r="BTL754" s="3796"/>
      <c r="BTM754" s="3796"/>
      <c r="BTN754" s="3796"/>
      <c r="BTO754" s="3796"/>
      <c r="BTP754" s="3796"/>
      <c r="BTQ754" s="3796"/>
      <c r="BTR754" s="3796"/>
      <c r="BTS754" s="3796"/>
      <c r="BTT754" s="3796"/>
      <c r="BTU754" s="3796"/>
      <c r="BTV754" s="3796"/>
      <c r="BTW754" s="3796"/>
      <c r="BTX754" s="3796"/>
      <c r="BTY754" s="3796"/>
      <c r="BTZ754" s="3796"/>
      <c r="BUA754" s="3796"/>
      <c r="BUB754" s="3796"/>
      <c r="BUC754" s="3796"/>
      <c r="BUD754" s="3796"/>
      <c r="BUE754" s="3796"/>
      <c r="BUF754" s="3796"/>
      <c r="BUG754" s="3796"/>
      <c r="BUH754" s="3796"/>
      <c r="BUI754" s="3796"/>
      <c r="BUJ754" s="3796"/>
      <c r="BUK754" s="3796"/>
      <c r="BUL754" s="3796"/>
      <c r="BUM754" s="3796"/>
      <c r="BUN754" s="3796"/>
      <c r="BUO754" s="3796"/>
      <c r="BUP754" s="3796"/>
      <c r="BUQ754" s="3796"/>
      <c r="BUR754" s="3796"/>
      <c r="BUS754" s="3796"/>
      <c r="BUT754" s="3796"/>
      <c r="BUU754" s="3796"/>
      <c r="BUV754" s="3796"/>
      <c r="BUW754" s="3796"/>
      <c r="BUX754" s="3796"/>
      <c r="BUY754" s="3796"/>
      <c r="BUZ754" s="3796"/>
      <c r="BVA754" s="3796"/>
      <c r="BVB754" s="3796"/>
      <c r="BVC754" s="3796"/>
      <c r="BVD754" s="3796"/>
      <c r="BVE754" s="3796"/>
      <c r="BVF754" s="3796"/>
      <c r="BVG754" s="3796"/>
      <c r="BVH754" s="3796"/>
      <c r="BVI754" s="3796"/>
      <c r="BVJ754" s="3796"/>
      <c r="BVK754" s="3796"/>
      <c r="BVL754" s="3796"/>
      <c r="BVM754" s="3796"/>
      <c r="BVN754" s="3796"/>
      <c r="BVO754" s="3796"/>
      <c r="BVP754" s="3796"/>
      <c r="BVQ754" s="3796"/>
      <c r="BVR754" s="3796"/>
      <c r="BVS754" s="3796"/>
      <c r="BVT754" s="3796"/>
      <c r="BVU754" s="3796"/>
      <c r="BVV754" s="3796"/>
      <c r="BVW754" s="3796"/>
      <c r="BVX754" s="3796"/>
      <c r="BVY754" s="3796"/>
      <c r="BVZ754" s="3796"/>
      <c r="BWA754" s="3796"/>
      <c r="BWB754" s="3796"/>
      <c r="BWC754" s="3796"/>
      <c r="BWD754" s="3796"/>
      <c r="BWE754" s="3796"/>
      <c r="BWF754" s="3796"/>
      <c r="BWG754" s="3796"/>
      <c r="BWH754" s="3796"/>
      <c r="BWI754" s="3796"/>
      <c r="BWJ754" s="3796"/>
      <c r="BWK754" s="3796"/>
      <c r="BWL754" s="3796"/>
      <c r="BWM754" s="3796"/>
      <c r="BWN754" s="3796"/>
      <c r="BWO754" s="3796"/>
      <c r="BWP754" s="3796"/>
      <c r="BWQ754" s="3796"/>
      <c r="BWR754" s="3796"/>
      <c r="BWS754" s="3796"/>
      <c r="BWT754" s="3796"/>
      <c r="BWU754" s="3796"/>
      <c r="BWV754" s="3796"/>
      <c r="BWW754" s="3796"/>
      <c r="BWX754" s="3796"/>
      <c r="BWY754" s="3796"/>
      <c r="BWZ754" s="3796"/>
      <c r="BXA754" s="3796"/>
      <c r="BXB754" s="3796"/>
      <c r="BXC754" s="3796"/>
      <c r="BXD754" s="3796"/>
      <c r="BXE754" s="3796"/>
      <c r="BXF754" s="3796"/>
      <c r="BXG754" s="3796"/>
      <c r="BXH754" s="3796"/>
      <c r="BXI754" s="3796"/>
      <c r="BXJ754" s="3796"/>
      <c r="BXK754" s="3796"/>
      <c r="BXL754" s="3796"/>
      <c r="BXM754" s="3796"/>
      <c r="BXN754" s="3796"/>
      <c r="BXO754" s="3796"/>
      <c r="BXP754" s="3796"/>
      <c r="BXQ754" s="3796"/>
      <c r="BXR754" s="3796"/>
      <c r="BXS754" s="3796"/>
      <c r="BXT754" s="3796"/>
      <c r="BXU754" s="3796"/>
      <c r="BXV754" s="3796"/>
      <c r="BXW754" s="3796"/>
      <c r="BXX754" s="3796"/>
      <c r="BXY754" s="3796"/>
      <c r="BXZ754" s="3796"/>
      <c r="BYA754" s="3796"/>
      <c r="BYB754" s="3796"/>
      <c r="BYC754" s="3796"/>
      <c r="BYD754" s="3796"/>
      <c r="BYE754" s="3796"/>
      <c r="BYF754" s="3796"/>
      <c r="BYG754" s="3796"/>
      <c r="BYH754" s="3796"/>
      <c r="BYI754" s="3796"/>
      <c r="BYJ754" s="3796"/>
      <c r="BYK754" s="3796"/>
      <c r="BYL754" s="3796"/>
      <c r="BYM754" s="3796"/>
      <c r="BYN754" s="3796"/>
      <c r="BYO754" s="3796"/>
      <c r="BYP754" s="3796"/>
      <c r="BYQ754" s="3796"/>
      <c r="BYR754" s="3796"/>
      <c r="BYS754" s="3796"/>
      <c r="BYT754" s="3796"/>
      <c r="BYU754" s="3796"/>
      <c r="BYV754" s="3796"/>
      <c r="BYW754" s="3796"/>
      <c r="BYX754" s="3796"/>
      <c r="BYY754" s="3796"/>
      <c r="BYZ754" s="3796"/>
      <c r="BZA754" s="3796"/>
      <c r="BZB754" s="3796"/>
      <c r="BZC754" s="3796"/>
      <c r="BZD754" s="3796"/>
      <c r="BZE754" s="3796"/>
      <c r="BZF754" s="3796"/>
      <c r="BZG754" s="3796"/>
      <c r="BZH754" s="3796"/>
      <c r="BZI754" s="3796"/>
      <c r="BZJ754" s="3796"/>
      <c r="BZK754" s="3796"/>
      <c r="BZL754" s="3796"/>
      <c r="BZM754" s="3796"/>
      <c r="BZN754" s="3796"/>
      <c r="BZO754" s="3796"/>
      <c r="BZP754" s="3796"/>
      <c r="BZQ754" s="3796"/>
      <c r="BZR754" s="3796"/>
      <c r="BZS754" s="3796"/>
      <c r="BZT754" s="3796"/>
      <c r="BZU754" s="3796"/>
      <c r="BZZ754" s="3796"/>
      <c r="CAF754" s="3796"/>
      <c r="CAG754" s="3796"/>
      <c r="CAH754" s="3796"/>
      <c r="CAL754" s="3796"/>
      <c r="CAS754" s="3796"/>
      <c r="CAT754" s="3796"/>
      <c r="CAU754" s="3796"/>
      <c r="CAV754" s="3796"/>
      <c r="CAW754" s="3796"/>
      <c r="CAX754" s="3796"/>
      <c r="CAY754" s="3796"/>
      <c r="CAZ754" s="3796"/>
      <c r="CBA754" s="3796"/>
      <c r="CBB754" s="3796"/>
      <c r="CBC754" s="3796"/>
      <c r="CBD754" s="3796"/>
      <c r="CBE754" s="3796"/>
      <c r="CBF754" s="3796"/>
      <c r="CBG754" s="3796"/>
      <c r="CBH754" s="3796"/>
      <c r="CBI754" s="3796"/>
      <c r="CBJ754" s="3796"/>
      <c r="CBK754" s="3796"/>
      <c r="CBL754" s="3796"/>
      <c r="CBM754" s="3796"/>
      <c r="CBN754" s="3796"/>
      <c r="CBO754" s="3796"/>
      <c r="CBP754" s="3796"/>
      <c r="CBQ754" s="3796"/>
      <c r="CBR754" s="3796"/>
      <c r="CBS754" s="3796"/>
      <c r="CBT754" s="3796"/>
      <c r="CBU754" s="3796"/>
      <c r="CBV754" s="3796"/>
      <c r="CBW754" s="3796"/>
      <c r="CBX754" s="3796"/>
      <c r="CBY754" s="3796"/>
      <c r="CBZ754" s="3796"/>
      <c r="CCA754" s="3796"/>
      <c r="CCB754" s="3796"/>
      <c r="CCC754" s="3796"/>
      <c r="CCD754" s="3796"/>
      <c r="CCE754" s="3796"/>
      <c r="CCF754" s="3796"/>
      <c r="CCG754" s="3796"/>
      <c r="CCH754" s="3796"/>
      <c r="CCI754" s="3796"/>
      <c r="CCJ754" s="3796"/>
      <c r="CCK754" s="3796"/>
      <c r="CCL754" s="3796"/>
      <c r="CCM754" s="3796"/>
      <c r="CCN754" s="3796"/>
      <c r="CCO754" s="3796"/>
      <c r="CCP754" s="3796"/>
      <c r="CCQ754" s="3796"/>
      <c r="CCR754" s="3796"/>
      <c r="CCS754" s="3796"/>
      <c r="CCT754" s="3796"/>
      <c r="CCU754" s="3796"/>
      <c r="CCV754" s="3796"/>
      <c r="CCW754" s="3796"/>
      <c r="CCX754" s="3796"/>
      <c r="CCY754" s="3796"/>
      <c r="CCZ754" s="3796"/>
      <c r="CDA754" s="3796"/>
      <c r="CDB754" s="3796"/>
      <c r="CDC754" s="3796"/>
      <c r="CDD754" s="3796"/>
      <c r="CDE754" s="3796"/>
      <c r="CDF754" s="3796"/>
      <c r="CDG754" s="3796"/>
      <c r="CDH754" s="3796"/>
      <c r="CDI754" s="3796"/>
      <c r="CDJ754" s="3796"/>
      <c r="CDK754" s="3796"/>
      <c r="CDL754" s="3796"/>
      <c r="CDM754" s="3796"/>
      <c r="CDN754" s="3796"/>
      <c r="CDO754" s="3796"/>
      <c r="CDP754" s="3796"/>
      <c r="CDQ754" s="3796"/>
      <c r="CDR754" s="3796"/>
      <c r="CDS754" s="3796"/>
      <c r="CDT754" s="3796"/>
      <c r="CDU754" s="3796"/>
      <c r="CDV754" s="3796"/>
      <c r="CDW754" s="3796"/>
      <c r="CDX754" s="3796"/>
      <c r="CDY754" s="3796"/>
      <c r="CDZ754" s="3796"/>
      <c r="CEA754" s="3796"/>
      <c r="CEB754" s="3796"/>
      <c r="CEC754" s="3796"/>
      <c r="CED754" s="3796"/>
      <c r="CEE754" s="3796"/>
      <c r="CEF754" s="3796"/>
      <c r="CEG754" s="3796"/>
      <c r="CEH754" s="3796"/>
      <c r="CEI754" s="3796"/>
      <c r="CEJ754" s="3796"/>
      <c r="CEK754" s="3796"/>
      <c r="CEL754" s="3796"/>
      <c r="CEM754" s="3796"/>
      <c r="CEN754" s="3796"/>
      <c r="CEO754" s="3796"/>
      <c r="CEP754" s="3796"/>
      <c r="CEQ754" s="3796"/>
      <c r="CER754" s="3796"/>
      <c r="CES754" s="3796"/>
      <c r="CET754" s="3796"/>
      <c r="CEU754" s="3796"/>
      <c r="CEV754" s="3796"/>
      <c r="CEW754" s="3796"/>
      <c r="CEX754" s="3796"/>
      <c r="CEY754" s="3796"/>
      <c r="CEZ754" s="3796"/>
      <c r="CFA754" s="3796"/>
      <c r="CFB754" s="3796"/>
      <c r="CFC754" s="3796"/>
      <c r="CFD754" s="3796"/>
      <c r="CFE754" s="3796"/>
      <c r="CFF754" s="3796"/>
      <c r="CFG754" s="3796"/>
      <c r="CFH754" s="3796"/>
      <c r="CFI754" s="3796"/>
      <c r="CFJ754" s="3796"/>
      <c r="CFK754" s="3796"/>
      <c r="CFL754" s="3796"/>
      <c r="CFM754" s="3796"/>
      <c r="CFN754" s="3796"/>
      <c r="CFO754" s="3796"/>
      <c r="CFP754" s="3796"/>
      <c r="CFQ754" s="3796"/>
      <c r="CFR754" s="3796"/>
      <c r="CFS754" s="3796"/>
      <c r="CFT754" s="3796"/>
      <c r="CFU754" s="3796"/>
      <c r="CFV754" s="3796"/>
      <c r="CFW754" s="3796"/>
      <c r="CFX754" s="3796"/>
      <c r="CFY754" s="3796"/>
      <c r="CFZ754" s="3796"/>
      <c r="CGA754" s="3796"/>
      <c r="CGB754" s="3796"/>
      <c r="CGC754" s="3796"/>
      <c r="CGD754" s="3796"/>
      <c r="CGE754" s="3796"/>
      <c r="CGF754" s="3796"/>
      <c r="CGG754" s="3796"/>
      <c r="CGH754" s="3796"/>
      <c r="CGI754" s="3796"/>
      <c r="CGJ754" s="3796"/>
      <c r="CGK754" s="3796"/>
      <c r="CGL754" s="3796"/>
      <c r="CGM754" s="3796"/>
      <c r="CGN754" s="3796"/>
      <c r="CGO754" s="3796"/>
      <c r="CGP754" s="3796"/>
      <c r="CGQ754" s="3796"/>
      <c r="CGR754" s="3796"/>
      <c r="CGS754" s="3796"/>
      <c r="CGT754" s="3796"/>
      <c r="CGU754" s="3796"/>
      <c r="CGV754" s="3796"/>
      <c r="CGW754" s="3796"/>
      <c r="CGX754" s="3796"/>
      <c r="CGY754" s="3796"/>
      <c r="CGZ754" s="3796"/>
      <c r="CHA754" s="3796"/>
      <c r="CHB754" s="3796"/>
      <c r="CHC754" s="3796"/>
      <c r="CHD754" s="3796"/>
      <c r="CHE754" s="3796"/>
      <c r="CHF754" s="3796"/>
      <c r="CHG754" s="3796"/>
      <c r="CHH754" s="3796"/>
      <c r="CHI754" s="3796"/>
      <c r="CHJ754" s="3796"/>
      <c r="CHK754" s="3796"/>
      <c r="CHL754" s="3796"/>
      <c r="CHM754" s="3796"/>
      <c r="CHN754" s="3796"/>
      <c r="CHO754" s="3796"/>
      <c r="CHP754" s="3796"/>
      <c r="CHQ754" s="3796"/>
      <c r="CHR754" s="3796"/>
      <c r="CHS754" s="3796"/>
      <c r="CHT754" s="3796"/>
      <c r="CHU754" s="3796"/>
      <c r="CHV754" s="3796"/>
      <c r="CHW754" s="3796"/>
      <c r="CHX754" s="3796"/>
      <c r="CHY754" s="3796"/>
      <c r="CHZ754" s="3796"/>
      <c r="CIA754" s="3796"/>
      <c r="CIB754" s="3796"/>
      <c r="CIC754" s="3796"/>
      <c r="CID754" s="3796"/>
      <c r="CIE754" s="3796"/>
      <c r="CIF754" s="3796"/>
      <c r="CIG754" s="3796"/>
      <c r="CIH754" s="3796"/>
      <c r="CII754" s="3796"/>
      <c r="CIJ754" s="3796"/>
      <c r="CIK754" s="3796"/>
      <c r="CIL754" s="3796"/>
      <c r="CIM754" s="3796"/>
      <c r="CIN754" s="3796"/>
      <c r="CIO754" s="3796"/>
      <c r="CIP754" s="3796"/>
      <c r="CIQ754" s="3796"/>
      <c r="CIR754" s="3796"/>
      <c r="CIS754" s="3796"/>
      <c r="CIT754" s="3796"/>
      <c r="CIU754" s="3796"/>
      <c r="CIV754" s="3796"/>
      <c r="CIW754" s="3796"/>
      <c r="CIX754" s="3796"/>
      <c r="CIY754" s="3796"/>
      <c r="CIZ754" s="3796"/>
      <c r="CJA754" s="3796"/>
      <c r="CJB754" s="3796"/>
      <c r="CJC754" s="3796"/>
      <c r="CJD754" s="3796"/>
      <c r="CJE754" s="3796"/>
      <c r="CJF754" s="3796"/>
      <c r="CJG754" s="3796"/>
      <c r="CJH754" s="3796"/>
      <c r="CJI754" s="3796"/>
      <c r="CJJ754" s="3796"/>
      <c r="CJK754" s="3796"/>
      <c r="CJL754" s="3796"/>
      <c r="CJM754" s="3796"/>
      <c r="CJN754" s="3796"/>
      <c r="CJO754" s="3796"/>
      <c r="CJP754" s="3796"/>
      <c r="CJQ754" s="3796"/>
      <c r="CJV754" s="3796"/>
      <c r="CKB754" s="3796"/>
      <c r="CKC754" s="3796"/>
      <c r="CKD754" s="3796"/>
      <c r="CKH754" s="3796"/>
      <c r="CKO754" s="3796"/>
      <c r="CKP754" s="3796"/>
      <c r="CKQ754" s="3796"/>
      <c r="CKR754" s="3796"/>
      <c r="CKS754" s="3796"/>
      <c r="CKT754" s="3796"/>
      <c r="CKU754" s="3796"/>
      <c r="CKV754" s="3796"/>
      <c r="CKW754" s="3796"/>
      <c r="CKX754" s="3796"/>
      <c r="CKY754" s="3796"/>
      <c r="CKZ754" s="3796"/>
      <c r="CLA754" s="3796"/>
      <c r="CLB754" s="3796"/>
      <c r="CLC754" s="3796"/>
      <c r="CLD754" s="3796"/>
      <c r="CLE754" s="3796"/>
      <c r="CLF754" s="3796"/>
      <c r="CLG754" s="3796"/>
      <c r="CLH754" s="3796"/>
      <c r="CLI754" s="3796"/>
      <c r="CLJ754" s="3796"/>
      <c r="CLK754" s="3796"/>
      <c r="CLL754" s="3796"/>
      <c r="CLM754" s="3796"/>
      <c r="CLN754" s="3796"/>
      <c r="CLO754" s="3796"/>
      <c r="CLP754" s="3796"/>
      <c r="CLQ754" s="3796"/>
      <c r="CLR754" s="3796"/>
      <c r="CLS754" s="3796"/>
      <c r="CLT754" s="3796"/>
      <c r="CLU754" s="3796"/>
      <c r="CLV754" s="3796"/>
      <c r="CLW754" s="3796"/>
      <c r="CLX754" s="3796"/>
      <c r="CLY754" s="3796"/>
      <c r="CLZ754" s="3796"/>
      <c r="CMA754" s="3796"/>
      <c r="CMB754" s="3796"/>
      <c r="CMC754" s="3796"/>
      <c r="CMD754" s="3796"/>
      <c r="CME754" s="3796"/>
      <c r="CMF754" s="3796"/>
      <c r="CMG754" s="3796"/>
      <c r="CMH754" s="3796"/>
      <c r="CMI754" s="3796"/>
      <c r="CMJ754" s="3796"/>
      <c r="CMK754" s="3796"/>
      <c r="CML754" s="3796"/>
      <c r="CMM754" s="3796"/>
      <c r="CMN754" s="3796"/>
      <c r="CMO754" s="3796"/>
      <c r="CMP754" s="3796"/>
      <c r="CMQ754" s="3796"/>
      <c r="CMR754" s="3796"/>
      <c r="CMS754" s="3796"/>
      <c r="CMT754" s="3796"/>
      <c r="CMU754" s="3796"/>
      <c r="CMV754" s="3796"/>
      <c r="CMW754" s="3796"/>
      <c r="CMX754" s="3796"/>
      <c r="CMY754" s="3796"/>
      <c r="CMZ754" s="3796"/>
      <c r="CNA754" s="3796"/>
      <c r="CNB754" s="3796"/>
      <c r="CNC754" s="3796"/>
      <c r="CND754" s="3796"/>
      <c r="CNE754" s="3796"/>
      <c r="CNF754" s="3796"/>
      <c r="CNG754" s="3796"/>
      <c r="CNH754" s="3796"/>
      <c r="CNI754" s="3796"/>
      <c r="CNJ754" s="3796"/>
      <c r="CNK754" s="3796"/>
      <c r="CNL754" s="3796"/>
      <c r="CNM754" s="3796"/>
      <c r="CNN754" s="3796"/>
      <c r="CNO754" s="3796"/>
      <c r="CNP754" s="3796"/>
      <c r="CNQ754" s="3796"/>
      <c r="CNR754" s="3796"/>
      <c r="CNS754" s="3796"/>
      <c r="CNT754" s="3796"/>
      <c r="CNU754" s="3796"/>
      <c r="CNV754" s="3796"/>
      <c r="CNW754" s="3796"/>
      <c r="CNX754" s="3796"/>
      <c r="CNY754" s="3796"/>
      <c r="CNZ754" s="3796"/>
      <c r="COA754" s="3796"/>
      <c r="COB754" s="3796"/>
      <c r="COC754" s="3796"/>
      <c r="COD754" s="3796"/>
      <c r="COE754" s="3796"/>
      <c r="COF754" s="3796"/>
      <c r="COG754" s="3796"/>
      <c r="COH754" s="3796"/>
      <c r="COI754" s="3796"/>
      <c r="COJ754" s="3796"/>
      <c r="COK754" s="3796"/>
      <c r="COL754" s="3796"/>
      <c r="COM754" s="3796"/>
      <c r="CON754" s="3796"/>
      <c r="COO754" s="3796"/>
      <c r="COP754" s="3796"/>
      <c r="COQ754" s="3796"/>
      <c r="COR754" s="3796"/>
      <c r="COS754" s="3796"/>
      <c r="COT754" s="3796"/>
      <c r="COU754" s="3796"/>
      <c r="COV754" s="3796"/>
      <c r="COW754" s="3796"/>
      <c r="COX754" s="3796"/>
      <c r="COY754" s="3796"/>
      <c r="COZ754" s="3796"/>
      <c r="CPA754" s="3796"/>
      <c r="CPB754" s="3796"/>
      <c r="CPC754" s="3796"/>
      <c r="CPD754" s="3796"/>
      <c r="CPE754" s="3796"/>
      <c r="CPF754" s="3796"/>
      <c r="CPG754" s="3796"/>
      <c r="CPH754" s="3796"/>
      <c r="CPI754" s="3796"/>
      <c r="CPJ754" s="3796"/>
      <c r="CPK754" s="3796"/>
      <c r="CPL754" s="3796"/>
      <c r="CPM754" s="3796"/>
      <c r="CPN754" s="3796"/>
      <c r="CPO754" s="3796"/>
      <c r="CPP754" s="3796"/>
      <c r="CPQ754" s="3796"/>
      <c r="CPR754" s="3796"/>
      <c r="CPS754" s="3796"/>
      <c r="CPT754" s="3796"/>
      <c r="CPU754" s="3796"/>
      <c r="CPV754" s="3796"/>
      <c r="CPW754" s="3796"/>
      <c r="CPX754" s="3796"/>
      <c r="CPY754" s="3796"/>
      <c r="CPZ754" s="3796"/>
      <c r="CQA754" s="3796"/>
      <c r="CQB754" s="3796"/>
      <c r="CQC754" s="3796"/>
      <c r="CQD754" s="3796"/>
      <c r="CQE754" s="3796"/>
      <c r="CQF754" s="3796"/>
      <c r="CQG754" s="3796"/>
      <c r="CQH754" s="3796"/>
      <c r="CQI754" s="3796"/>
      <c r="CQJ754" s="3796"/>
      <c r="CQK754" s="3796"/>
      <c r="CQL754" s="3796"/>
      <c r="CQM754" s="3796"/>
      <c r="CQN754" s="3796"/>
      <c r="CQO754" s="3796"/>
      <c r="CQP754" s="3796"/>
      <c r="CQQ754" s="3796"/>
      <c r="CQR754" s="3796"/>
      <c r="CQS754" s="3796"/>
      <c r="CQT754" s="3796"/>
      <c r="CQU754" s="3796"/>
      <c r="CQV754" s="3796"/>
      <c r="CQW754" s="3796"/>
      <c r="CQX754" s="3796"/>
      <c r="CQY754" s="3796"/>
      <c r="CQZ754" s="3796"/>
      <c r="CRA754" s="3796"/>
      <c r="CRB754" s="3796"/>
      <c r="CRC754" s="3796"/>
      <c r="CRD754" s="3796"/>
      <c r="CRE754" s="3796"/>
      <c r="CRF754" s="3796"/>
      <c r="CRG754" s="3796"/>
      <c r="CRH754" s="3796"/>
      <c r="CRI754" s="3796"/>
      <c r="CRJ754" s="3796"/>
      <c r="CRK754" s="3796"/>
      <c r="CRL754" s="3796"/>
      <c r="CRM754" s="3796"/>
      <c r="CRN754" s="3796"/>
      <c r="CRO754" s="3796"/>
      <c r="CRP754" s="3796"/>
      <c r="CRQ754" s="3796"/>
      <c r="CRR754" s="3796"/>
      <c r="CRS754" s="3796"/>
      <c r="CRT754" s="3796"/>
      <c r="CRU754" s="3796"/>
      <c r="CRV754" s="3796"/>
      <c r="CRW754" s="3796"/>
      <c r="CRX754" s="3796"/>
      <c r="CRY754" s="3796"/>
      <c r="CRZ754" s="3796"/>
      <c r="CSA754" s="3796"/>
      <c r="CSB754" s="3796"/>
      <c r="CSC754" s="3796"/>
      <c r="CSD754" s="3796"/>
      <c r="CSE754" s="3796"/>
      <c r="CSF754" s="3796"/>
      <c r="CSG754" s="3796"/>
      <c r="CSH754" s="3796"/>
      <c r="CSI754" s="3796"/>
      <c r="CSJ754" s="3796"/>
      <c r="CSK754" s="3796"/>
      <c r="CSL754" s="3796"/>
      <c r="CSM754" s="3796"/>
      <c r="CSN754" s="3796"/>
      <c r="CSO754" s="3796"/>
      <c r="CSP754" s="3796"/>
      <c r="CSQ754" s="3796"/>
      <c r="CSR754" s="3796"/>
      <c r="CSS754" s="3796"/>
      <c r="CST754" s="3796"/>
      <c r="CSU754" s="3796"/>
      <c r="CSV754" s="3796"/>
      <c r="CSW754" s="3796"/>
      <c r="CSX754" s="3796"/>
      <c r="CSY754" s="3796"/>
      <c r="CSZ754" s="3796"/>
      <c r="CTA754" s="3796"/>
      <c r="CTB754" s="3796"/>
      <c r="CTC754" s="3796"/>
      <c r="CTD754" s="3796"/>
      <c r="CTE754" s="3796"/>
      <c r="CTF754" s="3796"/>
      <c r="CTG754" s="3796"/>
      <c r="CTH754" s="3796"/>
      <c r="CTI754" s="3796"/>
      <c r="CTJ754" s="3796"/>
      <c r="CTK754" s="3796"/>
      <c r="CTL754" s="3796"/>
      <c r="CTM754" s="3796"/>
      <c r="CTR754" s="3796"/>
      <c r="CTX754" s="3796"/>
      <c r="CTY754" s="3796"/>
      <c r="CTZ754" s="3796"/>
      <c r="CUD754" s="3796"/>
      <c r="CUK754" s="3796"/>
      <c r="CUL754" s="3796"/>
      <c r="CUM754" s="3796"/>
      <c r="CUN754" s="3796"/>
      <c r="CUO754" s="3796"/>
      <c r="CUP754" s="3796"/>
      <c r="CUQ754" s="3796"/>
      <c r="CUR754" s="3796"/>
      <c r="CUS754" s="3796"/>
      <c r="CUT754" s="3796"/>
      <c r="CUU754" s="3796"/>
      <c r="CUV754" s="3796"/>
      <c r="CUW754" s="3796"/>
      <c r="CUX754" s="3796"/>
      <c r="CUY754" s="3796"/>
      <c r="CUZ754" s="3796"/>
      <c r="CVA754" s="3796"/>
      <c r="CVB754" s="3796"/>
      <c r="CVC754" s="3796"/>
      <c r="CVD754" s="3796"/>
      <c r="CVE754" s="3796"/>
      <c r="CVF754" s="3796"/>
      <c r="CVG754" s="3796"/>
      <c r="CVH754" s="3796"/>
      <c r="CVI754" s="3796"/>
      <c r="CVJ754" s="3796"/>
      <c r="CVK754" s="3796"/>
      <c r="CVL754" s="3796"/>
      <c r="CVM754" s="3796"/>
      <c r="CVN754" s="3796"/>
      <c r="CVO754" s="3796"/>
      <c r="CVP754" s="3796"/>
      <c r="CVQ754" s="3796"/>
      <c r="CVR754" s="3796"/>
      <c r="CVS754" s="3796"/>
      <c r="CVT754" s="3796"/>
      <c r="CVU754" s="3796"/>
      <c r="CVV754" s="3796"/>
      <c r="CVW754" s="3796"/>
      <c r="CVX754" s="3796"/>
      <c r="CVY754" s="3796"/>
      <c r="CVZ754" s="3796"/>
      <c r="CWA754" s="3796"/>
      <c r="CWB754" s="3796"/>
      <c r="CWC754" s="3796"/>
      <c r="CWD754" s="3796"/>
      <c r="CWE754" s="3796"/>
      <c r="CWF754" s="3796"/>
      <c r="CWG754" s="3796"/>
      <c r="CWH754" s="3796"/>
      <c r="CWI754" s="3796"/>
      <c r="CWJ754" s="3796"/>
      <c r="CWK754" s="3796"/>
      <c r="CWL754" s="3796"/>
      <c r="CWM754" s="3796"/>
      <c r="CWN754" s="3796"/>
      <c r="CWO754" s="3796"/>
      <c r="CWP754" s="3796"/>
      <c r="CWQ754" s="3796"/>
      <c r="CWR754" s="3796"/>
      <c r="CWS754" s="3796"/>
      <c r="CWT754" s="3796"/>
      <c r="CWU754" s="3796"/>
      <c r="CWV754" s="3796"/>
      <c r="CWW754" s="3796"/>
      <c r="CWX754" s="3796"/>
      <c r="CWY754" s="3796"/>
      <c r="CWZ754" s="3796"/>
      <c r="CXA754" s="3796"/>
      <c r="CXB754" s="3796"/>
      <c r="CXC754" s="3796"/>
      <c r="CXD754" s="3796"/>
      <c r="CXE754" s="3796"/>
      <c r="CXF754" s="3796"/>
      <c r="CXG754" s="3796"/>
      <c r="CXH754" s="3796"/>
      <c r="CXI754" s="3796"/>
      <c r="CXJ754" s="3796"/>
      <c r="CXK754" s="3796"/>
      <c r="CXL754" s="3796"/>
      <c r="CXM754" s="3796"/>
      <c r="CXN754" s="3796"/>
      <c r="CXO754" s="3796"/>
      <c r="CXP754" s="3796"/>
      <c r="CXQ754" s="3796"/>
      <c r="CXR754" s="3796"/>
      <c r="CXS754" s="3796"/>
      <c r="CXT754" s="3796"/>
      <c r="CXU754" s="3796"/>
      <c r="CXV754" s="3796"/>
      <c r="CXW754" s="3796"/>
      <c r="CXX754" s="3796"/>
      <c r="CXY754" s="3796"/>
      <c r="CXZ754" s="3796"/>
      <c r="CYA754" s="3796"/>
      <c r="CYB754" s="3796"/>
      <c r="CYC754" s="3796"/>
      <c r="CYD754" s="3796"/>
      <c r="CYE754" s="3796"/>
      <c r="CYF754" s="3796"/>
      <c r="CYG754" s="3796"/>
      <c r="CYH754" s="3796"/>
      <c r="CYI754" s="3796"/>
      <c r="CYJ754" s="3796"/>
      <c r="CYK754" s="3796"/>
      <c r="CYL754" s="3796"/>
      <c r="CYM754" s="3796"/>
      <c r="CYN754" s="3796"/>
      <c r="CYO754" s="3796"/>
      <c r="CYP754" s="3796"/>
      <c r="CYQ754" s="3796"/>
      <c r="CYR754" s="3796"/>
      <c r="CYS754" s="3796"/>
      <c r="CYT754" s="3796"/>
      <c r="CYU754" s="3796"/>
      <c r="CYV754" s="3796"/>
      <c r="CYW754" s="3796"/>
      <c r="CYX754" s="3796"/>
      <c r="CYY754" s="3796"/>
      <c r="CYZ754" s="3796"/>
      <c r="CZA754" s="3796"/>
      <c r="CZB754" s="3796"/>
      <c r="CZC754" s="3796"/>
      <c r="CZD754" s="3796"/>
      <c r="CZE754" s="3796"/>
      <c r="CZF754" s="3796"/>
      <c r="CZG754" s="3796"/>
      <c r="CZH754" s="3796"/>
      <c r="CZI754" s="3796"/>
      <c r="CZJ754" s="3796"/>
      <c r="CZK754" s="3796"/>
      <c r="CZL754" s="3796"/>
      <c r="CZM754" s="3796"/>
      <c r="CZN754" s="3796"/>
      <c r="CZO754" s="3796"/>
      <c r="CZP754" s="3796"/>
      <c r="CZQ754" s="3796"/>
      <c r="CZR754" s="3796"/>
      <c r="CZS754" s="3796"/>
      <c r="CZT754" s="3796"/>
      <c r="CZU754" s="3796"/>
      <c r="CZV754" s="3796"/>
      <c r="CZW754" s="3796"/>
      <c r="CZX754" s="3796"/>
      <c r="CZY754" s="3796"/>
      <c r="CZZ754" s="3796"/>
      <c r="DAA754" s="3796"/>
      <c r="DAB754" s="3796"/>
      <c r="DAC754" s="3796"/>
      <c r="DAD754" s="3796"/>
      <c r="DAE754" s="3796"/>
      <c r="DAF754" s="3796"/>
      <c r="DAG754" s="3796"/>
      <c r="DAH754" s="3796"/>
      <c r="DAI754" s="3796"/>
      <c r="DAJ754" s="3796"/>
      <c r="DAK754" s="3796"/>
      <c r="DAL754" s="3796"/>
      <c r="DAM754" s="3796"/>
      <c r="DAN754" s="3796"/>
      <c r="DAO754" s="3796"/>
      <c r="DAP754" s="3796"/>
      <c r="DAQ754" s="3796"/>
      <c r="DAR754" s="3796"/>
      <c r="DAS754" s="3796"/>
      <c r="DAT754" s="3796"/>
      <c r="DAU754" s="3796"/>
      <c r="DAV754" s="3796"/>
      <c r="DAW754" s="3796"/>
      <c r="DAX754" s="3796"/>
      <c r="DAY754" s="3796"/>
      <c r="DAZ754" s="3796"/>
      <c r="DBA754" s="3796"/>
      <c r="DBB754" s="3796"/>
      <c r="DBC754" s="3796"/>
      <c r="DBD754" s="3796"/>
      <c r="DBE754" s="3796"/>
      <c r="DBF754" s="3796"/>
      <c r="DBG754" s="3796"/>
      <c r="DBH754" s="3796"/>
      <c r="DBI754" s="3796"/>
      <c r="DBJ754" s="3796"/>
      <c r="DBK754" s="3796"/>
      <c r="DBL754" s="3796"/>
      <c r="DBM754" s="3796"/>
      <c r="DBN754" s="3796"/>
      <c r="DBO754" s="3796"/>
      <c r="DBP754" s="3796"/>
      <c r="DBQ754" s="3796"/>
      <c r="DBR754" s="3796"/>
      <c r="DBS754" s="3796"/>
      <c r="DBT754" s="3796"/>
      <c r="DBU754" s="3796"/>
      <c r="DBV754" s="3796"/>
      <c r="DBW754" s="3796"/>
      <c r="DBX754" s="3796"/>
      <c r="DBY754" s="3796"/>
      <c r="DBZ754" s="3796"/>
      <c r="DCA754" s="3796"/>
      <c r="DCB754" s="3796"/>
      <c r="DCC754" s="3796"/>
      <c r="DCD754" s="3796"/>
      <c r="DCE754" s="3796"/>
      <c r="DCF754" s="3796"/>
      <c r="DCG754" s="3796"/>
      <c r="DCH754" s="3796"/>
      <c r="DCI754" s="3796"/>
      <c r="DCJ754" s="3796"/>
      <c r="DCK754" s="3796"/>
      <c r="DCL754" s="3796"/>
      <c r="DCM754" s="3796"/>
      <c r="DCN754" s="3796"/>
      <c r="DCO754" s="3796"/>
      <c r="DCP754" s="3796"/>
      <c r="DCQ754" s="3796"/>
      <c r="DCR754" s="3796"/>
      <c r="DCS754" s="3796"/>
      <c r="DCT754" s="3796"/>
      <c r="DCU754" s="3796"/>
      <c r="DCV754" s="3796"/>
      <c r="DCW754" s="3796"/>
      <c r="DCX754" s="3796"/>
      <c r="DCY754" s="3796"/>
      <c r="DCZ754" s="3796"/>
      <c r="DDA754" s="3796"/>
      <c r="DDB754" s="3796"/>
      <c r="DDC754" s="3796"/>
      <c r="DDD754" s="3796"/>
      <c r="DDE754" s="3796"/>
      <c r="DDF754" s="3796"/>
      <c r="DDG754" s="3796"/>
      <c r="DDH754" s="3796"/>
      <c r="DDI754" s="3796"/>
      <c r="DDN754" s="3796"/>
      <c r="DDT754" s="3796"/>
      <c r="DDU754" s="3796"/>
      <c r="DDV754" s="3796"/>
      <c r="DDZ754" s="3796"/>
      <c r="DEG754" s="3796"/>
      <c r="DEH754" s="3796"/>
      <c r="DEI754" s="3796"/>
      <c r="DEJ754" s="3796"/>
      <c r="DEK754" s="3796"/>
      <c r="DEL754" s="3796"/>
      <c r="DEM754" s="3796"/>
      <c r="DEN754" s="3796"/>
      <c r="DEO754" s="3796"/>
      <c r="DEP754" s="3796"/>
      <c r="DEQ754" s="3796"/>
      <c r="DER754" s="3796"/>
      <c r="DES754" s="3796"/>
      <c r="DET754" s="3796"/>
      <c r="DEU754" s="3796"/>
      <c r="DEV754" s="3796"/>
      <c r="DEW754" s="3796"/>
      <c r="DEX754" s="3796"/>
      <c r="DEY754" s="3796"/>
      <c r="DEZ754" s="3796"/>
      <c r="DFA754" s="3796"/>
      <c r="DFB754" s="3796"/>
      <c r="DFC754" s="3796"/>
      <c r="DFD754" s="3796"/>
      <c r="DFE754" s="3796"/>
      <c r="DFF754" s="3796"/>
      <c r="DFG754" s="3796"/>
      <c r="DFH754" s="3796"/>
      <c r="DFI754" s="3796"/>
      <c r="DFJ754" s="3796"/>
      <c r="DFK754" s="3796"/>
      <c r="DFL754" s="3796"/>
      <c r="DFM754" s="3796"/>
      <c r="DFN754" s="3796"/>
      <c r="DFO754" s="3796"/>
      <c r="DFP754" s="3796"/>
      <c r="DFQ754" s="3796"/>
      <c r="DFR754" s="3796"/>
      <c r="DFS754" s="3796"/>
      <c r="DFT754" s="3796"/>
      <c r="DFU754" s="3796"/>
      <c r="DFV754" s="3796"/>
      <c r="DFW754" s="3796"/>
      <c r="DFX754" s="3796"/>
      <c r="DFY754" s="3796"/>
      <c r="DFZ754" s="3796"/>
      <c r="DGA754" s="3796"/>
      <c r="DGB754" s="3796"/>
      <c r="DGC754" s="3796"/>
      <c r="DGD754" s="3796"/>
      <c r="DGE754" s="3796"/>
      <c r="DGF754" s="3796"/>
      <c r="DGG754" s="3796"/>
      <c r="DGH754" s="3796"/>
      <c r="DGI754" s="3796"/>
      <c r="DGJ754" s="3796"/>
      <c r="DGK754" s="3796"/>
      <c r="DGL754" s="3796"/>
      <c r="DGM754" s="3796"/>
      <c r="DGN754" s="3796"/>
      <c r="DGO754" s="3796"/>
      <c r="DGP754" s="3796"/>
      <c r="DGQ754" s="3796"/>
      <c r="DGR754" s="3796"/>
      <c r="DGS754" s="3796"/>
      <c r="DGT754" s="3796"/>
      <c r="DGU754" s="3796"/>
      <c r="DGV754" s="3796"/>
      <c r="DGW754" s="3796"/>
      <c r="DGX754" s="3796"/>
      <c r="DGY754" s="3796"/>
      <c r="DGZ754" s="3796"/>
      <c r="DHA754" s="3796"/>
      <c r="DHB754" s="3796"/>
      <c r="DHC754" s="3796"/>
      <c r="DHD754" s="3796"/>
      <c r="DHE754" s="3796"/>
      <c r="DHF754" s="3796"/>
      <c r="DHG754" s="3796"/>
      <c r="DHH754" s="3796"/>
      <c r="DHI754" s="3796"/>
      <c r="DHJ754" s="3796"/>
      <c r="DHK754" s="3796"/>
      <c r="DHL754" s="3796"/>
      <c r="DHM754" s="3796"/>
      <c r="DHN754" s="3796"/>
      <c r="DHO754" s="3796"/>
      <c r="DHP754" s="3796"/>
      <c r="DHQ754" s="3796"/>
      <c r="DHR754" s="3796"/>
      <c r="DHS754" s="3796"/>
      <c r="DHT754" s="3796"/>
      <c r="DHU754" s="3796"/>
      <c r="DHV754" s="3796"/>
      <c r="DHW754" s="3796"/>
      <c r="DHX754" s="3796"/>
      <c r="DHY754" s="3796"/>
      <c r="DHZ754" s="3796"/>
      <c r="DIA754" s="3796"/>
      <c r="DIB754" s="3796"/>
      <c r="DIC754" s="3796"/>
      <c r="DID754" s="3796"/>
      <c r="DIE754" s="3796"/>
      <c r="DIF754" s="3796"/>
      <c r="DIG754" s="3796"/>
      <c r="DIH754" s="3796"/>
      <c r="DII754" s="3796"/>
      <c r="DIJ754" s="3796"/>
      <c r="DIK754" s="3796"/>
      <c r="DIL754" s="3796"/>
      <c r="DIM754" s="3796"/>
      <c r="DIN754" s="3796"/>
      <c r="DIO754" s="3796"/>
      <c r="DIP754" s="3796"/>
      <c r="DIQ754" s="3796"/>
      <c r="DIR754" s="3796"/>
      <c r="DIS754" s="3796"/>
      <c r="DIT754" s="3796"/>
      <c r="DIU754" s="3796"/>
      <c r="DIV754" s="3796"/>
      <c r="DIW754" s="3796"/>
      <c r="DIX754" s="3796"/>
      <c r="DIY754" s="3796"/>
      <c r="DIZ754" s="3796"/>
      <c r="DJA754" s="3796"/>
      <c r="DJB754" s="3796"/>
      <c r="DJC754" s="3796"/>
      <c r="DJD754" s="3796"/>
      <c r="DJE754" s="3796"/>
      <c r="DJF754" s="3796"/>
      <c r="DJG754" s="3796"/>
      <c r="DJH754" s="3796"/>
      <c r="DJI754" s="3796"/>
      <c r="DJJ754" s="3796"/>
      <c r="DJK754" s="3796"/>
      <c r="DJL754" s="3796"/>
      <c r="DJM754" s="3796"/>
      <c r="DJN754" s="3796"/>
      <c r="DJO754" s="3796"/>
      <c r="DJP754" s="3796"/>
      <c r="DJQ754" s="3796"/>
      <c r="DJR754" s="3796"/>
      <c r="DJS754" s="3796"/>
      <c r="DJT754" s="3796"/>
      <c r="DJU754" s="3796"/>
      <c r="DJV754" s="3796"/>
      <c r="DJW754" s="3796"/>
      <c r="DJX754" s="3796"/>
      <c r="DJY754" s="3796"/>
      <c r="DJZ754" s="3796"/>
      <c r="DKA754" s="3796"/>
      <c r="DKB754" s="3796"/>
      <c r="DKC754" s="3796"/>
      <c r="DKD754" s="3796"/>
      <c r="DKE754" s="3796"/>
      <c r="DKF754" s="3796"/>
      <c r="DKG754" s="3796"/>
      <c r="DKH754" s="3796"/>
      <c r="DKI754" s="3796"/>
      <c r="DKJ754" s="3796"/>
      <c r="DKK754" s="3796"/>
      <c r="DKL754" s="3796"/>
      <c r="DKM754" s="3796"/>
      <c r="DKN754" s="3796"/>
      <c r="DKO754" s="3796"/>
      <c r="DKP754" s="3796"/>
      <c r="DKQ754" s="3796"/>
      <c r="DKR754" s="3796"/>
      <c r="DKS754" s="3796"/>
      <c r="DKT754" s="3796"/>
      <c r="DKU754" s="3796"/>
      <c r="DKV754" s="3796"/>
      <c r="DKW754" s="3796"/>
      <c r="DKX754" s="3796"/>
      <c r="DKY754" s="3796"/>
      <c r="DKZ754" s="3796"/>
      <c r="DLA754" s="3796"/>
      <c r="DLB754" s="3796"/>
      <c r="DLC754" s="3796"/>
      <c r="DLD754" s="3796"/>
      <c r="DLE754" s="3796"/>
      <c r="DLF754" s="3796"/>
      <c r="DLG754" s="3796"/>
      <c r="DLH754" s="3796"/>
      <c r="DLI754" s="3796"/>
      <c r="DLJ754" s="3796"/>
      <c r="DLK754" s="3796"/>
      <c r="DLL754" s="3796"/>
      <c r="DLM754" s="3796"/>
      <c r="DLN754" s="3796"/>
      <c r="DLO754" s="3796"/>
      <c r="DLP754" s="3796"/>
      <c r="DLQ754" s="3796"/>
      <c r="DLR754" s="3796"/>
      <c r="DLS754" s="3796"/>
      <c r="DLT754" s="3796"/>
      <c r="DLU754" s="3796"/>
      <c r="DLV754" s="3796"/>
      <c r="DLW754" s="3796"/>
      <c r="DLX754" s="3796"/>
      <c r="DLY754" s="3796"/>
      <c r="DLZ754" s="3796"/>
      <c r="DMA754" s="3796"/>
      <c r="DMB754" s="3796"/>
      <c r="DMC754" s="3796"/>
      <c r="DMD754" s="3796"/>
      <c r="DME754" s="3796"/>
      <c r="DMF754" s="3796"/>
      <c r="DMG754" s="3796"/>
      <c r="DMH754" s="3796"/>
      <c r="DMI754" s="3796"/>
      <c r="DMJ754" s="3796"/>
      <c r="DMK754" s="3796"/>
      <c r="DML754" s="3796"/>
      <c r="DMM754" s="3796"/>
      <c r="DMN754" s="3796"/>
      <c r="DMO754" s="3796"/>
      <c r="DMP754" s="3796"/>
      <c r="DMQ754" s="3796"/>
      <c r="DMR754" s="3796"/>
      <c r="DMS754" s="3796"/>
      <c r="DMT754" s="3796"/>
      <c r="DMU754" s="3796"/>
      <c r="DMV754" s="3796"/>
      <c r="DMW754" s="3796"/>
      <c r="DMX754" s="3796"/>
      <c r="DMY754" s="3796"/>
      <c r="DMZ754" s="3796"/>
      <c r="DNA754" s="3796"/>
      <c r="DNB754" s="3796"/>
      <c r="DNC754" s="3796"/>
      <c r="DND754" s="3796"/>
      <c r="DNE754" s="3796"/>
      <c r="DNJ754" s="3796"/>
      <c r="DNP754" s="3796"/>
      <c r="DNQ754" s="3796"/>
      <c r="DNR754" s="3796"/>
      <c r="DNV754" s="3796"/>
      <c r="DOC754" s="3796"/>
      <c r="DOD754" s="3796"/>
      <c r="DOE754" s="3796"/>
      <c r="DOF754" s="3796"/>
      <c r="DOG754" s="3796"/>
      <c r="DOH754" s="3796"/>
      <c r="DOI754" s="3796"/>
      <c r="DOJ754" s="3796"/>
      <c r="DOK754" s="3796"/>
      <c r="DOL754" s="3796"/>
      <c r="DOM754" s="3796"/>
      <c r="DON754" s="3796"/>
      <c r="DOO754" s="3796"/>
      <c r="DOP754" s="3796"/>
      <c r="DOQ754" s="3796"/>
      <c r="DOR754" s="3796"/>
      <c r="DOS754" s="3796"/>
      <c r="DOT754" s="3796"/>
      <c r="DOU754" s="3796"/>
      <c r="DOV754" s="3796"/>
      <c r="DOW754" s="3796"/>
      <c r="DOX754" s="3796"/>
      <c r="DOY754" s="3796"/>
      <c r="DOZ754" s="3796"/>
      <c r="DPA754" s="3796"/>
      <c r="DPB754" s="3796"/>
      <c r="DPC754" s="3796"/>
      <c r="DPD754" s="3796"/>
      <c r="DPE754" s="3796"/>
      <c r="DPF754" s="3796"/>
      <c r="DPG754" s="3796"/>
      <c r="DPH754" s="3796"/>
      <c r="DPI754" s="3796"/>
      <c r="DPJ754" s="3796"/>
      <c r="DPK754" s="3796"/>
      <c r="DPL754" s="3796"/>
      <c r="DPM754" s="3796"/>
      <c r="DPN754" s="3796"/>
      <c r="DPO754" s="3796"/>
      <c r="DPP754" s="3796"/>
      <c r="DPQ754" s="3796"/>
      <c r="DPR754" s="3796"/>
      <c r="DPS754" s="3796"/>
      <c r="DPT754" s="3796"/>
      <c r="DPU754" s="3796"/>
      <c r="DPV754" s="3796"/>
      <c r="DPW754" s="3796"/>
      <c r="DPX754" s="3796"/>
      <c r="DPY754" s="3796"/>
      <c r="DPZ754" s="3796"/>
      <c r="DQA754" s="3796"/>
      <c r="DQB754" s="3796"/>
      <c r="DQC754" s="3796"/>
      <c r="DQD754" s="3796"/>
      <c r="DQE754" s="3796"/>
      <c r="DQF754" s="3796"/>
      <c r="DQG754" s="3796"/>
      <c r="DQH754" s="3796"/>
      <c r="DQI754" s="3796"/>
      <c r="DQJ754" s="3796"/>
      <c r="DQK754" s="3796"/>
      <c r="DQL754" s="3796"/>
      <c r="DQM754" s="3796"/>
      <c r="DQN754" s="3796"/>
      <c r="DQO754" s="3796"/>
      <c r="DQP754" s="3796"/>
      <c r="DQQ754" s="3796"/>
      <c r="DQR754" s="3796"/>
      <c r="DQS754" s="3796"/>
      <c r="DQT754" s="3796"/>
      <c r="DQU754" s="3796"/>
      <c r="DQV754" s="3796"/>
      <c r="DQW754" s="3796"/>
      <c r="DQX754" s="3796"/>
      <c r="DQY754" s="3796"/>
      <c r="DQZ754" s="3796"/>
      <c r="DRA754" s="3796"/>
      <c r="DRB754" s="3796"/>
      <c r="DRC754" s="3796"/>
      <c r="DRD754" s="3796"/>
      <c r="DRE754" s="3796"/>
      <c r="DRF754" s="3796"/>
      <c r="DRG754" s="3796"/>
      <c r="DRH754" s="3796"/>
      <c r="DRI754" s="3796"/>
      <c r="DRJ754" s="3796"/>
      <c r="DRK754" s="3796"/>
      <c r="DRL754" s="3796"/>
      <c r="DRM754" s="3796"/>
      <c r="DRN754" s="3796"/>
      <c r="DRO754" s="3796"/>
      <c r="DRP754" s="3796"/>
      <c r="DRQ754" s="3796"/>
      <c r="DRR754" s="3796"/>
      <c r="DRS754" s="3796"/>
      <c r="DRT754" s="3796"/>
      <c r="DRU754" s="3796"/>
      <c r="DRV754" s="3796"/>
      <c r="DRW754" s="3796"/>
      <c r="DRX754" s="3796"/>
      <c r="DRY754" s="3796"/>
      <c r="DRZ754" s="3796"/>
      <c r="DSA754" s="3796"/>
      <c r="DSB754" s="3796"/>
      <c r="DSC754" s="3796"/>
      <c r="DSD754" s="3796"/>
      <c r="DSE754" s="3796"/>
      <c r="DSF754" s="3796"/>
      <c r="DSG754" s="3796"/>
      <c r="DSH754" s="3796"/>
      <c r="DSI754" s="3796"/>
      <c r="DSJ754" s="3796"/>
      <c r="DSK754" s="3796"/>
      <c r="DSL754" s="3796"/>
      <c r="DSM754" s="3796"/>
      <c r="DSN754" s="3796"/>
      <c r="DSO754" s="3796"/>
      <c r="DSP754" s="3796"/>
      <c r="DSQ754" s="3796"/>
      <c r="DSR754" s="3796"/>
      <c r="DSS754" s="3796"/>
      <c r="DST754" s="3796"/>
      <c r="DSU754" s="3796"/>
      <c r="DSV754" s="3796"/>
      <c r="DSW754" s="3796"/>
      <c r="DSX754" s="3796"/>
      <c r="DSY754" s="3796"/>
      <c r="DSZ754" s="3796"/>
      <c r="DTA754" s="3796"/>
      <c r="DTB754" s="3796"/>
      <c r="DTC754" s="3796"/>
      <c r="DTD754" s="3796"/>
      <c r="DTE754" s="3796"/>
      <c r="DTF754" s="3796"/>
      <c r="DTG754" s="3796"/>
      <c r="DTH754" s="3796"/>
      <c r="DTI754" s="3796"/>
      <c r="DTJ754" s="3796"/>
      <c r="DTK754" s="3796"/>
      <c r="DTL754" s="3796"/>
      <c r="DTM754" s="3796"/>
      <c r="DTN754" s="3796"/>
      <c r="DTO754" s="3796"/>
      <c r="DTP754" s="3796"/>
      <c r="DTQ754" s="3796"/>
      <c r="DTR754" s="3796"/>
      <c r="DTS754" s="3796"/>
      <c r="DTT754" s="3796"/>
      <c r="DTU754" s="3796"/>
      <c r="DTV754" s="3796"/>
      <c r="DTW754" s="3796"/>
      <c r="DTX754" s="3796"/>
      <c r="DTY754" s="3796"/>
      <c r="DTZ754" s="3796"/>
      <c r="DUA754" s="3796"/>
      <c r="DUB754" s="3796"/>
      <c r="DUC754" s="3796"/>
      <c r="DUD754" s="3796"/>
      <c r="DUE754" s="3796"/>
      <c r="DUF754" s="3796"/>
      <c r="DUG754" s="3796"/>
      <c r="DUH754" s="3796"/>
      <c r="DUI754" s="3796"/>
      <c r="DUJ754" s="3796"/>
      <c r="DUK754" s="3796"/>
      <c r="DUL754" s="3796"/>
      <c r="DUM754" s="3796"/>
      <c r="DUN754" s="3796"/>
      <c r="DUO754" s="3796"/>
      <c r="DUP754" s="3796"/>
      <c r="DUQ754" s="3796"/>
      <c r="DUR754" s="3796"/>
      <c r="DUS754" s="3796"/>
      <c r="DUT754" s="3796"/>
      <c r="DUU754" s="3796"/>
      <c r="DUV754" s="3796"/>
      <c r="DUW754" s="3796"/>
      <c r="DUX754" s="3796"/>
      <c r="DUY754" s="3796"/>
      <c r="DUZ754" s="3796"/>
      <c r="DVA754" s="3796"/>
      <c r="DVB754" s="3796"/>
      <c r="DVC754" s="3796"/>
      <c r="DVD754" s="3796"/>
      <c r="DVE754" s="3796"/>
      <c r="DVF754" s="3796"/>
      <c r="DVG754" s="3796"/>
      <c r="DVH754" s="3796"/>
      <c r="DVI754" s="3796"/>
      <c r="DVJ754" s="3796"/>
      <c r="DVK754" s="3796"/>
      <c r="DVL754" s="3796"/>
      <c r="DVM754" s="3796"/>
      <c r="DVN754" s="3796"/>
      <c r="DVO754" s="3796"/>
      <c r="DVP754" s="3796"/>
      <c r="DVQ754" s="3796"/>
      <c r="DVR754" s="3796"/>
      <c r="DVS754" s="3796"/>
      <c r="DVT754" s="3796"/>
      <c r="DVU754" s="3796"/>
      <c r="DVV754" s="3796"/>
      <c r="DVW754" s="3796"/>
      <c r="DVX754" s="3796"/>
      <c r="DVY754" s="3796"/>
      <c r="DVZ754" s="3796"/>
      <c r="DWA754" s="3796"/>
      <c r="DWB754" s="3796"/>
      <c r="DWC754" s="3796"/>
      <c r="DWD754" s="3796"/>
      <c r="DWE754" s="3796"/>
      <c r="DWF754" s="3796"/>
      <c r="DWG754" s="3796"/>
      <c r="DWH754" s="3796"/>
      <c r="DWI754" s="3796"/>
      <c r="DWJ754" s="3796"/>
      <c r="DWK754" s="3796"/>
      <c r="DWL754" s="3796"/>
      <c r="DWM754" s="3796"/>
      <c r="DWN754" s="3796"/>
      <c r="DWO754" s="3796"/>
      <c r="DWP754" s="3796"/>
      <c r="DWQ754" s="3796"/>
      <c r="DWR754" s="3796"/>
      <c r="DWS754" s="3796"/>
      <c r="DWT754" s="3796"/>
      <c r="DWU754" s="3796"/>
      <c r="DWV754" s="3796"/>
      <c r="DWW754" s="3796"/>
      <c r="DWX754" s="3796"/>
      <c r="DWY754" s="3796"/>
      <c r="DWZ754" s="3796"/>
      <c r="DXA754" s="3796"/>
      <c r="DXF754" s="3796"/>
      <c r="DXL754" s="3796"/>
      <c r="DXM754" s="3796"/>
      <c r="DXN754" s="3796"/>
      <c r="DXR754" s="3796"/>
      <c r="DXY754" s="3796"/>
      <c r="DXZ754" s="3796"/>
      <c r="DYA754" s="3796"/>
      <c r="DYB754" s="3796"/>
      <c r="DYC754" s="3796"/>
      <c r="DYD754" s="3796"/>
      <c r="DYE754" s="3796"/>
      <c r="DYF754" s="3796"/>
      <c r="DYG754" s="3796"/>
      <c r="DYH754" s="3796"/>
      <c r="DYI754" s="3796"/>
      <c r="DYJ754" s="3796"/>
      <c r="DYK754" s="3796"/>
      <c r="DYL754" s="3796"/>
      <c r="DYM754" s="3796"/>
      <c r="DYN754" s="3796"/>
      <c r="DYO754" s="3796"/>
      <c r="DYP754" s="3796"/>
      <c r="DYQ754" s="3796"/>
      <c r="DYR754" s="3796"/>
      <c r="DYS754" s="3796"/>
      <c r="DYT754" s="3796"/>
      <c r="DYU754" s="3796"/>
      <c r="DYV754" s="3796"/>
      <c r="DYW754" s="3796"/>
      <c r="DYX754" s="3796"/>
      <c r="DYY754" s="3796"/>
      <c r="DYZ754" s="3796"/>
      <c r="DZA754" s="3796"/>
      <c r="DZB754" s="3796"/>
      <c r="DZC754" s="3796"/>
      <c r="DZD754" s="3796"/>
      <c r="DZE754" s="3796"/>
      <c r="DZF754" s="3796"/>
      <c r="DZG754" s="3796"/>
      <c r="DZH754" s="3796"/>
      <c r="DZI754" s="3796"/>
      <c r="DZJ754" s="3796"/>
      <c r="DZK754" s="3796"/>
      <c r="DZL754" s="3796"/>
      <c r="DZM754" s="3796"/>
      <c r="DZN754" s="3796"/>
      <c r="DZO754" s="3796"/>
      <c r="DZP754" s="3796"/>
      <c r="DZQ754" s="3796"/>
      <c r="DZR754" s="3796"/>
      <c r="DZS754" s="3796"/>
      <c r="DZT754" s="3796"/>
      <c r="DZU754" s="3796"/>
      <c r="DZV754" s="3796"/>
      <c r="DZW754" s="3796"/>
      <c r="DZX754" s="3796"/>
      <c r="DZY754" s="3796"/>
      <c r="DZZ754" s="3796"/>
      <c r="EAA754" s="3796"/>
      <c r="EAB754" s="3796"/>
      <c r="EAC754" s="3796"/>
      <c r="EAD754" s="3796"/>
      <c r="EAE754" s="3796"/>
      <c r="EAF754" s="3796"/>
      <c r="EAG754" s="3796"/>
      <c r="EAH754" s="3796"/>
      <c r="EAI754" s="3796"/>
      <c r="EAJ754" s="3796"/>
      <c r="EAK754" s="3796"/>
      <c r="EAL754" s="3796"/>
      <c r="EAM754" s="3796"/>
      <c r="EAN754" s="3796"/>
      <c r="EAO754" s="3796"/>
      <c r="EAP754" s="3796"/>
      <c r="EAQ754" s="3796"/>
      <c r="EAR754" s="3796"/>
      <c r="EAS754" s="3796"/>
      <c r="EAT754" s="3796"/>
      <c r="EAU754" s="3796"/>
      <c r="EAV754" s="3796"/>
      <c r="EAW754" s="3796"/>
      <c r="EAX754" s="3796"/>
      <c r="EAY754" s="3796"/>
      <c r="EAZ754" s="3796"/>
      <c r="EBA754" s="3796"/>
      <c r="EBB754" s="3796"/>
      <c r="EBC754" s="3796"/>
      <c r="EBD754" s="3796"/>
      <c r="EBE754" s="3796"/>
      <c r="EBF754" s="3796"/>
      <c r="EBG754" s="3796"/>
      <c r="EBH754" s="3796"/>
      <c r="EBI754" s="3796"/>
      <c r="EBJ754" s="3796"/>
      <c r="EBK754" s="3796"/>
      <c r="EBL754" s="3796"/>
      <c r="EBM754" s="3796"/>
      <c r="EBN754" s="3796"/>
      <c r="EBO754" s="3796"/>
      <c r="EBP754" s="3796"/>
      <c r="EBQ754" s="3796"/>
      <c r="EBR754" s="3796"/>
      <c r="EBS754" s="3796"/>
      <c r="EBT754" s="3796"/>
      <c r="EBU754" s="3796"/>
      <c r="EBV754" s="3796"/>
      <c r="EBW754" s="3796"/>
      <c r="EBX754" s="3796"/>
      <c r="EBY754" s="3796"/>
      <c r="EBZ754" s="3796"/>
      <c r="ECA754" s="3796"/>
      <c r="ECB754" s="3796"/>
      <c r="ECC754" s="3796"/>
      <c r="ECD754" s="3796"/>
      <c r="ECE754" s="3796"/>
      <c r="ECF754" s="3796"/>
      <c r="ECG754" s="3796"/>
      <c r="ECH754" s="3796"/>
      <c r="ECI754" s="3796"/>
      <c r="ECJ754" s="3796"/>
      <c r="ECK754" s="3796"/>
      <c r="ECL754" s="3796"/>
      <c r="ECM754" s="3796"/>
      <c r="ECN754" s="3796"/>
      <c r="ECO754" s="3796"/>
      <c r="ECP754" s="3796"/>
      <c r="ECQ754" s="3796"/>
      <c r="ECR754" s="3796"/>
      <c r="ECS754" s="3796"/>
      <c r="ECT754" s="3796"/>
      <c r="ECU754" s="3796"/>
      <c r="ECV754" s="3796"/>
      <c r="ECW754" s="3796"/>
      <c r="ECX754" s="3796"/>
      <c r="ECY754" s="3796"/>
      <c r="ECZ754" s="3796"/>
      <c r="EDA754" s="3796"/>
      <c r="EDB754" s="3796"/>
      <c r="EDC754" s="3796"/>
      <c r="EDD754" s="3796"/>
      <c r="EDE754" s="3796"/>
      <c r="EDF754" s="3796"/>
      <c r="EDG754" s="3796"/>
      <c r="EDH754" s="3796"/>
      <c r="EDI754" s="3796"/>
      <c r="EDJ754" s="3796"/>
      <c r="EDK754" s="3796"/>
      <c r="EDL754" s="3796"/>
      <c r="EDM754" s="3796"/>
      <c r="EDN754" s="3796"/>
      <c r="EDO754" s="3796"/>
      <c r="EDP754" s="3796"/>
      <c r="EDQ754" s="3796"/>
      <c r="EDR754" s="3796"/>
      <c r="EDS754" s="3796"/>
      <c r="EDT754" s="3796"/>
      <c r="EDU754" s="3796"/>
      <c r="EDV754" s="3796"/>
      <c r="EDW754" s="3796"/>
      <c r="EDX754" s="3796"/>
      <c r="EDY754" s="3796"/>
      <c r="EDZ754" s="3796"/>
      <c r="EEA754" s="3796"/>
      <c r="EEB754" s="3796"/>
      <c r="EEC754" s="3796"/>
      <c r="EED754" s="3796"/>
      <c r="EEE754" s="3796"/>
      <c r="EEF754" s="3796"/>
      <c r="EEG754" s="3796"/>
      <c r="EEH754" s="3796"/>
      <c r="EEI754" s="3796"/>
      <c r="EEJ754" s="3796"/>
      <c r="EEK754" s="3796"/>
      <c r="EEL754" s="3796"/>
      <c r="EEM754" s="3796"/>
      <c r="EEN754" s="3796"/>
      <c r="EEO754" s="3796"/>
      <c r="EEP754" s="3796"/>
      <c r="EEQ754" s="3796"/>
      <c r="EER754" s="3796"/>
      <c r="EES754" s="3796"/>
      <c r="EET754" s="3796"/>
      <c r="EEU754" s="3796"/>
      <c r="EEV754" s="3796"/>
      <c r="EEW754" s="3796"/>
      <c r="EEX754" s="3796"/>
      <c r="EEY754" s="3796"/>
      <c r="EEZ754" s="3796"/>
      <c r="EFA754" s="3796"/>
      <c r="EFB754" s="3796"/>
      <c r="EFC754" s="3796"/>
      <c r="EFD754" s="3796"/>
      <c r="EFE754" s="3796"/>
      <c r="EFF754" s="3796"/>
      <c r="EFG754" s="3796"/>
      <c r="EFH754" s="3796"/>
      <c r="EFI754" s="3796"/>
      <c r="EFJ754" s="3796"/>
      <c r="EFK754" s="3796"/>
      <c r="EFL754" s="3796"/>
      <c r="EFM754" s="3796"/>
      <c r="EFN754" s="3796"/>
      <c r="EFO754" s="3796"/>
      <c r="EFP754" s="3796"/>
      <c r="EFQ754" s="3796"/>
      <c r="EFR754" s="3796"/>
      <c r="EFS754" s="3796"/>
      <c r="EFT754" s="3796"/>
      <c r="EFU754" s="3796"/>
      <c r="EFV754" s="3796"/>
      <c r="EFW754" s="3796"/>
      <c r="EFX754" s="3796"/>
      <c r="EFY754" s="3796"/>
      <c r="EFZ754" s="3796"/>
      <c r="EGA754" s="3796"/>
      <c r="EGB754" s="3796"/>
      <c r="EGC754" s="3796"/>
      <c r="EGD754" s="3796"/>
      <c r="EGE754" s="3796"/>
      <c r="EGF754" s="3796"/>
      <c r="EGG754" s="3796"/>
      <c r="EGH754" s="3796"/>
      <c r="EGI754" s="3796"/>
      <c r="EGJ754" s="3796"/>
      <c r="EGK754" s="3796"/>
      <c r="EGL754" s="3796"/>
      <c r="EGM754" s="3796"/>
      <c r="EGN754" s="3796"/>
      <c r="EGO754" s="3796"/>
      <c r="EGP754" s="3796"/>
      <c r="EGQ754" s="3796"/>
      <c r="EGR754" s="3796"/>
      <c r="EGS754" s="3796"/>
      <c r="EGT754" s="3796"/>
      <c r="EGU754" s="3796"/>
      <c r="EGV754" s="3796"/>
      <c r="EGW754" s="3796"/>
      <c r="EHB754" s="3796"/>
      <c r="EHH754" s="3796"/>
      <c r="EHI754" s="3796"/>
      <c r="EHJ754" s="3796"/>
      <c r="EHN754" s="3796"/>
      <c r="EHU754" s="3796"/>
      <c r="EHV754" s="3796"/>
      <c r="EHW754" s="3796"/>
      <c r="EHX754" s="3796"/>
      <c r="EHY754" s="3796"/>
      <c r="EHZ754" s="3796"/>
      <c r="EIA754" s="3796"/>
      <c r="EIB754" s="3796"/>
      <c r="EIC754" s="3796"/>
      <c r="EID754" s="3796"/>
      <c r="EIE754" s="3796"/>
      <c r="EIF754" s="3796"/>
      <c r="EIG754" s="3796"/>
      <c r="EIH754" s="3796"/>
      <c r="EII754" s="3796"/>
      <c r="EIJ754" s="3796"/>
      <c r="EIK754" s="3796"/>
      <c r="EIL754" s="3796"/>
      <c r="EIM754" s="3796"/>
      <c r="EIN754" s="3796"/>
      <c r="EIO754" s="3796"/>
      <c r="EIP754" s="3796"/>
      <c r="EIQ754" s="3796"/>
      <c r="EIR754" s="3796"/>
      <c r="EIS754" s="3796"/>
      <c r="EIT754" s="3796"/>
      <c r="EIU754" s="3796"/>
      <c r="EIV754" s="3796"/>
      <c r="EIW754" s="3796"/>
      <c r="EIX754" s="3796"/>
      <c r="EIY754" s="3796"/>
      <c r="EIZ754" s="3796"/>
      <c r="EJA754" s="3796"/>
      <c r="EJB754" s="3796"/>
      <c r="EJC754" s="3796"/>
      <c r="EJD754" s="3796"/>
      <c r="EJE754" s="3796"/>
      <c r="EJF754" s="3796"/>
      <c r="EJG754" s="3796"/>
      <c r="EJH754" s="3796"/>
      <c r="EJI754" s="3796"/>
      <c r="EJJ754" s="3796"/>
      <c r="EJK754" s="3796"/>
      <c r="EJL754" s="3796"/>
      <c r="EJM754" s="3796"/>
      <c r="EJN754" s="3796"/>
      <c r="EJO754" s="3796"/>
      <c r="EJP754" s="3796"/>
      <c r="EJQ754" s="3796"/>
      <c r="EJR754" s="3796"/>
      <c r="EJS754" s="3796"/>
      <c r="EJT754" s="3796"/>
      <c r="EJU754" s="3796"/>
      <c r="EJV754" s="3796"/>
      <c r="EJW754" s="3796"/>
      <c r="EJX754" s="3796"/>
      <c r="EJY754" s="3796"/>
      <c r="EJZ754" s="3796"/>
      <c r="EKA754" s="3796"/>
      <c r="EKB754" s="3796"/>
      <c r="EKC754" s="3796"/>
      <c r="EKD754" s="3796"/>
      <c r="EKE754" s="3796"/>
      <c r="EKF754" s="3796"/>
      <c r="EKG754" s="3796"/>
      <c r="EKH754" s="3796"/>
      <c r="EKI754" s="3796"/>
      <c r="EKJ754" s="3796"/>
      <c r="EKK754" s="3796"/>
      <c r="EKL754" s="3796"/>
      <c r="EKM754" s="3796"/>
      <c r="EKN754" s="3796"/>
      <c r="EKO754" s="3796"/>
      <c r="EKP754" s="3796"/>
      <c r="EKQ754" s="3796"/>
      <c r="EKR754" s="3796"/>
      <c r="EKS754" s="3796"/>
      <c r="EKT754" s="3796"/>
      <c r="EKU754" s="3796"/>
      <c r="EKV754" s="3796"/>
      <c r="EKW754" s="3796"/>
      <c r="EKX754" s="3796"/>
      <c r="EKY754" s="3796"/>
      <c r="EKZ754" s="3796"/>
      <c r="ELA754" s="3796"/>
      <c r="ELB754" s="3796"/>
      <c r="ELC754" s="3796"/>
      <c r="ELD754" s="3796"/>
      <c r="ELE754" s="3796"/>
      <c r="ELF754" s="3796"/>
      <c r="ELG754" s="3796"/>
      <c r="ELH754" s="3796"/>
      <c r="ELI754" s="3796"/>
      <c r="ELJ754" s="3796"/>
      <c r="ELK754" s="3796"/>
      <c r="ELL754" s="3796"/>
      <c r="ELM754" s="3796"/>
      <c r="ELN754" s="3796"/>
      <c r="ELO754" s="3796"/>
      <c r="ELP754" s="3796"/>
      <c r="ELQ754" s="3796"/>
      <c r="ELR754" s="3796"/>
      <c r="ELS754" s="3796"/>
      <c r="ELT754" s="3796"/>
      <c r="ELU754" s="3796"/>
      <c r="ELV754" s="3796"/>
      <c r="ELW754" s="3796"/>
      <c r="ELX754" s="3796"/>
      <c r="ELY754" s="3796"/>
      <c r="ELZ754" s="3796"/>
      <c r="EMA754" s="3796"/>
      <c r="EMB754" s="3796"/>
      <c r="EMC754" s="3796"/>
      <c r="EMD754" s="3796"/>
      <c r="EME754" s="3796"/>
      <c r="EMF754" s="3796"/>
      <c r="EMG754" s="3796"/>
      <c r="EMH754" s="3796"/>
      <c r="EMI754" s="3796"/>
      <c r="EMJ754" s="3796"/>
      <c r="EMK754" s="3796"/>
      <c r="EML754" s="3796"/>
      <c r="EMM754" s="3796"/>
      <c r="EMN754" s="3796"/>
      <c r="EMO754" s="3796"/>
      <c r="EMP754" s="3796"/>
      <c r="EMQ754" s="3796"/>
      <c r="EMR754" s="3796"/>
      <c r="EMS754" s="3796"/>
      <c r="EMT754" s="3796"/>
      <c r="EMU754" s="3796"/>
      <c r="EMV754" s="3796"/>
      <c r="EMW754" s="3796"/>
      <c r="EMX754" s="3796"/>
      <c r="EMY754" s="3796"/>
      <c r="EMZ754" s="3796"/>
      <c r="ENA754" s="3796"/>
      <c r="ENB754" s="3796"/>
      <c r="ENC754" s="3796"/>
      <c r="END754" s="3796"/>
      <c r="ENE754" s="3796"/>
      <c r="ENF754" s="3796"/>
      <c r="ENG754" s="3796"/>
      <c r="ENH754" s="3796"/>
      <c r="ENI754" s="3796"/>
      <c r="ENJ754" s="3796"/>
      <c r="ENK754" s="3796"/>
      <c r="ENL754" s="3796"/>
      <c r="ENM754" s="3796"/>
      <c r="ENN754" s="3796"/>
      <c r="ENO754" s="3796"/>
      <c r="ENP754" s="3796"/>
      <c r="ENQ754" s="3796"/>
      <c r="ENR754" s="3796"/>
      <c r="ENS754" s="3796"/>
      <c r="ENT754" s="3796"/>
      <c r="ENU754" s="3796"/>
      <c r="ENV754" s="3796"/>
      <c r="ENW754" s="3796"/>
      <c r="ENX754" s="3796"/>
      <c r="ENY754" s="3796"/>
      <c r="ENZ754" s="3796"/>
      <c r="EOA754" s="3796"/>
      <c r="EOB754" s="3796"/>
      <c r="EOC754" s="3796"/>
      <c r="EOD754" s="3796"/>
      <c r="EOE754" s="3796"/>
      <c r="EOF754" s="3796"/>
      <c r="EOG754" s="3796"/>
      <c r="EOH754" s="3796"/>
      <c r="EOI754" s="3796"/>
      <c r="EOJ754" s="3796"/>
      <c r="EOK754" s="3796"/>
      <c r="EOL754" s="3796"/>
      <c r="EOM754" s="3796"/>
      <c r="EON754" s="3796"/>
      <c r="EOO754" s="3796"/>
      <c r="EOP754" s="3796"/>
      <c r="EOQ754" s="3796"/>
      <c r="EOR754" s="3796"/>
      <c r="EOS754" s="3796"/>
      <c r="EOT754" s="3796"/>
      <c r="EOU754" s="3796"/>
      <c r="EOV754" s="3796"/>
      <c r="EOW754" s="3796"/>
      <c r="EOX754" s="3796"/>
      <c r="EOY754" s="3796"/>
      <c r="EOZ754" s="3796"/>
      <c r="EPA754" s="3796"/>
      <c r="EPB754" s="3796"/>
      <c r="EPC754" s="3796"/>
      <c r="EPD754" s="3796"/>
      <c r="EPE754" s="3796"/>
      <c r="EPF754" s="3796"/>
      <c r="EPG754" s="3796"/>
      <c r="EPH754" s="3796"/>
      <c r="EPI754" s="3796"/>
      <c r="EPJ754" s="3796"/>
      <c r="EPK754" s="3796"/>
      <c r="EPL754" s="3796"/>
      <c r="EPM754" s="3796"/>
      <c r="EPN754" s="3796"/>
      <c r="EPO754" s="3796"/>
      <c r="EPP754" s="3796"/>
      <c r="EPQ754" s="3796"/>
      <c r="EPR754" s="3796"/>
      <c r="EPS754" s="3796"/>
      <c r="EPT754" s="3796"/>
      <c r="EPU754" s="3796"/>
      <c r="EPV754" s="3796"/>
      <c r="EPW754" s="3796"/>
      <c r="EPX754" s="3796"/>
      <c r="EPY754" s="3796"/>
      <c r="EPZ754" s="3796"/>
      <c r="EQA754" s="3796"/>
      <c r="EQB754" s="3796"/>
      <c r="EQC754" s="3796"/>
      <c r="EQD754" s="3796"/>
      <c r="EQE754" s="3796"/>
      <c r="EQF754" s="3796"/>
      <c r="EQG754" s="3796"/>
      <c r="EQH754" s="3796"/>
      <c r="EQI754" s="3796"/>
      <c r="EQJ754" s="3796"/>
      <c r="EQK754" s="3796"/>
      <c r="EQL754" s="3796"/>
      <c r="EQM754" s="3796"/>
      <c r="EQN754" s="3796"/>
      <c r="EQO754" s="3796"/>
      <c r="EQP754" s="3796"/>
      <c r="EQQ754" s="3796"/>
      <c r="EQR754" s="3796"/>
      <c r="EQS754" s="3796"/>
      <c r="EQX754" s="3796"/>
      <c r="ERD754" s="3796"/>
      <c r="ERE754" s="3796"/>
      <c r="ERF754" s="3796"/>
      <c r="ERJ754" s="3796"/>
      <c r="ERQ754" s="3796"/>
      <c r="ERR754" s="3796"/>
      <c r="ERS754" s="3796"/>
      <c r="ERT754" s="3796"/>
      <c r="ERU754" s="3796"/>
      <c r="ERV754" s="3796"/>
      <c r="ERW754" s="3796"/>
      <c r="ERX754" s="3796"/>
      <c r="ERY754" s="3796"/>
      <c r="ERZ754" s="3796"/>
      <c r="ESA754" s="3796"/>
      <c r="ESB754" s="3796"/>
      <c r="ESC754" s="3796"/>
      <c r="ESD754" s="3796"/>
      <c r="ESE754" s="3796"/>
      <c r="ESF754" s="3796"/>
      <c r="ESG754" s="3796"/>
      <c r="ESH754" s="3796"/>
      <c r="ESI754" s="3796"/>
      <c r="ESJ754" s="3796"/>
      <c r="ESK754" s="3796"/>
      <c r="ESL754" s="3796"/>
      <c r="ESM754" s="3796"/>
      <c r="ESN754" s="3796"/>
      <c r="ESO754" s="3796"/>
      <c r="ESP754" s="3796"/>
      <c r="ESQ754" s="3796"/>
      <c r="ESR754" s="3796"/>
      <c r="ESS754" s="3796"/>
      <c r="EST754" s="3796"/>
      <c r="ESU754" s="3796"/>
      <c r="ESV754" s="3796"/>
      <c r="ESW754" s="3796"/>
      <c r="ESX754" s="3796"/>
      <c r="ESY754" s="3796"/>
      <c r="ESZ754" s="3796"/>
      <c r="ETA754" s="3796"/>
      <c r="ETB754" s="3796"/>
      <c r="ETC754" s="3796"/>
      <c r="ETD754" s="3796"/>
      <c r="ETE754" s="3796"/>
      <c r="ETF754" s="3796"/>
      <c r="ETG754" s="3796"/>
      <c r="ETH754" s="3796"/>
      <c r="ETI754" s="3796"/>
      <c r="ETJ754" s="3796"/>
      <c r="ETK754" s="3796"/>
      <c r="ETL754" s="3796"/>
      <c r="ETM754" s="3796"/>
      <c r="ETN754" s="3796"/>
      <c r="ETO754" s="3796"/>
      <c r="ETP754" s="3796"/>
      <c r="ETQ754" s="3796"/>
      <c r="ETR754" s="3796"/>
      <c r="ETS754" s="3796"/>
      <c r="ETT754" s="3796"/>
      <c r="ETU754" s="3796"/>
      <c r="ETV754" s="3796"/>
      <c r="ETW754" s="3796"/>
      <c r="ETX754" s="3796"/>
      <c r="ETY754" s="3796"/>
      <c r="ETZ754" s="3796"/>
      <c r="EUA754" s="3796"/>
      <c r="EUB754" s="3796"/>
      <c r="EUC754" s="3796"/>
      <c r="EUD754" s="3796"/>
      <c r="EUE754" s="3796"/>
      <c r="EUF754" s="3796"/>
      <c r="EUG754" s="3796"/>
      <c r="EUH754" s="3796"/>
      <c r="EUI754" s="3796"/>
      <c r="EUJ754" s="3796"/>
      <c r="EUK754" s="3796"/>
      <c r="EUL754" s="3796"/>
      <c r="EUM754" s="3796"/>
      <c r="EUN754" s="3796"/>
      <c r="EUO754" s="3796"/>
      <c r="EUP754" s="3796"/>
      <c r="EUQ754" s="3796"/>
      <c r="EUR754" s="3796"/>
      <c r="EUS754" s="3796"/>
      <c r="EUT754" s="3796"/>
      <c r="EUU754" s="3796"/>
      <c r="EUV754" s="3796"/>
      <c r="EUW754" s="3796"/>
      <c r="EUX754" s="3796"/>
      <c r="EUY754" s="3796"/>
      <c r="EUZ754" s="3796"/>
      <c r="EVA754" s="3796"/>
      <c r="EVB754" s="3796"/>
      <c r="EVC754" s="3796"/>
      <c r="EVD754" s="3796"/>
      <c r="EVE754" s="3796"/>
      <c r="EVF754" s="3796"/>
      <c r="EVG754" s="3796"/>
      <c r="EVH754" s="3796"/>
      <c r="EVI754" s="3796"/>
      <c r="EVJ754" s="3796"/>
      <c r="EVK754" s="3796"/>
      <c r="EVL754" s="3796"/>
      <c r="EVM754" s="3796"/>
      <c r="EVN754" s="3796"/>
      <c r="EVO754" s="3796"/>
      <c r="EVP754" s="3796"/>
      <c r="EVQ754" s="3796"/>
      <c r="EVR754" s="3796"/>
      <c r="EVS754" s="3796"/>
      <c r="EVT754" s="3796"/>
      <c r="EVU754" s="3796"/>
      <c r="EVV754" s="3796"/>
      <c r="EVW754" s="3796"/>
      <c r="EVX754" s="3796"/>
      <c r="EVY754" s="3796"/>
      <c r="EVZ754" s="3796"/>
      <c r="EWA754" s="3796"/>
      <c r="EWB754" s="3796"/>
      <c r="EWC754" s="3796"/>
      <c r="EWD754" s="3796"/>
      <c r="EWE754" s="3796"/>
      <c r="EWF754" s="3796"/>
      <c r="EWG754" s="3796"/>
      <c r="EWH754" s="3796"/>
      <c r="EWI754" s="3796"/>
      <c r="EWJ754" s="3796"/>
      <c r="EWK754" s="3796"/>
      <c r="EWL754" s="3796"/>
      <c r="EWM754" s="3796"/>
      <c r="EWN754" s="3796"/>
      <c r="EWO754" s="3796"/>
      <c r="EWP754" s="3796"/>
      <c r="EWQ754" s="3796"/>
      <c r="EWR754" s="3796"/>
      <c r="EWS754" s="3796"/>
      <c r="EWT754" s="3796"/>
      <c r="EWU754" s="3796"/>
      <c r="EWV754" s="3796"/>
      <c r="EWW754" s="3796"/>
      <c r="EWX754" s="3796"/>
      <c r="EWY754" s="3796"/>
      <c r="EWZ754" s="3796"/>
      <c r="EXA754" s="3796"/>
      <c r="EXB754" s="3796"/>
      <c r="EXC754" s="3796"/>
      <c r="EXD754" s="3796"/>
      <c r="EXE754" s="3796"/>
      <c r="EXF754" s="3796"/>
      <c r="EXG754" s="3796"/>
      <c r="EXH754" s="3796"/>
      <c r="EXI754" s="3796"/>
      <c r="EXJ754" s="3796"/>
      <c r="EXK754" s="3796"/>
      <c r="EXL754" s="3796"/>
      <c r="EXM754" s="3796"/>
      <c r="EXN754" s="3796"/>
      <c r="EXO754" s="3796"/>
      <c r="EXP754" s="3796"/>
      <c r="EXQ754" s="3796"/>
      <c r="EXR754" s="3796"/>
      <c r="EXS754" s="3796"/>
      <c r="EXT754" s="3796"/>
      <c r="EXU754" s="3796"/>
      <c r="EXV754" s="3796"/>
      <c r="EXW754" s="3796"/>
      <c r="EXX754" s="3796"/>
      <c r="EXY754" s="3796"/>
      <c r="EXZ754" s="3796"/>
      <c r="EYA754" s="3796"/>
      <c r="EYB754" s="3796"/>
      <c r="EYC754" s="3796"/>
      <c r="EYD754" s="3796"/>
      <c r="EYE754" s="3796"/>
      <c r="EYF754" s="3796"/>
      <c r="EYG754" s="3796"/>
      <c r="EYH754" s="3796"/>
      <c r="EYI754" s="3796"/>
      <c r="EYJ754" s="3796"/>
      <c r="EYK754" s="3796"/>
      <c r="EYL754" s="3796"/>
      <c r="EYM754" s="3796"/>
      <c r="EYN754" s="3796"/>
      <c r="EYO754" s="3796"/>
      <c r="EYP754" s="3796"/>
      <c r="EYQ754" s="3796"/>
      <c r="EYR754" s="3796"/>
      <c r="EYS754" s="3796"/>
      <c r="EYT754" s="3796"/>
      <c r="EYU754" s="3796"/>
      <c r="EYV754" s="3796"/>
      <c r="EYW754" s="3796"/>
      <c r="EYX754" s="3796"/>
      <c r="EYY754" s="3796"/>
      <c r="EYZ754" s="3796"/>
      <c r="EZA754" s="3796"/>
      <c r="EZB754" s="3796"/>
      <c r="EZC754" s="3796"/>
      <c r="EZD754" s="3796"/>
      <c r="EZE754" s="3796"/>
      <c r="EZF754" s="3796"/>
      <c r="EZG754" s="3796"/>
      <c r="EZH754" s="3796"/>
      <c r="EZI754" s="3796"/>
      <c r="EZJ754" s="3796"/>
      <c r="EZK754" s="3796"/>
      <c r="EZL754" s="3796"/>
      <c r="EZM754" s="3796"/>
      <c r="EZN754" s="3796"/>
      <c r="EZO754" s="3796"/>
      <c r="EZP754" s="3796"/>
      <c r="EZQ754" s="3796"/>
      <c r="EZR754" s="3796"/>
      <c r="EZS754" s="3796"/>
      <c r="EZT754" s="3796"/>
      <c r="EZU754" s="3796"/>
      <c r="EZV754" s="3796"/>
      <c r="EZW754" s="3796"/>
      <c r="EZX754" s="3796"/>
      <c r="EZY754" s="3796"/>
      <c r="EZZ754" s="3796"/>
      <c r="FAA754" s="3796"/>
      <c r="FAB754" s="3796"/>
      <c r="FAC754" s="3796"/>
      <c r="FAD754" s="3796"/>
      <c r="FAE754" s="3796"/>
      <c r="FAF754" s="3796"/>
      <c r="FAG754" s="3796"/>
      <c r="FAH754" s="3796"/>
      <c r="FAI754" s="3796"/>
      <c r="FAJ754" s="3796"/>
      <c r="FAK754" s="3796"/>
      <c r="FAL754" s="3796"/>
      <c r="FAM754" s="3796"/>
      <c r="FAN754" s="3796"/>
      <c r="FAO754" s="3796"/>
      <c r="FAT754" s="3796"/>
      <c r="FAZ754" s="3796"/>
      <c r="FBA754" s="3796"/>
      <c r="FBB754" s="3796"/>
      <c r="FBF754" s="3796"/>
      <c r="FBM754" s="3796"/>
      <c r="FBN754" s="3796"/>
      <c r="FBO754" s="3796"/>
      <c r="FBP754" s="3796"/>
      <c r="FBQ754" s="3796"/>
      <c r="FBR754" s="3796"/>
      <c r="FBS754" s="3796"/>
      <c r="FBT754" s="3796"/>
      <c r="FBU754" s="3796"/>
      <c r="FBV754" s="3796"/>
      <c r="FBW754" s="3796"/>
      <c r="FBX754" s="3796"/>
      <c r="FBY754" s="3796"/>
      <c r="FBZ754" s="3796"/>
      <c r="FCA754" s="3796"/>
      <c r="FCB754" s="3796"/>
      <c r="FCC754" s="3796"/>
      <c r="FCD754" s="3796"/>
      <c r="FCE754" s="3796"/>
      <c r="FCF754" s="3796"/>
      <c r="FCG754" s="3796"/>
      <c r="FCH754" s="3796"/>
      <c r="FCI754" s="3796"/>
      <c r="FCJ754" s="3796"/>
      <c r="FCK754" s="3796"/>
      <c r="FCL754" s="3796"/>
      <c r="FCM754" s="3796"/>
      <c r="FCN754" s="3796"/>
      <c r="FCO754" s="3796"/>
      <c r="FCP754" s="3796"/>
      <c r="FCQ754" s="3796"/>
      <c r="FCR754" s="3796"/>
      <c r="FCS754" s="3796"/>
      <c r="FCT754" s="3796"/>
      <c r="FCU754" s="3796"/>
      <c r="FCV754" s="3796"/>
      <c r="FCW754" s="3796"/>
      <c r="FCX754" s="3796"/>
      <c r="FCY754" s="3796"/>
      <c r="FCZ754" s="3796"/>
      <c r="FDA754" s="3796"/>
      <c r="FDB754" s="3796"/>
      <c r="FDC754" s="3796"/>
      <c r="FDD754" s="3796"/>
      <c r="FDE754" s="3796"/>
      <c r="FDF754" s="3796"/>
      <c r="FDG754" s="3796"/>
      <c r="FDH754" s="3796"/>
      <c r="FDI754" s="3796"/>
      <c r="FDJ754" s="3796"/>
      <c r="FDK754" s="3796"/>
      <c r="FDL754" s="3796"/>
      <c r="FDM754" s="3796"/>
      <c r="FDN754" s="3796"/>
      <c r="FDO754" s="3796"/>
      <c r="FDP754" s="3796"/>
      <c r="FDQ754" s="3796"/>
      <c r="FDR754" s="3796"/>
      <c r="FDS754" s="3796"/>
      <c r="FDT754" s="3796"/>
      <c r="FDU754" s="3796"/>
      <c r="FDV754" s="3796"/>
      <c r="FDW754" s="3796"/>
      <c r="FDX754" s="3796"/>
      <c r="FDY754" s="3796"/>
      <c r="FDZ754" s="3796"/>
      <c r="FEA754" s="3796"/>
      <c r="FEB754" s="3796"/>
      <c r="FEC754" s="3796"/>
      <c r="FED754" s="3796"/>
      <c r="FEE754" s="3796"/>
      <c r="FEF754" s="3796"/>
      <c r="FEG754" s="3796"/>
      <c r="FEH754" s="3796"/>
      <c r="FEI754" s="3796"/>
      <c r="FEJ754" s="3796"/>
      <c r="FEK754" s="3796"/>
      <c r="FEL754" s="3796"/>
      <c r="FEM754" s="3796"/>
      <c r="FEN754" s="3796"/>
      <c r="FEO754" s="3796"/>
      <c r="FEP754" s="3796"/>
      <c r="FEQ754" s="3796"/>
      <c r="FER754" s="3796"/>
      <c r="FES754" s="3796"/>
      <c r="FET754" s="3796"/>
      <c r="FEU754" s="3796"/>
      <c r="FEV754" s="3796"/>
      <c r="FEW754" s="3796"/>
      <c r="FEX754" s="3796"/>
      <c r="FEY754" s="3796"/>
      <c r="FEZ754" s="3796"/>
      <c r="FFA754" s="3796"/>
      <c r="FFB754" s="3796"/>
      <c r="FFC754" s="3796"/>
      <c r="FFD754" s="3796"/>
      <c r="FFE754" s="3796"/>
      <c r="FFF754" s="3796"/>
      <c r="FFG754" s="3796"/>
      <c r="FFH754" s="3796"/>
      <c r="FFI754" s="3796"/>
      <c r="FFJ754" s="3796"/>
      <c r="FFK754" s="3796"/>
      <c r="FFL754" s="3796"/>
      <c r="FFM754" s="3796"/>
      <c r="FFN754" s="3796"/>
      <c r="FFO754" s="3796"/>
      <c r="FFP754" s="3796"/>
      <c r="FFQ754" s="3796"/>
      <c r="FFR754" s="3796"/>
      <c r="FFS754" s="3796"/>
      <c r="FFT754" s="3796"/>
      <c r="FFU754" s="3796"/>
      <c r="FFV754" s="3796"/>
      <c r="FFW754" s="3796"/>
      <c r="FFX754" s="3796"/>
      <c r="FFY754" s="3796"/>
      <c r="FFZ754" s="3796"/>
      <c r="FGA754" s="3796"/>
      <c r="FGB754" s="3796"/>
      <c r="FGC754" s="3796"/>
      <c r="FGD754" s="3796"/>
      <c r="FGE754" s="3796"/>
      <c r="FGF754" s="3796"/>
      <c r="FGG754" s="3796"/>
      <c r="FGH754" s="3796"/>
      <c r="FGI754" s="3796"/>
      <c r="FGJ754" s="3796"/>
      <c r="FGK754" s="3796"/>
      <c r="FGL754" s="3796"/>
      <c r="FGM754" s="3796"/>
      <c r="FGN754" s="3796"/>
      <c r="FGO754" s="3796"/>
      <c r="FGP754" s="3796"/>
      <c r="FGQ754" s="3796"/>
      <c r="FGR754" s="3796"/>
      <c r="FGS754" s="3796"/>
      <c r="FGT754" s="3796"/>
      <c r="FGU754" s="3796"/>
      <c r="FGV754" s="3796"/>
      <c r="FGW754" s="3796"/>
      <c r="FGX754" s="3796"/>
      <c r="FGY754" s="3796"/>
      <c r="FGZ754" s="3796"/>
      <c r="FHA754" s="3796"/>
      <c r="FHB754" s="3796"/>
      <c r="FHC754" s="3796"/>
      <c r="FHD754" s="3796"/>
      <c r="FHE754" s="3796"/>
      <c r="FHF754" s="3796"/>
      <c r="FHG754" s="3796"/>
      <c r="FHH754" s="3796"/>
      <c r="FHI754" s="3796"/>
      <c r="FHJ754" s="3796"/>
      <c r="FHK754" s="3796"/>
      <c r="FHL754" s="3796"/>
      <c r="FHM754" s="3796"/>
      <c r="FHN754" s="3796"/>
      <c r="FHO754" s="3796"/>
      <c r="FHP754" s="3796"/>
      <c r="FHQ754" s="3796"/>
      <c r="FHR754" s="3796"/>
      <c r="FHS754" s="3796"/>
      <c r="FHT754" s="3796"/>
      <c r="FHU754" s="3796"/>
      <c r="FHV754" s="3796"/>
      <c r="FHW754" s="3796"/>
      <c r="FHX754" s="3796"/>
      <c r="FHY754" s="3796"/>
      <c r="FHZ754" s="3796"/>
      <c r="FIA754" s="3796"/>
      <c r="FIB754" s="3796"/>
      <c r="FIC754" s="3796"/>
      <c r="FID754" s="3796"/>
      <c r="FIE754" s="3796"/>
      <c r="FIF754" s="3796"/>
      <c r="FIG754" s="3796"/>
      <c r="FIH754" s="3796"/>
      <c r="FII754" s="3796"/>
      <c r="FIJ754" s="3796"/>
      <c r="FIK754" s="3796"/>
      <c r="FIL754" s="3796"/>
      <c r="FIM754" s="3796"/>
      <c r="FIN754" s="3796"/>
      <c r="FIO754" s="3796"/>
      <c r="FIP754" s="3796"/>
      <c r="FIQ754" s="3796"/>
      <c r="FIR754" s="3796"/>
      <c r="FIS754" s="3796"/>
      <c r="FIT754" s="3796"/>
      <c r="FIU754" s="3796"/>
      <c r="FIV754" s="3796"/>
      <c r="FIW754" s="3796"/>
      <c r="FIX754" s="3796"/>
      <c r="FIY754" s="3796"/>
      <c r="FIZ754" s="3796"/>
      <c r="FJA754" s="3796"/>
      <c r="FJB754" s="3796"/>
      <c r="FJC754" s="3796"/>
      <c r="FJD754" s="3796"/>
      <c r="FJE754" s="3796"/>
      <c r="FJF754" s="3796"/>
      <c r="FJG754" s="3796"/>
      <c r="FJH754" s="3796"/>
      <c r="FJI754" s="3796"/>
      <c r="FJJ754" s="3796"/>
      <c r="FJK754" s="3796"/>
      <c r="FJL754" s="3796"/>
      <c r="FJM754" s="3796"/>
      <c r="FJN754" s="3796"/>
      <c r="FJO754" s="3796"/>
      <c r="FJP754" s="3796"/>
      <c r="FJQ754" s="3796"/>
      <c r="FJR754" s="3796"/>
      <c r="FJS754" s="3796"/>
      <c r="FJT754" s="3796"/>
      <c r="FJU754" s="3796"/>
      <c r="FJV754" s="3796"/>
      <c r="FJW754" s="3796"/>
      <c r="FJX754" s="3796"/>
      <c r="FJY754" s="3796"/>
      <c r="FJZ754" s="3796"/>
      <c r="FKA754" s="3796"/>
      <c r="FKB754" s="3796"/>
      <c r="FKC754" s="3796"/>
      <c r="FKD754" s="3796"/>
      <c r="FKE754" s="3796"/>
      <c r="FKF754" s="3796"/>
      <c r="FKG754" s="3796"/>
      <c r="FKH754" s="3796"/>
      <c r="FKI754" s="3796"/>
      <c r="FKJ754" s="3796"/>
      <c r="FKK754" s="3796"/>
      <c r="FKP754" s="3796"/>
      <c r="FKV754" s="3796"/>
      <c r="FKW754" s="3796"/>
      <c r="FKX754" s="3796"/>
      <c r="FLB754" s="3796"/>
      <c r="FLI754" s="3796"/>
      <c r="FLJ754" s="3796"/>
      <c r="FLK754" s="3796"/>
      <c r="FLL754" s="3796"/>
      <c r="FLM754" s="3796"/>
      <c r="FLN754" s="3796"/>
      <c r="FLO754" s="3796"/>
      <c r="FLP754" s="3796"/>
      <c r="FLQ754" s="3796"/>
      <c r="FLR754" s="3796"/>
      <c r="FLS754" s="3796"/>
      <c r="FLT754" s="3796"/>
      <c r="FLU754" s="3796"/>
      <c r="FLV754" s="3796"/>
      <c r="FLW754" s="3796"/>
      <c r="FLX754" s="3796"/>
      <c r="FLY754" s="3796"/>
      <c r="FLZ754" s="3796"/>
      <c r="FMA754" s="3796"/>
      <c r="FMB754" s="3796"/>
      <c r="FMC754" s="3796"/>
      <c r="FMD754" s="3796"/>
      <c r="FME754" s="3796"/>
      <c r="FMF754" s="3796"/>
      <c r="FMG754" s="3796"/>
      <c r="FMH754" s="3796"/>
      <c r="FMI754" s="3796"/>
      <c r="FMJ754" s="3796"/>
      <c r="FMK754" s="3796"/>
      <c r="FML754" s="3796"/>
      <c r="FMM754" s="3796"/>
      <c r="FMN754" s="3796"/>
      <c r="FMO754" s="3796"/>
      <c r="FMP754" s="3796"/>
      <c r="FMQ754" s="3796"/>
      <c r="FMR754" s="3796"/>
      <c r="FMS754" s="3796"/>
      <c r="FMT754" s="3796"/>
      <c r="FMU754" s="3796"/>
      <c r="FMV754" s="3796"/>
      <c r="FMW754" s="3796"/>
      <c r="FMX754" s="3796"/>
      <c r="FMY754" s="3796"/>
      <c r="FMZ754" s="3796"/>
      <c r="FNA754" s="3796"/>
      <c r="FNB754" s="3796"/>
      <c r="FNC754" s="3796"/>
      <c r="FND754" s="3796"/>
      <c r="FNE754" s="3796"/>
      <c r="FNF754" s="3796"/>
      <c r="FNG754" s="3796"/>
      <c r="FNH754" s="3796"/>
      <c r="FNI754" s="3796"/>
      <c r="FNJ754" s="3796"/>
      <c r="FNK754" s="3796"/>
      <c r="FNL754" s="3796"/>
      <c r="FNM754" s="3796"/>
      <c r="FNN754" s="3796"/>
      <c r="FNO754" s="3796"/>
      <c r="FNP754" s="3796"/>
      <c r="FNQ754" s="3796"/>
      <c r="FNR754" s="3796"/>
      <c r="FNS754" s="3796"/>
      <c r="FNT754" s="3796"/>
      <c r="FNU754" s="3796"/>
      <c r="FNV754" s="3796"/>
      <c r="FNW754" s="3796"/>
      <c r="FNX754" s="3796"/>
      <c r="FNY754" s="3796"/>
      <c r="FNZ754" s="3796"/>
      <c r="FOA754" s="3796"/>
      <c r="FOB754" s="3796"/>
      <c r="FOC754" s="3796"/>
      <c r="FOD754" s="3796"/>
      <c r="FOE754" s="3796"/>
      <c r="FOF754" s="3796"/>
      <c r="FOG754" s="3796"/>
      <c r="FOH754" s="3796"/>
      <c r="FOI754" s="3796"/>
      <c r="FOJ754" s="3796"/>
      <c r="FOK754" s="3796"/>
      <c r="FOL754" s="3796"/>
      <c r="FOM754" s="3796"/>
      <c r="FON754" s="3796"/>
      <c r="FOO754" s="3796"/>
      <c r="FOP754" s="3796"/>
      <c r="FOQ754" s="3796"/>
      <c r="FOR754" s="3796"/>
      <c r="FOS754" s="3796"/>
      <c r="FOT754" s="3796"/>
      <c r="FOU754" s="3796"/>
      <c r="FOV754" s="3796"/>
      <c r="FOW754" s="3796"/>
      <c r="FOX754" s="3796"/>
      <c r="FOY754" s="3796"/>
      <c r="FOZ754" s="3796"/>
      <c r="FPA754" s="3796"/>
      <c r="FPB754" s="3796"/>
      <c r="FPC754" s="3796"/>
      <c r="FPD754" s="3796"/>
      <c r="FPE754" s="3796"/>
      <c r="FPF754" s="3796"/>
      <c r="FPG754" s="3796"/>
      <c r="FPH754" s="3796"/>
      <c r="FPI754" s="3796"/>
      <c r="FPJ754" s="3796"/>
      <c r="FPK754" s="3796"/>
      <c r="FPL754" s="3796"/>
      <c r="FPM754" s="3796"/>
      <c r="FPN754" s="3796"/>
      <c r="FPO754" s="3796"/>
      <c r="FPP754" s="3796"/>
      <c r="FPQ754" s="3796"/>
      <c r="FPR754" s="3796"/>
      <c r="FPS754" s="3796"/>
      <c r="FPT754" s="3796"/>
      <c r="FPU754" s="3796"/>
      <c r="FPV754" s="3796"/>
      <c r="FPW754" s="3796"/>
      <c r="FPX754" s="3796"/>
      <c r="FPY754" s="3796"/>
      <c r="FPZ754" s="3796"/>
      <c r="FQA754" s="3796"/>
      <c r="FQB754" s="3796"/>
      <c r="FQC754" s="3796"/>
      <c r="FQD754" s="3796"/>
      <c r="FQE754" s="3796"/>
      <c r="FQF754" s="3796"/>
      <c r="FQG754" s="3796"/>
      <c r="FQH754" s="3796"/>
      <c r="FQI754" s="3796"/>
      <c r="FQJ754" s="3796"/>
      <c r="FQK754" s="3796"/>
      <c r="FQL754" s="3796"/>
      <c r="FQM754" s="3796"/>
      <c r="FQN754" s="3796"/>
      <c r="FQO754" s="3796"/>
      <c r="FQP754" s="3796"/>
      <c r="FQQ754" s="3796"/>
      <c r="FQR754" s="3796"/>
      <c r="FQS754" s="3796"/>
      <c r="FQT754" s="3796"/>
      <c r="FQU754" s="3796"/>
      <c r="FQV754" s="3796"/>
      <c r="FQW754" s="3796"/>
      <c r="FQX754" s="3796"/>
      <c r="FQY754" s="3796"/>
      <c r="FQZ754" s="3796"/>
      <c r="FRA754" s="3796"/>
      <c r="FRB754" s="3796"/>
      <c r="FRC754" s="3796"/>
      <c r="FRD754" s="3796"/>
      <c r="FRE754" s="3796"/>
      <c r="FRF754" s="3796"/>
      <c r="FRG754" s="3796"/>
      <c r="FRH754" s="3796"/>
      <c r="FRI754" s="3796"/>
      <c r="FRJ754" s="3796"/>
      <c r="FRK754" s="3796"/>
      <c r="FRL754" s="3796"/>
      <c r="FRM754" s="3796"/>
      <c r="FRN754" s="3796"/>
      <c r="FRO754" s="3796"/>
      <c r="FRP754" s="3796"/>
      <c r="FRQ754" s="3796"/>
      <c r="FRR754" s="3796"/>
      <c r="FRS754" s="3796"/>
      <c r="FRT754" s="3796"/>
      <c r="FRU754" s="3796"/>
      <c r="FRV754" s="3796"/>
      <c r="FRW754" s="3796"/>
      <c r="FRX754" s="3796"/>
      <c r="FRY754" s="3796"/>
      <c r="FRZ754" s="3796"/>
      <c r="FSA754" s="3796"/>
      <c r="FSB754" s="3796"/>
      <c r="FSC754" s="3796"/>
      <c r="FSD754" s="3796"/>
      <c r="FSE754" s="3796"/>
      <c r="FSF754" s="3796"/>
      <c r="FSG754" s="3796"/>
      <c r="FSH754" s="3796"/>
      <c r="FSI754" s="3796"/>
      <c r="FSJ754" s="3796"/>
      <c r="FSK754" s="3796"/>
      <c r="FSL754" s="3796"/>
      <c r="FSM754" s="3796"/>
      <c r="FSN754" s="3796"/>
      <c r="FSO754" s="3796"/>
      <c r="FSP754" s="3796"/>
      <c r="FSQ754" s="3796"/>
      <c r="FSR754" s="3796"/>
      <c r="FSS754" s="3796"/>
      <c r="FST754" s="3796"/>
      <c r="FSU754" s="3796"/>
      <c r="FSV754" s="3796"/>
      <c r="FSW754" s="3796"/>
      <c r="FSX754" s="3796"/>
      <c r="FSY754" s="3796"/>
      <c r="FSZ754" s="3796"/>
      <c r="FTA754" s="3796"/>
      <c r="FTB754" s="3796"/>
      <c r="FTC754" s="3796"/>
      <c r="FTD754" s="3796"/>
      <c r="FTE754" s="3796"/>
      <c r="FTF754" s="3796"/>
      <c r="FTG754" s="3796"/>
      <c r="FTH754" s="3796"/>
      <c r="FTI754" s="3796"/>
      <c r="FTJ754" s="3796"/>
      <c r="FTK754" s="3796"/>
      <c r="FTL754" s="3796"/>
      <c r="FTM754" s="3796"/>
      <c r="FTN754" s="3796"/>
      <c r="FTO754" s="3796"/>
      <c r="FTP754" s="3796"/>
      <c r="FTQ754" s="3796"/>
      <c r="FTR754" s="3796"/>
      <c r="FTS754" s="3796"/>
      <c r="FTT754" s="3796"/>
      <c r="FTU754" s="3796"/>
      <c r="FTV754" s="3796"/>
      <c r="FTW754" s="3796"/>
      <c r="FTX754" s="3796"/>
      <c r="FTY754" s="3796"/>
      <c r="FTZ754" s="3796"/>
      <c r="FUA754" s="3796"/>
      <c r="FUB754" s="3796"/>
      <c r="FUC754" s="3796"/>
      <c r="FUD754" s="3796"/>
      <c r="FUE754" s="3796"/>
      <c r="FUF754" s="3796"/>
      <c r="FUG754" s="3796"/>
      <c r="FUL754" s="3796"/>
      <c r="FUR754" s="3796"/>
      <c r="FUS754" s="3796"/>
      <c r="FUT754" s="3796"/>
      <c r="FUX754" s="3796"/>
      <c r="FVE754" s="3796"/>
      <c r="FVF754" s="3796"/>
      <c r="FVG754" s="3796"/>
      <c r="FVH754" s="3796"/>
      <c r="FVI754" s="3796"/>
      <c r="FVJ754" s="3796"/>
      <c r="FVK754" s="3796"/>
      <c r="FVL754" s="3796"/>
      <c r="FVM754" s="3796"/>
      <c r="FVN754" s="3796"/>
      <c r="FVO754" s="3796"/>
      <c r="FVP754" s="3796"/>
      <c r="FVQ754" s="3796"/>
      <c r="FVR754" s="3796"/>
      <c r="FVS754" s="3796"/>
      <c r="FVT754" s="3796"/>
      <c r="FVU754" s="3796"/>
      <c r="FVV754" s="3796"/>
      <c r="FVW754" s="3796"/>
      <c r="FVX754" s="3796"/>
      <c r="FVY754" s="3796"/>
      <c r="FVZ754" s="3796"/>
      <c r="FWA754" s="3796"/>
      <c r="FWB754" s="3796"/>
      <c r="FWC754" s="3796"/>
      <c r="FWD754" s="3796"/>
      <c r="FWE754" s="3796"/>
      <c r="FWF754" s="3796"/>
      <c r="FWG754" s="3796"/>
      <c r="FWH754" s="3796"/>
      <c r="FWI754" s="3796"/>
      <c r="FWJ754" s="3796"/>
      <c r="FWK754" s="3796"/>
      <c r="FWL754" s="3796"/>
      <c r="FWM754" s="3796"/>
      <c r="FWN754" s="3796"/>
      <c r="FWO754" s="3796"/>
      <c r="FWP754" s="3796"/>
      <c r="FWQ754" s="3796"/>
      <c r="FWR754" s="3796"/>
      <c r="FWS754" s="3796"/>
      <c r="FWT754" s="3796"/>
      <c r="FWU754" s="3796"/>
      <c r="FWV754" s="3796"/>
      <c r="FWW754" s="3796"/>
      <c r="FWX754" s="3796"/>
      <c r="FWY754" s="3796"/>
      <c r="FWZ754" s="3796"/>
      <c r="FXA754" s="3796"/>
      <c r="FXB754" s="3796"/>
      <c r="FXC754" s="3796"/>
      <c r="FXD754" s="3796"/>
      <c r="FXE754" s="3796"/>
      <c r="FXF754" s="3796"/>
      <c r="FXG754" s="3796"/>
      <c r="FXH754" s="3796"/>
      <c r="FXI754" s="3796"/>
      <c r="FXJ754" s="3796"/>
      <c r="FXK754" s="3796"/>
      <c r="FXL754" s="3796"/>
      <c r="FXM754" s="3796"/>
      <c r="FXN754" s="3796"/>
      <c r="FXO754" s="3796"/>
      <c r="FXP754" s="3796"/>
      <c r="FXQ754" s="3796"/>
      <c r="FXR754" s="3796"/>
      <c r="FXS754" s="3796"/>
      <c r="FXT754" s="3796"/>
      <c r="FXU754" s="3796"/>
      <c r="FXV754" s="3796"/>
      <c r="FXW754" s="3796"/>
      <c r="FXX754" s="3796"/>
      <c r="FXY754" s="3796"/>
      <c r="FXZ754" s="3796"/>
      <c r="FYA754" s="3796"/>
      <c r="FYB754" s="3796"/>
      <c r="FYC754" s="3796"/>
      <c r="FYD754" s="3796"/>
      <c r="FYE754" s="3796"/>
      <c r="FYF754" s="3796"/>
      <c r="FYG754" s="3796"/>
      <c r="FYH754" s="3796"/>
      <c r="FYI754" s="3796"/>
      <c r="FYJ754" s="3796"/>
      <c r="FYK754" s="3796"/>
      <c r="FYL754" s="3796"/>
      <c r="FYM754" s="3796"/>
      <c r="FYN754" s="3796"/>
      <c r="FYO754" s="3796"/>
      <c r="FYP754" s="3796"/>
      <c r="FYQ754" s="3796"/>
      <c r="FYR754" s="3796"/>
      <c r="FYS754" s="3796"/>
      <c r="FYT754" s="3796"/>
      <c r="FYU754" s="3796"/>
      <c r="FYV754" s="3796"/>
      <c r="FYW754" s="3796"/>
      <c r="FYX754" s="3796"/>
      <c r="FYY754" s="3796"/>
      <c r="FYZ754" s="3796"/>
      <c r="FZA754" s="3796"/>
      <c r="FZB754" s="3796"/>
      <c r="FZC754" s="3796"/>
      <c r="FZD754" s="3796"/>
      <c r="FZE754" s="3796"/>
      <c r="FZF754" s="3796"/>
      <c r="FZG754" s="3796"/>
      <c r="FZH754" s="3796"/>
      <c r="FZI754" s="3796"/>
      <c r="FZJ754" s="3796"/>
      <c r="FZK754" s="3796"/>
      <c r="FZL754" s="3796"/>
      <c r="FZM754" s="3796"/>
      <c r="FZN754" s="3796"/>
      <c r="FZO754" s="3796"/>
      <c r="FZP754" s="3796"/>
      <c r="FZQ754" s="3796"/>
      <c r="FZR754" s="3796"/>
      <c r="FZS754" s="3796"/>
      <c r="FZT754" s="3796"/>
      <c r="FZU754" s="3796"/>
      <c r="FZV754" s="3796"/>
      <c r="FZW754" s="3796"/>
      <c r="FZX754" s="3796"/>
      <c r="FZY754" s="3796"/>
      <c r="FZZ754" s="3796"/>
      <c r="GAA754" s="3796"/>
      <c r="GAB754" s="3796"/>
      <c r="GAC754" s="3796"/>
      <c r="GAD754" s="3796"/>
      <c r="GAE754" s="3796"/>
      <c r="GAF754" s="3796"/>
      <c r="GAG754" s="3796"/>
      <c r="GAH754" s="3796"/>
      <c r="GAI754" s="3796"/>
      <c r="GAJ754" s="3796"/>
      <c r="GAK754" s="3796"/>
      <c r="GAL754" s="3796"/>
      <c r="GAM754" s="3796"/>
      <c r="GAN754" s="3796"/>
      <c r="GAO754" s="3796"/>
      <c r="GAP754" s="3796"/>
      <c r="GAQ754" s="3796"/>
      <c r="GAR754" s="3796"/>
      <c r="GAS754" s="3796"/>
      <c r="GAT754" s="3796"/>
      <c r="GAU754" s="3796"/>
      <c r="GAV754" s="3796"/>
      <c r="GAW754" s="3796"/>
      <c r="GAX754" s="3796"/>
      <c r="GAY754" s="3796"/>
      <c r="GAZ754" s="3796"/>
      <c r="GBA754" s="3796"/>
      <c r="GBB754" s="3796"/>
      <c r="GBC754" s="3796"/>
      <c r="GBD754" s="3796"/>
      <c r="GBE754" s="3796"/>
      <c r="GBF754" s="3796"/>
      <c r="GBG754" s="3796"/>
      <c r="GBH754" s="3796"/>
      <c r="GBI754" s="3796"/>
      <c r="GBJ754" s="3796"/>
      <c r="GBK754" s="3796"/>
      <c r="GBL754" s="3796"/>
      <c r="GBM754" s="3796"/>
      <c r="GBN754" s="3796"/>
      <c r="GBO754" s="3796"/>
      <c r="GBP754" s="3796"/>
      <c r="GBQ754" s="3796"/>
      <c r="GBR754" s="3796"/>
      <c r="GBS754" s="3796"/>
      <c r="GBT754" s="3796"/>
      <c r="GBU754" s="3796"/>
      <c r="GBV754" s="3796"/>
      <c r="GBW754" s="3796"/>
      <c r="GBX754" s="3796"/>
      <c r="GBY754" s="3796"/>
      <c r="GBZ754" s="3796"/>
      <c r="GCA754" s="3796"/>
      <c r="GCB754" s="3796"/>
      <c r="GCC754" s="3796"/>
      <c r="GCD754" s="3796"/>
      <c r="GCE754" s="3796"/>
      <c r="GCF754" s="3796"/>
      <c r="GCG754" s="3796"/>
      <c r="GCH754" s="3796"/>
      <c r="GCI754" s="3796"/>
      <c r="GCJ754" s="3796"/>
      <c r="GCK754" s="3796"/>
      <c r="GCL754" s="3796"/>
      <c r="GCM754" s="3796"/>
      <c r="GCN754" s="3796"/>
      <c r="GCO754" s="3796"/>
      <c r="GCP754" s="3796"/>
      <c r="GCQ754" s="3796"/>
      <c r="GCR754" s="3796"/>
      <c r="GCS754" s="3796"/>
      <c r="GCT754" s="3796"/>
      <c r="GCU754" s="3796"/>
      <c r="GCV754" s="3796"/>
      <c r="GCW754" s="3796"/>
      <c r="GCX754" s="3796"/>
      <c r="GCY754" s="3796"/>
      <c r="GCZ754" s="3796"/>
      <c r="GDA754" s="3796"/>
      <c r="GDB754" s="3796"/>
      <c r="GDC754" s="3796"/>
      <c r="GDD754" s="3796"/>
      <c r="GDE754" s="3796"/>
      <c r="GDF754" s="3796"/>
      <c r="GDG754" s="3796"/>
      <c r="GDH754" s="3796"/>
      <c r="GDI754" s="3796"/>
      <c r="GDJ754" s="3796"/>
      <c r="GDK754" s="3796"/>
      <c r="GDL754" s="3796"/>
      <c r="GDM754" s="3796"/>
      <c r="GDN754" s="3796"/>
      <c r="GDO754" s="3796"/>
      <c r="GDP754" s="3796"/>
      <c r="GDQ754" s="3796"/>
      <c r="GDR754" s="3796"/>
      <c r="GDS754" s="3796"/>
      <c r="GDT754" s="3796"/>
      <c r="GDU754" s="3796"/>
      <c r="GDV754" s="3796"/>
      <c r="GDW754" s="3796"/>
      <c r="GDX754" s="3796"/>
      <c r="GDY754" s="3796"/>
      <c r="GDZ754" s="3796"/>
      <c r="GEA754" s="3796"/>
      <c r="GEB754" s="3796"/>
      <c r="GEC754" s="3796"/>
      <c r="GEH754" s="3796"/>
      <c r="GEN754" s="3796"/>
      <c r="GEO754" s="3796"/>
      <c r="GEP754" s="3796"/>
      <c r="GET754" s="3796"/>
      <c r="GFA754" s="3796"/>
      <c r="GFB754" s="3796"/>
      <c r="GFC754" s="3796"/>
      <c r="GFD754" s="3796"/>
      <c r="GFE754" s="3796"/>
      <c r="GFF754" s="3796"/>
      <c r="GFG754" s="3796"/>
      <c r="GFH754" s="3796"/>
      <c r="GFI754" s="3796"/>
      <c r="GFJ754" s="3796"/>
      <c r="GFK754" s="3796"/>
      <c r="GFL754" s="3796"/>
      <c r="GFM754" s="3796"/>
      <c r="GFN754" s="3796"/>
      <c r="GFO754" s="3796"/>
      <c r="GFP754" s="3796"/>
      <c r="GFQ754" s="3796"/>
      <c r="GFR754" s="3796"/>
      <c r="GFS754" s="3796"/>
      <c r="GFT754" s="3796"/>
      <c r="GFU754" s="3796"/>
      <c r="GFV754" s="3796"/>
      <c r="GFW754" s="3796"/>
      <c r="GFX754" s="3796"/>
      <c r="GFY754" s="3796"/>
      <c r="GFZ754" s="3796"/>
      <c r="GGA754" s="3796"/>
      <c r="GGB754" s="3796"/>
      <c r="GGC754" s="3796"/>
      <c r="GGD754" s="3796"/>
      <c r="GGE754" s="3796"/>
      <c r="GGF754" s="3796"/>
      <c r="GGG754" s="3796"/>
      <c r="GGH754" s="3796"/>
      <c r="GGI754" s="3796"/>
      <c r="GGJ754" s="3796"/>
      <c r="GGK754" s="3796"/>
      <c r="GGL754" s="3796"/>
      <c r="GGM754" s="3796"/>
      <c r="GGN754" s="3796"/>
      <c r="GGO754" s="3796"/>
      <c r="GGP754" s="3796"/>
      <c r="GGQ754" s="3796"/>
      <c r="GGR754" s="3796"/>
      <c r="GGS754" s="3796"/>
      <c r="GGT754" s="3796"/>
      <c r="GGU754" s="3796"/>
      <c r="GGV754" s="3796"/>
      <c r="GGW754" s="3796"/>
      <c r="GGX754" s="3796"/>
      <c r="GGY754" s="3796"/>
      <c r="GGZ754" s="3796"/>
      <c r="GHA754" s="3796"/>
      <c r="GHB754" s="3796"/>
      <c r="GHC754" s="3796"/>
      <c r="GHD754" s="3796"/>
      <c r="GHE754" s="3796"/>
      <c r="GHF754" s="3796"/>
      <c r="GHG754" s="3796"/>
      <c r="GHH754" s="3796"/>
      <c r="GHI754" s="3796"/>
      <c r="GHJ754" s="3796"/>
      <c r="GHK754" s="3796"/>
      <c r="GHL754" s="3796"/>
      <c r="GHM754" s="3796"/>
      <c r="GHN754" s="3796"/>
      <c r="GHO754" s="3796"/>
      <c r="GHP754" s="3796"/>
      <c r="GHQ754" s="3796"/>
      <c r="GHR754" s="3796"/>
      <c r="GHS754" s="3796"/>
      <c r="GHT754" s="3796"/>
      <c r="GHU754" s="3796"/>
      <c r="GHV754" s="3796"/>
      <c r="GHW754" s="3796"/>
      <c r="GHX754" s="3796"/>
      <c r="GHY754" s="3796"/>
      <c r="GHZ754" s="3796"/>
      <c r="GIA754" s="3796"/>
      <c r="GIB754" s="3796"/>
      <c r="GIC754" s="3796"/>
      <c r="GID754" s="3796"/>
      <c r="GIE754" s="3796"/>
      <c r="GIF754" s="3796"/>
      <c r="GIG754" s="3796"/>
      <c r="GIH754" s="3796"/>
      <c r="GII754" s="3796"/>
      <c r="GIJ754" s="3796"/>
      <c r="GIK754" s="3796"/>
      <c r="GIL754" s="3796"/>
      <c r="GIM754" s="3796"/>
      <c r="GIN754" s="3796"/>
      <c r="GIO754" s="3796"/>
      <c r="GIP754" s="3796"/>
      <c r="GIQ754" s="3796"/>
      <c r="GIR754" s="3796"/>
      <c r="GIS754" s="3796"/>
      <c r="GIT754" s="3796"/>
      <c r="GIU754" s="3796"/>
      <c r="GIV754" s="3796"/>
      <c r="GIW754" s="3796"/>
      <c r="GIX754" s="3796"/>
      <c r="GIY754" s="3796"/>
      <c r="GIZ754" s="3796"/>
      <c r="GJA754" s="3796"/>
      <c r="GJB754" s="3796"/>
      <c r="GJC754" s="3796"/>
      <c r="GJD754" s="3796"/>
      <c r="GJE754" s="3796"/>
      <c r="GJF754" s="3796"/>
      <c r="GJG754" s="3796"/>
      <c r="GJH754" s="3796"/>
      <c r="GJI754" s="3796"/>
      <c r="GJJ754" s="3796"/>
      <c r="GJK754" s="3796"/>
      <c r="GJL754" s="3796"/>
      <c r="GJM754" s="3796"/>
      <c r="GJN754" s="3796"/>
      <c r="GJO754" s="3796"/>
      <c r="GJP754" s="3796"/>
      <c r="GJQ754" s="3796"/>
      <c r="GJR754" s="3796"/>
      <c r="GJS754" s="3796"/>
      <c r="GJT754" s="3796"/>
      <c r="GJU754" s="3796"/>
      <c r="GJV754" s="3796"/>
      <c r="GJW754" s="3796"/>
      <c r="GJX754" s="3796"/>
      <c r="GJY754" s="3796"/>
      <c r="GJZ754" s="3796"/>
      <c r="GKA754" s="3796"/>
      <c r="GKB754" s="3796"/>
      <c r="GKC754" s="3796"/>
      <c r="GKD754" s="3796"/>
      <c r="GKE754" s="3796"/>
      <c r="GKF754" s="3796"/>
      <c r="GKG754" s="3796"/>
      <c r="GKH754" s="3796"/>
      <c r="GKI754" s="3796"/>
      <c r="GKJ754" s="3796"/>
      <c r="GKK754" s="3796"/>
      <c r="GKL754" s="3796"/>
      <c r="GKM754" s="3796"/>
      <c r="GKN754" s="3796"/>
      <c r="GKO754" s="3796"/>
      <c r="GKP754" s="3796"/>
      <c r="GKQ754" s="3796"/>
      <c r="GKR754" s="3796"/>
      <c r="GKS754" s="3796"/>
      <c r="GKT754" s="3796"/>
      <c r="GKU754" s="3796"/>
      <c r="GKV754" s="3796"/>
      <c r="GKW754" s="3796"/>
      <c r="GKX754" s="3796"/>
      <c r="GKY754" s="3796"/>
      <c r="GKZ754" s="3796"/>
      <c r="GLA754" s="3796"/>
      <c r="GLB754" s="3796"/>
      <c r="GLC754" s="3796"/>
      <c r="GLD754" s="3796"/>
      <c r="GLE754" s="3796"/>
      <c r="GLF754" s="3796"/>
      <c r="GLG754" s="3796"/>
      <c r="GLH754" s="3796"/>
      <c r="GLI754" s="3796"/>
      <c r="GLJ754" s="3796"/>
      <c r="GLK754" s="3796"/>
      <c r="GLL754" s="3796"/>
      <c r="GLM754" s="3796"/>
      <c r="GLN754" s="3796"/>
      <c r="GLO754" s="3796"/>
      <c r="GLP754" s="3796"/>
      <c r="GLQ754" s="3796"/>
      <c r="GLR754" s="3796"/>
      <c r="GLS754" s="3796"/>
      <c r="GLT754" s="3796"/>
      <c r="GLU754" s="3796"/>
      <c r="GLV754" s="3796"/>
      <c r="GLW754" s="3796"/>
      <c r="GLX754" s="3796"/>
      <c r="GLY754" s="3796"/>
      <c r="GLZ754" s="3796"/>
      <c r="GMA754" s="3796"/>
      <c r="GMB754" s="3796"/>
      <c r="GMC754" s="3796"/>
      <c r="GMD754" s="3796"/>
      <c r="GME754" s="3796"/>
      <c r="GMF754" s="3796"/>
      <c r="GMG754" s="3796"/>
      <c r="GMH754" s="3796"/>
      <c r="GMI754" s="3796"/>
      <c r="GMJ754" s="3796"/>
      <c r="GMK754" s="3796"/>
      <c r="GML754" s="3796"/>
      <c r="GMM754" s="3796"/>
      <c r="GMN754" s="3796"/>
      <c r="GMO754" s="3796"/>
      <c r="GMP754" s="3796"/>
      <c r="GMQ754" s="3796"/>
      <c r="GMR754" s="3796"/>
      <c r="GMS754" s="3796"/>
      <c r="GMT754" s="3796"/>
      <c r="GMU754" s="3796"/>
      <c r="GMV754" s="3796"/>
      <c r="GMW754" s="3796"/>
      <c r="GMX754" s="3796"/>
      <c r="GMY754" s="3796"/>
      <c r="GMZ754" s="3796"/>
      <c r="GNA754" s="3796"/>
      <c r="GNB754" s="3796"/>
      <c r="GNC754" s="3796"/>
      <c r="GND754" s="3796"/>
      <c r="GNE754" s="3796"/>
      <c r="GNF754" s="3796"/>
      <c r="GNG754" s="3796"/>
      <c r="GNH754" s="3796"/>
      <c r="GNI754" s="3796"/>
      <c r="GNJ754" s="3796"/>
      <c r="GNK754" s="3796"/>
      <c r="GNL754" s="3796"/>
      <c r="GNM754" s="3796"/>
      <c r="GNN754" s="3796"/>
      <c r="GNO754" s="3796"/>
      <c r="GNP754" s="3796"/>
      <c r="GNQ754" s="3796"/>
      <c r="GNR754" s="3796"/>
      <c r="GNS754" s="3796"/>
      <c r="GNT754" s="3796"/>
      <c r="GNU754" s="3796"/>
      <c r="GNV754" s="3796"/>
      <c r="GNW754" s="3796"/>
      <c r="GNX754" s="3796"/>
      <c r="GNY754" s="3796"/>
      <c r="GOD754" s="3796"/>
      <c r="GOJ754" s="3796"/>
      <c r="GOK754" s="3796"/>
      <c r="GOL754" s="3796"/>
      <c r="GOP754" s="3796"/>
      <c r="GOW754" s="3796"/>
      <c r="GOX754" s="3796"/>
      <c r="GOY754" s="3796"/>
      <c r="GOZ754" s="3796"/>
      <c r="GPA754" s="3796"/>
      <c r="GPB754" s="3796"/>
      <c r="GPC754" s="3796"/>
      <c r="GPD754" s="3796"/>
      <c r="GPE754" s="3796"/>
      <c r="GPF754" s="3796"/>
      <c r="GPG754" s="3796"/>
      <c r="GPH754" s="3796"/>
      <c r="GPI754" s="3796"/>
      <c r="GPJ754" s="3796"/>
      <c r="GPK754" s="3796"/>
      <c r="GPL754" s="3796"/>
      <c r="GPM754" s="3796"/>
      <c r="GPN754" s="3796"/>
      <c r="GPO754" s="3796"/>
      <c r="GPP754" s="3796"/>
      <c r="GPQ754" s="3796"/>
      <c r="GPR754" s="3796"/>
      <c r="GPS754" s="3796"/>
      <c r="GPT754" s="3796"/>
      <c r="GPU754" s="3796"/>
      <c r="GPV754" s="3796"/>
      <c r="GPW754" s="3796"/>
      <c r="GPX754" s="3796"/>
      <c r="GPY754" s="3796"/>
      <c r="GPZ754" s="3796"/>
      <c r="GQA754" s="3796"/>
      <c r="GQB754" s="3796"/>
      <c r="GQC754" s="3796"/>
      <c r="GQD754" s="3796"/>
      <c r="GQE754" s="3796"/>
      <c r="GQF754" s="3796"/>
      <c r="GQG754" s="3796"/>
      <c r="GQH754" s="3796"/>
      <c r="GQI754" s="3796"/>
      <c r="GQJ754" s="3796"/>
      <c r="GQK754" s="3796"/>
      <c r="GQL754" s="3796"/>
      <c r="GQM754" s="3796"/>
      <c r="GQN754" s="3796"/>
      <c r="GQO754" s="3796"/>
      <c r="GQP754" s="3796"/>
      <c r="GQQ754" s="3796"/>
      <c r="GQR754" s="3796"/>
      <c r="GQS754" s="3796"/>
      <c r="GQT754" s="3796"/>
      <c r="GQU754" s="3796"/>
      <c r="GQV754" s="3796"/>
      <c r="GQW754" s="3796"/>
      <c r="GQX754" s="3796"/>
      <c r="GQY754" s="3796"/>
      <c r="GQZ754" s="3796"/>
      <c r="GRA754" s="3796"/>
      <c r="GRB754" s="3796"/>
      <c r="GRC754" s="3796"/>
      <c r="GRD754" s="3796"/>
      <c r="GRE754" s="3796"/>
      <c r="GRF754" s="3796"/>
      <c r="GRG754" s="3796"/>
      <c r="GRH754" s="3796"/>
      <c r="GRI754" s="3796"/>
      <c r="GRJ754" s="3796"/>
      <c r="GRK754" s="3796"/>
      <c r="GRL754" s="3796"/>
      <c r="GRM754" s="3796"/>
      <c r="GRN754" s="3796"/>
      <c r="GRO754" s="3796"/>
      <c r="GRP754" s="3796"/>
      <c r="GRQ754" s="3796"/>
      <c r="GRR754" s="3796"/>
      <c r="GRS754" s="3796"/>
      <c r="GRT754" s="3796"/>
      <c r="GRU754" s="3796"/>
      <c r="GRV754" s="3796"/>
      <c r="GRW754" s="3796"/>
      <c r="GRX754" s="3796"/>
      <c r="GRY754" s="3796"/>
      <c r="GRZ754" s="3796"/>
      <c r="GSA754" s="3796"/>
      <c r="GSB754" s="3796"/>
      <c r="GSC754" s="3796"/>
      <c r="GSD754" s="3796"/>
      <c r="GSE754" s="3796"/>
      <c r="GSF754" s="3796"/>
      <c r="GSG754" s="3796"/>
      <c r="GSH754" s="3796"/>
      <c r="GSI754" s="3796"/>
      <c r="GSJ754" s="3796"/>
      <c r="GSK754" s="3796"/>
      <c r="GSL754" s="3796"/>
      <c r="GSM754" s="3796"/>
      <c r="GSN754" s="3796"/>
      <c r="GSO754" s="3796"/>
      <c r="GSP754" s="3796"/>
      <c r="GSQ754" s="3796"/>
      <c r="GSR754" s="3796"/>
      <c r="GSS754" s="3796"/>
      <c r="GST754" s="3796"/>
      <c r="GSU754" s="3796"/>
      <c r="GSV754" s="3796"/>
      <c r="GSW754" s="3796"/>
      <c r="GSX754" s="3796"/>
      <c r="GSY754" s="3796"/>
      <c r="GSZ754" s="3796"/>
      <c r="GTA754" s="3796"/>
      <c r="GTB754" s="3796"/>
      <c r="GTC754" s="3796"/>
      <c r="GTD754" s="3796"/>
      <c r="GTE754" s="3796"/>
      <c r="GTF754" s="3796"/>
      <c r="GTG754" s="3796"/>
      <c r="GTH754" s="3796"/>
      <c r="GTI754" s="3796"/>
      <c r="GTJ754" s="3796"/>
      <c r="GTK754" s="3796"/>
      <c r="GTL754" s="3796"/>
      <c r="GTM754" s="3796"/>
      <c r="GTN754" s="3796"/>
      <c r="GTO754" s="3796"/>
      <c r="GTP754" s="3796"/>
      <c r="GTQ754" s="3796"/>
      <c r="GTR754" s="3796"/>
      <c r="GTS754" s="3796"/>
      <c r="GTT754" s="3796"/>
      <c r="GTU754" s="3796"/>
      <c r="GTV754" s="3796"/>
      <c r="GTW754" s="3796"/>
      <c r="GTX754" s="3796"/>
      <c r="GTY754" s="3796"/>
      <c r="GTZ754" s="3796"/>
      <c r="GUA754" s="3796"/>
      <c r="GUB754" s="3796"/>
      <c r="GUC754" s="3796"/>
      <c r="GUD754" s="3796"/>
      <c r="GUE754" s="3796"/>
      <c r="GUF754" s="3796"/>
      <c r="GUG754" s="3796"/>
      <c r="GUH754" s="3796"/>
      <c r="GUI754" s="3796"/>
      <c r="GUJ754" s="3796"/>
      <c r="GUK754" s="3796"/>
      <c r="GUL754" s="3796"/>
      <c r="GUM754" s="3796"/>
      <c r="GUN754" s="3796"/>
      <c r="GUO754" s="3796"/>
      <c r="GUP754" s="3796"/>
      <c r="GUQ754" s="3796"/>
      <c r="GUR754" s="3796"/>
      <c r="GUS754" s="3796"/>
      <c r="GUT754" s="3796"/>
      <c r="GUU754" s="3796"/>
      <c r="GUV754" s="3796"/>
      <c r="GUW754" s="3796"/>
      <c r="GUX754" s="3796"/>
      <c r="GUY754" s="3796"/>
      <c r="GUZ754" s="3796"/>
      <c r="GVA754" s="3796"/>
      <c r="GVB754" s="3796"/>
      <c r="GVC754" s="3796"/>
      <c r="GVD754" s="3796"/>
      <c r="GVE754" s="3796"/>
      <c r="GVF754" s="3796"/>
      <c r="GVG754" s="3796"/>
      <c r="GVH754" s="3796"/>
      <c r="GVI754" s="3796"/>
      <c r="GVJ754" s="3796"/>
      <c r="GVK754" s="3796"/>
      <c r="GVL754" s="3796"/>
      <c r="GVM754" s="3796"/>
      <c r="GVN754" s="3796"/>
      <c r="GVO754" s="3796"/>
      <c r="GVP754" s="3796"/>
      <c r="GVQ754" s="3796"/>
      <c r="GVR754" s="3796"/>
      <c r="GVS754" s="3796"/>
      <c r="GVT754" s="3796"/>
      <c r="GVU754" s="3796"/>
      <c r="GVV754" s="3796"/>
      <c r="GVW754" s="3796"/>
      <c r="GVX754" s="3796"/>
      <c r="GVY754" s="3796"/>
      <c r="GVZ754" s="3796"/>
      <c r="GWA754" s="3796"/>
      <c r="GWB754" s="3796"/>
      <c r="GWC754" s="3796"/>
      <c r="GWD754" s="3796"/>
      <c r="GWE754" s="3796"/>
      <c r="GWF754" s="3796"/>
      <c r="GWG754" s="3796"/>
      <c r="GWH754" s="3796"/>
      <c r="GWI754" s="3796"/>
      <c r="GWJ754" s="3796"/>
      <c r="GWK754" s="3796"/>
      <c r="GWL754" s="3796"/>
      <c r="GWM754" s="3796"/>
      <c r="GWN754" s="3796"/>
      <c r="GWO754" s="3796"/>
      <c r="GWP754" s="3796"/>
      <c r="GWQ754" s="3796"/>
      <c r="GWR754" s="3796"/>
      <c r="GWS754" s="3796"/>
      <c r="GWT754" s="3796"/>
      <c r="GWU754" s="3796"/>
      <c r="GWV754" s="3796"/>
      <c r="GWW754" s="3796"/>
      <c r="GWX754" s="3796"/>
      <c r="GWY754" s="3796"/>
      <c r="GWZ754" s="3796"/>
      <c r="GXA754" s="3796"/>
      <c r="GXB754" s="3796"/>
      <c r="GXC754" s="3796"/>
      <c r="GXD754" s="3796"/>
      <c r="GXE754" s="3796"/>
      <c r="GXF754" s="3796"/>
      <c r="GXG754" s="3796"/>
      <c r="GXH754" s="3796"/>
      <c r="GXI754" s="3796"/>
      <c r="GXJ754" s="3796"/>
      <c r="GXK754" s="3796"/>
      <c r="GXL754" s="3796"/>
      <c r="GXM754" s="3796"/>
      <c r="GXN754" s="3796"/>
      <c r="GXO754" s="3796"/>
      <c r="GXP754" s="3796"/>
      <c r="GXQ754" s="3796"/>
      <c r="GXR754" s="3796"/>
      <c r="GXS754" s="3796"/>
      <c r="GXT754" s="3796"/>
      <c r="GXU754" s="3796"/>
      <c r="GXZ754" s="3796"/>
      <c r="GYF754" s="3796"/>
      <c r="GYG754" s="3796"/>
      <c r="GYH754" s="3796"/>
      <c r="GYL754" s="3796"/>
      <c r="GYS754" s="3796"/>
      <c r="GYT754" s="3796"/>
      <c r="GYU754" s="3796"/>
      <c r="GYV754" s="3796"/>
      <c r="GYW754" s="3796"/>
      <c r="GYX754" s="3796"/>
      <c r="GYY754" s="3796"/>
      <c r="GYZ754" s="3796"/>
      <c r="GZA754" s="3796"/>
      <c r="GZB754" s="3796"/>
      <c r="GZC754" s="3796"/>
      <c r="GZD754" s="3796"/>
      <c r="GZE754" s="3796"/>
      <c r="GZF754" s="3796"/>
      <c r="GZG754" s="3796"/>
      <c r="GZH754" s="3796"/>
      <c r="GZI754" s="3796"/>
      <c r="GZJ754" s="3796"/>
      <c r="GZK754" s="3796"/>
      <c r="GZL754" s="3796"/>
      <c r="GZM754" s="3796"/>
      <c r="GZN754" s="3796"/>
      <c r="GZO754" s="3796"/>
      <c r="GZP754" s="3796"/>
      <c r="GZQ754" s="3796"/>
      <c r="GZR754" s="3796"/>
      <c r="GZS754" s="3796"/>
      <c r="GZT754" s="3796"/>
      <c r="GZU754" s="3796"/>
      <c r="GZV754" s="3796"/>
      <c r="GZW754" s="3796"/>
      <c r="GZX754" s="3796"/>
      <c r="GZY754" s="3796"/>
      <c r="GZZ754" s="3796"/>
      <c r="HAA754" s="3796"/>
      <c r="HAB754" s="3796"/>
      <c r="HAC754" s="3796"/>
      <c r="HAD754" s="3796"/>
      <c r="HAE754" s="3796"/>
      <c r="HAF754" s="3796"/>
      <c r="HAG754" s="3796"/>
      <c r="HAH754" s="3796"/>
      <c r="HAI754" s="3796"/>
      <c r="HAJ754" s="3796"/>
      <c r="HAK754" s="3796"/>
      <c r="HAL754" s="3796"/>
      <c r="HAM754" s="3796"/>
      <c r="HAN754" s="3796"/>
      <c r="HAO754" s="3796"/>
      <c r="HAP754" s="3796"/>
      <c r="HAQ754" s="3796"/>
      <c r="HAR754" s="3796"/>
      <c r="HAS754" s="3796"/>
      <c r="HAT754" s="3796"/>
      <c r="HAU754" s="3796"/>
      <c r="HAV754" s="3796"/>
      <c r="HAW754" s="3796"/>
      <c r="HAX754" s="3796"/>
      <c r="HAY754" s="3796"/>
      <c r="HAZ754" s="3796"/>
      <c r="HBA754" s="3796"/>
      <c r="HBB754" s="3796"/>
      <c r="HBC754" s="3796"/>
      <c r="HBD754" s="3796"/>
      <c r="HBE754" s="3796"/>
      <c r="HBF754" s="3796"/>
      <c r="HBG754" s="3796"/>
      <c r="HBH754" s="3796"/>
      <c r="HBI754" s="3796"/>
      <c r="HBJ754" s="3796"/>
      <c r="HBK754" s="3796"/>
      <c r="HBL754" s="3796"/>
      <c r="HBM754" s="3796"/>
      <c r="HBN754" s="3796"/>
      <c r="HBO754" s="3796"/>
      <c r="HBP754" s="3796"/>
      <c r="HBQ754" s="3796"/>
      <c r="HBR754" s="3796"/>
      <c r="HBS754" s="3796"/>
      <c r="HBT754" s="3796"/>
      <c r="HBU754" s="3796"/>
      <c r="HBV754" s="3796"/>
      <c r="HBW754" s="3796"/>
      <c r="HBX754" s="3796"/>
      <c r="HBY754" s="3796"/>
      <c r="HBZ754" s="3796"/>
      <c r="HCA754" s="3796"/>
      <c r="HCB754" s="3796"/>
      <c r="HCC754" s="3796"/>
      <c r="HCD754" s="3796"/>
      <c r="HCE754" s="3796"/>
      <c r="HCF754" s="3796"/>
      <c r="HCG754" s="3796"/>
      <c r="HCH754" s="3796"/>
      <c r="HCI754" s="3796"/>
      <c r="HCJ754" s="3796"/>
      <c r="HCK754" s="3796"/>
      <c r="HCL754" s="3796"/>
      <c r="HCM754" s="3796"/>
      <c r="HCN754" s="3796"/>
      <c r="HCO754" s="3796"/>
      <c r="HCP754" s="3796"/>
      <c r="HCQ754" s="3796"/>
      <c r="HCR754" s="3796"/>
      <c r="HCS754" s="3796"/>
      <c r="HCT754" s="3796"/>
      <c r="HCU754" s="3796"/>
      <c r="HCV754" s="3796"/>
      <c r="HCW754" s="3796"/>
      <c r="HCX754" s="3796"/>
      <c r="HCY754" s="3796"/>
      <c r="HCZ754" s="3796"/>
      <c r="HDA754" s="3796"/>
      <c r="HDB754" s="3796"/>
      <c r="HDC754" s="3796"/>
      <c r="HDD754" s="3796"/>
      <c r="HDE754" s="3796"/>
      <c r="HDF754" s="3796"/>
      <c r="HDG754" s="3796"/>
      <c r="HDH754" s="3796"/>
      <c r="HDI754" s="3796"/>
      <c r="HDJ754" s="3796"/>
      <c r="HDK754" s="3796"/>
      <c r="HDL754" s="3796"/>
      <c r="HDM754" s="3796"/>
      <c r="HDN754" s="3796"/>
      <c r="HDO754" s="3796"/>
      <c r="HDP754" s="3796"/>
      <c r="HDQ754" s="3796"/>
      <c r="HDR754" s="3796"/>
      <c r="HDS754" s="3796"/>
      <c r="HDT754" s="3796"/>
      <c r="HDU754" s="3796"/>
      <c r="HDV754" s="3796"/>
      <c r="HDW754" s="3796"/>
      <c r="HDX754" s="3796"/>
      <c r="HDY754" s="3796"/>
      <c r="HDZ754" s="3796"/>
      <c r="HEA754" s="3796"/>
      <c r="HEB754" s="3796"/>
      <c r="HEC754" s="3796"/>
      <c r="HED754" s="3796"/>
      <c r="HEE754" s="3796"/>
      <c r="HEF754" s="3796"/>
      <c r="HEG754" s="3796"/>
      <c r="HEH754" s="3796"/>
      <c r="HEI754" s="3796"/>
      <c r="HEJ754" s="3796"/>
      <c r="HEK754" s="3796"/>
      <c r="HEL754" s="3796"/>
      <c r="HEM754" s="3796"/>
      <c r="HEN754" s="3796"/>
      <c r="HEO754" s="3796"/>
      <c r="HEP754" s="3796"/>
      <c r="HEQ754" s="3796"/>
      <c r="HER754" s="3796"/>
      <c r="HES754" s="3796"/>
      <c r="HET754" s="3796"/>
      <c r="HEU754" s="3796"/>
      <c r="HEV754" s="3796"/>
      <c r="HEW754" s="3796"/>
      <c r="HEX754" s="3796"/>
      <c r="HEY754" s="3796"/>
      <c r="HEZ754" s="3796"/>
      <c r="HFA754" s="3796"/>
      <c r="HFB754" s="3796"/>
      <c r="HFC754" s="3796"/>
      <c r="HFD754" s="3796"/>
      <c r="HFE754" s="3796"/>
      <c r="HFF754" s="3796"/>
      <c r="HFG754" s="3796"/>
      <c r="HFH754" s="3796"/>
      <c r="HFI754" s="3796"/>
      <c r="HFJ754" s="3796"/>
      <c r="HFK754" s="3796"/>
      <c r="HFL754" s="3796"/>
      <c r="HFM754" s="3796"/>
      <c r="HFN754" s="3796"/>
      <c r="HFO754" s="3796"/>
      <c r="HFP754" s="3796"/>
      <c r="HFQ754" s="3796"/>
      <c r="HFR754" s="3796"/>
      <c r="HFS754" s="3796"/>
      <c r="HFT754" s="3796"/>
      <c r="HFU754" s="3796"/>
      <c r="HFV754" s="3796"/>
      <c r="HFW754" s="3796"/>
      <c r="HFX754" s="3796"/>
      <c r="HFY754" s="3796"/>
      <c r="HFZ754" s="3796"/>
      <c r="HGA754" s="3796"/>
      <c r="HGB754" s="3796"/>
      <c r="HGC754" s="3796"/>
      <c r="HGD754" s="3796"/>
      <c r="HGE754" s="3796"/>
      <c r="HGF754" s="3796"/>
      <c r="HGG754" s="3796"/>
      <c r="HGH754" s="3796"/>
      <c r="HGI754" s="3796"/>
      <c r="HGJ754" s="3796"/>
      <c r="HGK754" s="3796"/>
      <c r="HGL754" s="3796"/>
      <c r="HGM754" s="3796"/>
      <c r="HGN754" s="3796"/>
      <c r="HGO754" s="3796"/>
      <c r="HGP754" s="3796"/>
      <c r="HGQ754" s="3796"/>
      <c r="HGR754" s="3796"/>
      <c r="HGS754" s="3796"/>
      <c r="HGT754" s="3796"/>
      <c r="HGU754" s="3796"/>
      <c r="HGV754" s="3796"/>
      <c r="HGW754" s="3796"/>
      <c r="HGX754" s="3796"/>
      <c r="HGY754" s="3796"/>
      <c r="HGZ754" s="3796"/>
      <c r="HHA754" s="3796"/>
      <c r="HHB754" s="3796"/>
      <c r="HHC754" s="3796"/>
      <c r="HHD754" s="3796"/>
      <c r="HHE754" s="3796"/>
      <c r="HHF754" s="3796"/>
      <c r="HHG754" s="3796"/>
      <c r="HHH754" s="3796"/>
      <c r="HHI754" s="3796"/>
      <c r="HHJ754" s="3796"/>
      <c r="HHK754" s="3796"/>
      <c r="HHL754" s="3796"/>
      <c r="HHM754" s="3796"/>
      <c r="HHN754" s="3796"/>
      <c r="HHO754" s="3796"/>
      <c r="HHP754" s="3796"/>
      <c r="HHQ754" s="3796"/>
      <c r="HHV754" s="3796"/>
      <c r="HIB754" s="3796"/>
      <c r="HIC754" s="3796"/>
      <c r="HID754" s="3796"/>
      <c r="HIH754" s="3796"/>
      <c r="HIO754" s="3796"/>
      <c r="HIP754" s="3796"/>
      <c r="HIQ754" s="3796"/>
      <c r="HIR754" s="3796"/>
      <c r="HIS754" s="3796"/>
      <c r="HIT754" s="3796"/>
      <c r="HIU754" s="3796"/>
      <c r="HIV754" s="3796"/>
      <c r="HIW754" s="3796"/>
      <c r="HIX754" s="3796"/>
      <c r="HIY754" s="3796"/>
      <c r="HIZ754" s="3796"/>
      <c r="HJA754" s="3796"/>
      <c r="HJB754" s="3796"/>
      <c r="HJC754" s="3796"/>
      <c r="HJD754" s="3796"/>
      <c r="HJE754" s="3796"/>
      <c r="HJF754" s="3796"/>
      <c r="HJG754" s="3796"/>
      <c r="HJH754" s="3796"/>
      <c r="HJI754" s="3796"/>
      <c r="HJJ754" s="3796"/>
      <c r="HJK754" s="3796"/>
      <c r="HJL754" s="3796"/>
      <c r="HJM754" s="3796"/>
      <c r="HJN754" s="3796"/>
      <c r="HJO754" s="3796"/>
      <c r="HJP754" s="3796"/>
      <c r="HJQ754" s="3796"/>
      <c r="HJR754" s="3796"/>
      <c r="HJS754" s="3796"/>
      <c r="HJT754" s="3796"/>
      <c r="HJU754" s="3796"/>
      <c r="HJV754" s="3796"/>
      <c r="HJW754" s="3796"/>
      <c r="HJX754" s="3796"/>
      <c r="HJY754" s="3796"/>
      <c r="HJZ754" s="3796"/>
      <c r="HKA754" s="3796"/>
      <c r="HKB754" s="3796"/>
      <c r="HKC754" s="3796"/>
      <c r="HKD754" s="3796"/>
      <c r="HKE754" s="3796"/>
      <c r="HKF754" s="3796"/>
      <c r="HKG754" s="3796"/>
      <c r="HKH754" s="3796"/>
      <c r="HKI754" s="3796"/>
      <c r="HKJ754" s="3796"/>
      <c r="HKK754" s="3796"/>
      <c r="HKL754" s="3796"/>
      <c r="HKM754" s="3796"/>
      <c r="HKN754" s="3796"/>
      <c r="HKO754" s="3796"/>
      <c r="HKP754" s="3796"/>
      <c r="HKQ754" s="3796"/>
      <c r="HKR754" s="3796"/>
      <c r="HKS754" s="3796"/>
      <c r="HKT754" s="3796"/>
      <c r="HKU754" s="3796"/>
      <c r="HKV754" s="3796"/>
      <c r="HKW754" s="3796"/>
      <c r="HKX754" s="3796"/>
      <c r="HKY754" s="3796"/>
      <c r="HKZ754" s="3796"/>
      <c r="HLA754" s="3796"/>
      <c r="HLB754" s="3796"/>
      <c r="HLC754" s="3796"/>
      <c r="HLD754" s="3796"/>
      <c r="HLE754" s="3796"/>
      <c r="HLF754" s="3796"/>
      <c r="HLG754" s="3796"/>
      <c r="HLH754" s="3796"/>
      <c r="HLI754" s="3796"/>
      <c r="HLJ754" s="3796"/>
      <c r="HLK754" s="3796"/>
      <c r="HLL754" s="3796"/>
      <c r="HLM754" s="3796"/>
      <c r="HLN754" s="3796"/>
      <c r="HLO754" s="3796"/>
      <c r="HLP754" s="3796"/>
      <c r="HLQ754" s="3796"/>
      <c r="HLR754" s="3796"/>
      <c r="HLS754" s="3796"/>
      <c r="HLT754" s="3796"/>
      <c r="HLU754" s="3796"/>
      <c r="HLV754" s="3796"/>
      <c r="HLW754" s="3796"/>
      <c r="HLX754" s="3796"/>
      <c r="HLY754" s="3796"/>
      <c r="HLZ754" s="3796"/>
      <c r="HMA754" s="3796"/>
      <c r="HMB754" s="3796"/>
      <c r="HMC754" s="3796"/>
      <c r="HMD754" s="3796"/>
      <c r="HME754" s="3796"/>
      <c r="HMF754" s="3796"/>
      <c r="HMG754" s="3796"/>
      <c r="HMH754" s="3796"/>
      <c r="HMI754" s="3796"/>
      <c r="HMJ754" s="3796"/>
      <c r="HMK754" s="3796"/>
      <c r="HML754" s="3796"/>
      <c r="HMM754" s="3796"/>
      <c r="HMN754" s="3796"/>
      <c r="HMO754" s="3796"/>
      <c r="HMP754" s="3796"/>
      <c r="HMQ754" s="3796"/>
      <c r="HMR754" s="3796"/>
      <c r="HMS754" s="3796"/>
      <c r="HMT754" s="3796"/>
      <c r="HMU754" s="3796"/>
      <c r="HMV754" s="3796"/>
      <c r="HMW754" s="3796"/>
      <c r="HMX754" s="3796"/>
      <c r="HMY754" s="3796"/>
      <c r="HMZ754" s="3796"/>
      <c r="HNA754" s="3796"/>
      <c r="HNB754" s="3796"/>
      <c r="HNC754" s="3796"/>
      <c r="HND754" s="3796"/>
      <c r="HNE754" s="3796"/>
      <c r="HNF754" s="3796"/>
      <c r="HNG754" s="3796"/>
      <c r="HNH754" s="3796"/>
      <c r="HNI754" s="3796"/>
      <c r="HNJ754" s="3796"/>
      <c r="HNK754" s="3796"/>
      <c r="HNL754" s="3796"/>
      <c r="HNM754" s="3796"/>
      <c r="HNN754" s="3796"/>
      <c r="HNO754" s="3796"/>
      <c r="HNP754" s="3796"/>
      <c r="HNQ754" s="3796"/>
      <c r="HNR754" s="3796"/>
      <c r="HNS754" s="3796"/>
      <c r="HNT754" s="3796"/>
      <c r="HNU754" s="3796"/>
      <c r="HNV754" s="3796"/>
      <c r="HNW754" s="3796"/>
      <c r="HNX754" s="3796"/>
      <c r="HNY754" s="3796"/>
      <c r="HNZ754" s="3796"/>
      <c r="HOA754" s="3796"/>
      <c r="HOB754" s="3796"/>
      <c r="HOC754" s="3796"/>
      <c r="HOD754" s="3796"/>
      <c r="HOE754" s="3796"/>
      <c r="HOF754" s="3796"/>
      <c r="HOG754" s="3796"/>
      <c r="HOH754" s="3796"/>
      <c r="HOI754" s="3796"/>
      <c r="HOJ754" s="3796"/>
      <c r="HOK754" s="3796"/>
      <c r="HOL754" s="3796"/>
      <c r="HOM754" s="3796"/>
      <c r="HON754" s="3796"/>
      <c r="HOO754" s="3796"/>
      <c r="HOP754" s="3796"/>
      <c r="HOQ754" s="3796"/>
      <c r="HOR754" s="3796"/>
      <c r="HOS754" s="3796"/>
      <c r="HOT754" s="3796"/>
      <c r="HOU754" s="3796"/>
      <c r="HOV754" s="3796"/>
      <c r="HOW754" s="3796"/>
      <c r="HOX754" s="3796"/>
      <c r="HOY754" s="3796"/>
      <c r="HOZ754" s="3796"/>
      <c r="HPA754" s="3796"/>
      <c r="HPB754" s="3796"/>
      <c r="HPC754" s="3796"/>
      <c r="HPD754" s="3796"/>
      <c r="HPE754" s="3796"/>
      <c r="HPF754" s="3796"/>
      <c r="HPG754" s="3796"/>
      <c r="HPH754" s="3796"/>
      <c r="HPI754" s="3796"/>
      <c r="HPJ754" s="3796"/>
      <c r="HPK754" s="3796"/>
      <c r="HPL754" s="3796"/>
      <c r="HPM754" s="3796"/>
      <c r="HPN754" s="3796"/>
      <c r="HPO754" s="3796"/>
      <c r="HPP754" s="3796"/>
      <c r="HPQ754" s="3796"/>
      <c r="HPR754" s="3796"/>
      <c r="HPS754" s="3796"/>
      <c r="HPT754" s="3796"/>
      <c r="HPU754" s="3796"/>
      <c r="HPV754" s="3796"/>
      <c r="HPW754" s="3796"/>
      <c r="HPX754" s="3796"/>
      <c r="HPY754" s="3796"/>
      <c r="HPZ754" s="3796"/>
      <c r="HQA754" s="3796"/>
      <c r="HQB754" s="3796"/>
      <c r="HQC754" s="3796"/>
      <c r="HQD754" s="3796"/>
      <c r="HQE754" s="3796"/>
      <c r="HQF754" s="3796"/>
      <c r="HQG754" s="3796"/>
      <c r="HQH754" s="3796"/>
      <c r="HQI754" s="3796"/>
      <c r="HQJ754" s="3796"/>
      <c r="HQK754" s="3796"/>
      <c r="HQL754" s="3796"/>
      <c r="HQM754" s="3796"/>
      <c r="HQN754" s="3796"/>
      <c r="HQO754" s="3796"/>
      <c r="HQP754" s="3796"/>
      <c r="HQQ754" s="3796"/>
      <c r="HQR754" s="3796"/>
      <c r="HQS754" s="3796"/>
      <c r="HQT754" s="3796"/>
      <c r="HQU754" s="3796"/>
      <c r="HQV754" s="3796"/>
      <c r="HQW754" s="3796"/>
      <c r="HQX754" s="3796"/>
      <c r="HQY754" s="3796"/>
      <c r="HQZ754" s="3796"/>
      <c r="HRA754" s="3796"/>
      <c r="HRB754" s="3796"/>
      <c r="HRC754" s="3796"/>
      <c r="HRD754" s="3796"/>
      <c r="HRE754" s="3796"/>
      <c r="HRF754" s="3796"/>
      <c r="HRG754" s="3796"/>
      <c r="HRH754" s="3796"/>
      <c r="HRI754" s="3796"/>
      <c r="HRJ754" s="3796"/>
      <c r="HRK754" s="3796"/>
      <c r="HRL754" s="3796"/>
      <c r="HRM754" s="3796"/>
      <c r="HRR754" s="3796"/>
      <c r="HRX754" s="3796"/>
      <c r="HRY754" s="3796"/>
      <c r="HRZ754" s="3796"/>
      <c r="HSD754" s="3796"/>
      <c r="HSK754" s="3796"/>
      <c r="HSL754" s="3796"/>
      <c r="HSM754" s="3796"/>
      <c r="HSN754" s="3796"/>
      <c r="HSO754" s="3796"/>
      <c r="HSP754" s="3796"/>
      <c r="HSQ754" s="3796"/>
      <c r="HSR754" s="3796"/>
      <c r="HSS754" s="3796"/>
      <c r="HST754" s="3796"/>
      <c r="HSU754" s="3796"/>
      <c r="HSV754" s="3796"/>
      <c r="HSW754" s="3796"/>
      <c r="HSX754" s="3796"/>
      <c r="HSY754" s="3796"/>
      <c r="HSZ754" s="3796"/>
      <c r="HTA754" s="3796"/>
      <c r="HTB754" s="3796"/>
      <c r="HTC754" s="3796"/>
      <c r="HTD754" s="3796"/>
      <c r="HTE754" s="3796"/>
      <c r="HTF754" s="3796"/>
      <c r="HTG754" s="3796"/>
      <c r="HTH754" s="3796"/>
      <c r="HTI754" s="3796"/>
      <c r="HTJ754" s="3796"/>
      <c r="HTK754" s="3796"/>
      <c r="HTL754" s="3796"/>
      <c r="HTM754" s="3796"/>
      <c r="HTN754" s="3796"/>
      <c r="HTO754" s="3796"/>
      <c r="HTP754" s="3796"/>
      <c r="HTQ754" s="3796"/>
      <c r="HTR754" s="3796"/>
      <c r="HTS754" s="3796"/>
      <c r="HTT754" s="3796"/>
      <c r="HTU754" s="3796"/>
      <c r="HTV754" s="3796"/>
      <c r="HTW754" s="3796"/>
      <c r="HTX754" s="3796"/>
      <c r="HTY754" s="3796"/>
      <c r="HTZ754" s="3796"/>
      <c r="HUA754" s="3796"/>
      <c r="HUB754" s="3796"/>
      <c r="HUC754" s="3796"/>
      <c r="HUD754" s="3796"/>
      <c r="HUE754" s="3796"/>
      <c r="HUF754" s="3796"/>
      <c r="HUG754" s="3796"/>
      <c r="HUH754" s="3796"/>
      <c r="HUI754" s="3796"/>
      <c r="HUJ754" s="3796"/>
      <c r="HUK754" s="3796"/>
      <c r="HUL754" s="3796"/>
      <c r="HUM754" s="3796"/>
      <c r="HUN754" s="3796"/>
      <c r="HUO754" s="3796"/>
      <c r="HUP754" s="3796"/>
      <c r="HUQ754" s="3796"/>
      <c r="HUR754" s="3796"/>
      <c r="HUS754" s="3796"/>
      <c r="HUT754" s="3796"/>
      <c r="HUU754" s="3796"/>
      <c r="HUV754" s="3796"/>
      <c r="HUW754" s="3796"/>
      <c r="HUX754" s="3796"/>
      <c r="HUY754" s="3796"/>
      <c r="HUZ754" s="3796"/>
      <c r="HVA754" s="3796"/>
      <c r="HVB754" s="3796"/>
      <c r="HVC754" s="3796"/>
      <c r="HVD754" s="3796"/>
      <c r="HVE754" s="3796"/>
      <c r="HVF754" s="3796"/>
      <c r="HVG754" s="3796"/>
      <c r="HVH754" s="3796"/>
      <c r="HVI754" s="3796"/>
      <c r="HVJ754" s="3796"/>
      <c r="HVK754" s="3796"/>
      <c r="HVL754" s="3796"/>
      <c r="HVM754" s="3796"/>
      <c r="HVN754" s="3796"/>
      <c r="HVO754" s="3796"/>
      <c r="HVP754" s="3796"/>
      <c r="HVQ754" s="3796"/>
      <c r="HVR754" s="3796"/>
      <c r="HVS754" s="3796"/>
      <c r="HVT754" s="3796"/>
      <c r="HVU754" s="3796"/>
      <c r="HVV754" s="3796"/>
      <c r="HVW754" s="3796"/>
      <c r="HVX754" s="3796"/>
      <c r="HVY754" s="3796"/>
      <c r="HVZ754" s="3796"/>
      <c r="HWA754" s="3796"/>
      <c r="HWB754" s="3796"/>
      <c r="HWC754" s="3796"/>
      <c r="HWD754" s="3796"/>
      <c r="HWE754" s="3796"/>
      <c r="HWF754" s="3796"/>
      <c r="HWG754" s="3796"/>
      <c r="HWH754" s="3796"/>
      <c r="HWI754" s="3796"/>
      <c r="HWJ754" s="3796"/>
      <c r="HWK754" s="3796"/>
      <c r="HWL754" s="3796"/>
      <c r="HWM754" s="3796"/>
      <c r="HWN754" s="3796"/>
      <c r="HWO754" s="3796"/>
      <c r="HWP754" s="3796"/>
      <c r="HWQ754" s="3796"/>
      <c r="HWR754" s="3796"/>
      <c r="HWS754" s="3796"/>
      <c r="HWT754" s="3796"/>
      <c r="HWU754" s="3796"/>
      <c r="HWV754" s="3796"/>
      <c r="HWW754" s="3796"/>
      <c r="HWX754" s="3796"/>
      <c r="HWY754" s="3796"/>
      <c r="HWZ754" s="3796"/>
      <c r="HXA754" s="3796"/>
      <c r="HXB754" s="3796"/>
      <c r="HXC754" s="3796"/>
      <c r="HXD754" s="3796"/>
      <c r="HXE754" s="3796"/>
      <c r="HXF754" s="3796"/>
      <c r="HXG754" s="3796"/>
      <c r="HXH754" s="3796"/>
      <c r="HXI754" s="3796"/>
      <c r="HXJ754" s="3796"/>
      <c r="HXK754" s="3796"/>
      <c r="HXL754" s="3796"/>
      <c r="HXM754" s="3796"/>
      <c r="HXN754" s="3796"/>
      <c r="HXO754" s="3796"/>
      <c r="HXP754" s="3796"/>
      <c r="HXQ754" s="3796"/>
      <c r="HXR754" s="3796"/>
      <c r="HXS754" s="3796"/>
      <c r="HXT754" s="3796"/>
      <c r="HXU754" s="3796"/>
      <c r="HXV754" s="3796"/>
      <c r="HXW754" s="3796"/>
      <c r="HXX754" s="3796"/>
      <c r="HXY754" s="3796"/>
      <c r="HXZ754" s="3796"/>
      <c r="HYA754" s="3796"/>
      <c r="HYB754" s="3796"/>
      <c r="HYC754" s="3796"/>
      <c r="HYD754" s="3796"/>
      <c r="HYE754" s="3796"/>
      <c r="HYF754" s="3796"/>
      <c r="HYG754" s="3796"/>
      <c r="HYH754" s="3796"/>
      <c r="HYI754" s="3796"/>
      <c r="HYJ754" s="3796"/>
      <c r="HYK754" s="3796"/>
      <c r="HYL754" s="3796"/>
      <c r="HYM754" s="3796"/>
      <c r="HYN754" s="3796"/>
      <c r="HYO754" s="3796"/>
      <c r="HYP754" s="3796"/>
      <c r="HYQ754" s="3796"/>
      <c r="HYR754" s="3796"/>
      <c r="HYS754" s="3796"/>
      <c r="HYT754" s="3796"/>
      <c r="HYU754" s="3796"/>
      <c r="HYV754" s="3796"/>
      <c r="HYW754" s="3796"/>
      <c r="HYX754" s="3796"/>
      <c r="HYY754" s="3796"/>
      <c r="HYZ754" s="3796"/>
      <c r="HZA754" s="3796"/>
      <c r="HZB754" s="3796"/>
      <c r="HZC754" s="3796"/>
      <c r="HZD754" s="3796"/>
      <c r="HZE754" s="3796"/>
      <c r="HZF754" s="3796"/>
      <c r="HZG754" s="3796"/>
      <c r="HZH754" s="3796"/>
      <c r="HZI754" s="3796"/>
      <c r="HZJ754" s="3796"/>
      <c r="HZK754" s="3796"/>
      <c r="HZL754" s="3796"/>
      <c r="HZM754" s="3796"/>
      <c r="HZN754" s="3796"/>
      <c r="HZO754" s="3796"/>
      <c r="HZP754" s="3796"/>
      <c r="HZQ754" s="3796"/>
      <c r="HZR754" s="3796"/>
      <c r="HZS754" s="3796"/>
      <c r="HZT754" s="3796"/>
      <c r="HZU754" s="3796"/>
      <c r="HZV754" s="3796"/>
      <c r="HZW754" s="3796"/>
      <c r="HZX754" s="3796"/>
      <c r="HZY754" s="3796"/>
      <c r="HZZ754" s="3796"/>
      <c r="IAA754" s="3796"/>
      <c r="IAB754" s="3796"/>
      <c r="IAC754" s="3796"/>
      <c r="IAD754" s="3796"/>
      <c r="IAE754" s="3796"/>
      <c r="IAF754" s="3796"/>
      <c r="IAG754" s="3796"/>
      <c r="IAH754" s="3796"/>
      <c r="IAI754" s="3796"/>
      <c r="IAJ754" s="3796"/>
      <c r="IAK754" s="3796"/>
      <c r="IAL754" s="3796"/>
      <c r="IAM754" s="3796"/>
      <c r="IAN754" s="3796"/>
      <c r="IAO754" s="3796"/>
      <c r="IAP754" s="3796"/>
      <c r="IAQ754" s="3796"/>
      <c r="IAR754" s="3796"/>
      <c r="IAS754" s="3796"/>
      <c r="IAT754" s="3796"/>
      <c r="IAU754" s="3796"/>
      <c r="IAV754" s="3796"/>
      <c r="IAW754" s="3796"/>
      <c r="IAX754" s="3796"/>
      <c r="IAY754" s="3796"/>
      <c r="IAZ754" s="3796"/>
      <c r="IBA754" s="3796"/>
      <c r="IBB754" s="3796"/>
      <c r="IBC754" s="3796"/>
      <c r="IBD754" s="3796"/>
      <c r="IBE754" s="3796"/>
      <c r="IBF754" s="3796"/>
      <c r="IBG754" s="3796"/>
      <c r="IBH754" s="3796"/>
      <c r="IBI754" s="3796"/>
      <c r="IBN754" s="3796"/>
      <c r="IBT754" s="3796"/>
      <c r="IBU754" s="3796"/>
      <c r="IBV754" s="3796"/>
      <c r="IBZ754" s="3796"/>
      <c r="ICG754" s="3796"/>
      <c r="ICH754" s="3796"/>
      <c r="ICI754" s="3796"/>
      <c r="ICJ754" s="3796"/>
      <c r="ICK754" s="3796"/>
      <c r="ICL754" s="3796"/>
      <c r="ICM754" s="3796"/>
      <c r="ICN754" s="3796"/>
      <c r="ICO754" s="3796"/>
      <c r="ICP754" s="3796"/>
      <c r="ICQ754" s="3796"/>
      <c r="ICR754" s="3796"/>
      <c r="ICS754" s="3796"/>
      <c r="ICT754" s="3796"/>
      <c r="ICU754" s="3796"/>
      <c r="ICV754" s="3796"/>
      <c r="ICW754" s="3796"/>
      <c r="ICX754" s="3796"/>
      <c r="ICY754" s="3796"/>
      <c r="ICZ754" s="3796"/>
      <c r="IDA754" s="3796"/>
      <c r="IDB754" s="3796"/>
      <c r="IDC754" s="3796"/>
      <c r="IDD754" s="3796"/>
      <c r="IDE754" s="3796"/>
      <c r="IDF754" s="3796"/>
      <c r="IDG754" s="3796"/>
      <c r="IDH754" s="3796"/>
      <c r="IDI754" s="3796"/>
      <c r="IDJ754" s="3796"/>
      <c r="IDK754" s="3796"/>
      <c r="IDL754" s="3796"/>
      <c r="IDM754" s="3796"/>
      <c r="IDN754" s="3796"/>
      <c r="IDO754" s="3796"/>
      <c r="IDP754" s="3796"/>
      <c r="IDQ754" s="3796"/>
      <c r="IDR754" s="3796"/>
      <c r="IDS754" s="3796"/>
      <c r="IDT754" s="3796"/>
      <c r="IDU754" s="3796"/>
      <c r="IDV754" s="3796"/>
      <c r="IDW754" s="3796"/>
      <c r="IDX754" s="3796"/>
      <c r="IDY754" s="3796"/>
      <c r="IDZ754" s="3796"/>
      <c r="IEA754" s="3796"/>
      <c r="IEB754" s="3796"/>
      <c r="IEC754" s="3796"/>
      <c r="IED754" s="3796"/>
      <c r="IEE754" s="3796"/>
      <c r="IEF754" s="3796"/>
      <c r="IEG754" s="3796"/>
      <c r="IEH754" s="3796"/>
      <c r="IEI754" s="3796"/>
      <c r="IEJ754" s="3796"/>
      <c r="IEK754" s="3796"/>
      <c r="IEL754" s="3796"/>
      <c r="IEM754" s="3796"/>
      <c r="IEN754" s="3796"/>
      <c r="IEO754" s="3796"/>
      <c r="IEP754" s="3796"/>
      <c r="IEQ754" s="3796"/>
      <c r="IER754" s="3796"/>
      <c r="IES754" s="3796"/>
      <c r="IET754" s="3796"/>
      <c r="IEU754" s="3796"/>
      <c r="IEV754" s="3796"/>
      <c r="IEW754" s="3796"/>
      <c r="IEX754" s="3796"/>
      <c r="IEY754" s="3796"/>
      <c r="IEZ754" s="3796"/>
      <c r="IFA754" s="3796"/>
      <c r="IFB754" s="3796"/>
      <c r="IFC754" s="3796"/>
      <c r="IFD754" s="3796"/>
      <c r="IFE754" s="3796"/>
      <c r="IFF754" s="3796"/>
      <c r="IFG754" s="3796"/>
      <c r="IFH754" s="3796"/>
      <c r="IFI754" s="3796"/>
      <c r="IFJ754" s="3796"/>
      <c r="IFK754" s="3796"/>
      <c r="IFL754" s="3796"/>
      <c r="IFM754" s="3796"/>
      <c r="IFN754" s="3796"/>
      <c r="IFO754" s="3796"/>
      <c r="IFP754" s="3796"/>
      <c r="IFQ754" s="3796"/>
      <c r="IFR754" s="3796"/>
      <c r="IFS754" s="3796"/>
      <c r="IFT754" s="3796"/>
      <c r="IFU754" s="3796"/>
      <c r="IFV754" s="3796"/>
      <c r="IFW754" s="3796"/>
      <c r="IFX754" s="3796"/>
      <c r="IFY754" s="3796"/>
      <c r="IFZ754" s="3796"/>
      <c r="IGA754" s="3796"/>
      <c r="IGB754" s="3796"/>
      <c r="IGC754" s="3796"/>
      <c r="IGD754" s="3796"/>
      <c r="IGE754" s="3796"/>
      <c r="IGF754" s="3796"/>
      <c r="IGG754" s="3796"/>
      <c r="IGH754" s="3796"/>
      <c r="IGI754" s="3796"/>
      <c r="IGJ754" s="3796"/>
      <c r="IGK754" s="3796"/>
      <c r="IGL754" s="3796"/>
      <c r="IGM754" s="3796"/>
      <c r="IGN754" s="3796"/>
      <c r="IGO754" s="3796"/>
      <c r="IGP754" s="3796"/>
      <c r="IGQ754" s="3796"/>
      <c r="IGR754" s="3796"/>
      <c r="IGS754" s="3796"/>
      <c r="IGT754" s="3796"/>
      <c r="IGU754" s="3796"/>
      <c r="IGV754" s="3796"/>
      <c r="IGW754" s="3796"/>
      <c r="IGX754" s="3796"/>
      <c r="IGY754" s="3796"/>
      <c r="IGZ754" s="3796"/>
      <c r="IHA754" s="3796"/>
      <c r="IHB754" s="3796"/>
      <c r="IHC754" s="3796"/>
      <c r="IHD754" s="3796"/>
      <c r="IHE754" s="3796"/>
      <c r="IHF754" s="3796"/>
      <c r="IHG754" s="3796"/>
      <c r="IHH754" s="3796"/>
      <c r="IHI754" s="3796"/>
      <c r="IHJ754" s="3796"/>
      <c r="IHK754" s="3796"/>
      <c r="IHL754" s="3796"/>
      <c r="IHM754" s="3796"/>
      <c r="IHN754" s="3796"/>
      <c r="IHO754" s="3796"/>
      <c r="IHP754" s="3796"/>
      <c r="IHQ754" s="3796"/>
      <c r="IHR754" s="3796"/>
      <c r="IHS754" s="3796"/>
      <c r="IHT754" s="3796"/>
      <c r="IHU754" s="3796"/>
      <c r="IHV754" s="3796"/>
      <c r="IHW754" s="3796"/>
      <c r="IHX754" s="3796"/>
      <c r="IHY754" s="3796"/>
      <c r="IHZ754" s="3796"/>
      <c r="IIA754" s="3796"/>
      <c r="IIB754" s="3796"/>
      <c r="IIC754" s="3796"/>
      <c r="IID754" s="3796"/>
      <c r="IIE754" s="3796"/>
      <c r="IIF754" s="3796"/>
      <c r="IIG754" s="3796"/>
      <c r="IIH754" s="3796"/>
      <c r="III754" s="3796"/>
      <c r="IIJ754" s="3796"/>
      <c r="IIK754" s="3796"/>
      <c r="IIL754" s="3796"/>
      <c r="IIM754" s="3796"/>
      <c r="IIN754" s="3796"/>
      <c r="IIO754" s="3796"/>
      <c r="IIP754" s="3796"/>
      <c r="IIQ754" s="3796"/>
      <c r="IIR754" s="3796"/>
      <c r="IIS754" s="3796"/>
      <c r="IIT754" s="3796"/>
      <c r="IIU754" s="3796"/>
      <c r="IIV754" s="3796"/>
      <c r="IIW754" s="3796"/>
      <c r="IIX754" s="3796"/>
      <c r="IIY754" s="3796"/>
      <c r="IIZ754" s="3796"/>
      <c r="IJA754" s="3796"/>
      <c r="IJB754" s="3796"/>
      <c r="IJC754" s="3796"/>
      <c r="IJD754" s="3796"/>
      <c r="IJE754" s="3796"/>
      <c r="IJF754" s="3796"/>
      <c r="IJG754" s="3796"/>
      <c r="IJH754" s="3796"/>
      <c r="IJI754" s="3796"/>
      <c r="IJJ754" s="3796"/>
      <c r="IJK754" s="3796"/>
      <c r="IJL754" s="3796"/>
      <c r="IJM754" s="3796"/>
      <c r="IJN754" s="3796"/>
      <c r="IJO754" s="3796"/>
      <c r="IJP754" s="3796"/>
      <c r="IJQ754" s="3796"/>
      <c r="IJR754" s="3796"/>
      <c r="IJS754" s="3796"/>
      <c r="IJT754" s="3796"/>
      <c r="IJU754" s="3796"/>
      <c r="IJV754" s="3796"/>
      <c r="IJW754" s="3796"/>
      <c r="IJX754" s="3796"/>
      <c r="IJY754" s="3796"/>
      <c r="IJZ754" s="3796"/>
      <c r="IKA754" s="3796"/>
      <c r="IKB754" s="3796"/>
      <c r="IKC754" s="3796"/>
      <c r="IKD754" s="3796"/>
      <c r="IKE754" s="3796"/>
      <c r="IKF754" s="3796"/>
      <c r="IKG754" s="3796"/>
      <c r="IKH754" s="3796"/>
      <c r="IKI754" s="3796"/>
      <c r="IKJ754" s="3796"/>
      <c r="IKK754" s="3796"/>
      <c r="IKL754" s="3796"/>
      <c r="IKM754" s="3796"/>
      <c r="IKN754" s="3796"/>
      <c r="IKO754" s="3796"/>
      <c r="IKP754" s="3796"/>
      <c r="IKQ754" s="3796"/>
      <c r="IKR754" s="3796"/>
      <c r="IKS754" s="3796"/>
      <c r="IKT754" s="3796"/>
      <c r="IKU754" s="3796"/>
      <c r="IKV754" s="3796"/>
      <c r="IKW754" s="3796"/>
      <c r="IKX754" s="3796"/>
      <c r="IKY754" s="3796"/>
      <c r="IKZ754" s="3796"/>
      <c r="ILA754" s="3796"/>
      <c r="ILB754" s="3796"/>
      <c r="ILC754" s="3796"/>
      <c r="ILD754" s="3796"/>
      <c r="ILE754" s="3796"/>
      <c r="ILJ754" s="3796"/>
      <c r="ILP754" s="3796"/>
      <c r="ILQ754" s="3796"/>
      <c r="ILR754" s="3796"/>
      <c r="ILV754" s="3796"/>
      <c r="IMC754" s="3796"/>
      <c r="IMD754" s="3796"/>
      <c r="IME754" s="3796"/>
      <c r="IMF754" s="3796"/>
      <c r="IMG754" s="3796"/>
      <c r="IMH754" s="3796"/>
      <c r="IMI754" s="3796"/>
      <c r="IMJ754" s="3796"/>
      <c r="IMK754" s="3796"/>
      <c r="IML754" s="3796"/>
      <c r="IMM754" s="3796"/>
      <c r="IMN754" s="3796"/>
      <c r="IMO754" s="3796"/>
      <c r="IMP754" s="3796"/>
      <c r="IMQ754" s="3796"/>
      <c r="IMR754" s="3796"/>
      <c r="IMS754" s="3796"/>
      <c r="IMT754" s="3796"/>
      <c r="IMU754" s="3796"/>
      <c r="IMV754" s="3796"/>
      <c r="IMW754" s="3796"/>
      <c r="IMX754" s="3796"/>
      <c r="IMY754" s="3796"/>
      <c r="IMZ754" s="3796"/>
      <c r="INA754" s="3796"/>
      <c r="INB754" s="3796"/>
      <c r="INC754" s="3796"/>
      <c r="IND754" s="3796"/>
      <c r="INE754" s="3796"/>
      <c r="INF754" s="3796"/>
      <c r="ING754" s="3796"/>
      <c r="INH754" s="3796"/>
      <c r="INI754" s="3796"/>
      <c r="INJ754" s="3796"/>
      <c r="INK754" s="3796"/>
      <c r="INL754" s="3796"/>
      <c r="INM754" s="3796"/>
      <c r="INN754" s="3796"/>
      <c r="INO754" s="3796"/>
      <c r="INP754" s="3796"/>
      <c r="INQ754" s="3796"/>
      <c r="INR754" s="3796"/>
      <c r="INS754" s="3796"/>
      <c r="INT754" s="3796"/>
      <c r="INU754" s="3796"/>
      <c r="INV754" s="3796"/>
      <c r="INW754" s="3796"/>
      <c r="INX754" s="3796"/>
      <c r="INY754" s="3796"/>
      <c r="INZ754" s="3796"/>
      <c r="IOA754" s="3796"/>
      <c r="IOB754" s="3796"/>
      <c r="IOC754" s="3796"/>
      <c r="IOD754" s="3796"/>
      <c r="IOE754" s="3796"/>
      <c r="IOF754" s="3796"/>
      <c r="IOG754" s="3796"/>
      <c r="IOH754" s="3796"/>
      <c r="IOI754" s="3796"/>
      <c r="IOJ754" s="3796"/>
      <c r="IOK754" s="3796"/>
      <c r="IOL754" s="3796"/>
      <c r="IOM754" s="3796"/>
      <c r="ION754" s="3796"/>
      <c r="IOO754" s="3796"/>
      <c r="IOP754" s="3796"/>
      <c r="IOQ754" s="3796"/>
      <c r="IOR754" s="3796"/>
      <c r="IOS754" s="3796"/>
      <c r="IOT754" s="3796"/>
      <c r="IOU754" s="3796"/>
      <c r="IOV754" s="3796"/>
      <c r="IOW754" s="3796"/>
      <c r="IOX754" s="3796"/>
      <c r="IOY754" s="3796"/>
      <c r="IOZ754" s="3796"/>
      <c r="IPA754" s="3796"/>
      <c r="IPB754" s="3796"/>
      <c r="IPC754" s="3796"/>
      <c r="IPD754" s="3796"/>
      <c r="IPE754" s="3796"/>
      <c r="IPF754" s="3796"/>
      <c r="IPG754" s="3796"/>
      <c r="IPH754" s="3796"/>
      <c r="IPI754" s="3796"/>
      <c r="IPJ754" s="3796"/>
      <c r="IPK754" s="3796"/>
      <c r="IPL754" s="3796"/>
      <c r="IPM754" s="3796"/>
      <c r="IPN754" s="3796"/>
      <c r="IPO754" s="3796"/>
      <c r="IPP754" s="3796"/>
      <c r="IPQ754" s="3796"/>
      <c r="IPR754" s="3796"/>
      <c r="IPS754" s="3796"/>
      <c r="IPT754" s="3796"/>
      <c r="IPU754" s="3796"/>
      <c r="IPV754" s="3796"/>
      <c r="IPW754" s="3796"/>
      <c r="IPX754" s="3796"/>
      <c r="IPY754" s="3796"/>
      <c r="IPZ754" s="3796"/>
      <c r="IQA754" s="3796"/>
      <c r="IQB754" s="3796"/>
      <c r="IQC754" s="3796"/>
      <c r="IQD754" s="3796"/>
      <c r="IQE754" s="3796"/>
      <c r="IQF754" s="3796"/>
      <c r="IQG754" s="3796"/>
      <c r="IQH754" s="3796"/>
      <c r="IQI754" s="3796"/>
      <c r="IQJ754" s="3796"/>
      <c r="IQK754" s="3796"/>
      <c r="IQL754" s="3796"/>
      <c r="IQM754" s="3796"/>
      <c r="IQN754" s="3796"/>
      <c r="IQO754" s="3796"/>
      <c r="IQP754" s="3796"/>
      <c r="IQQ754" s="3796"/>
      <c r="IQR754" s="3796"/>
      <c r="IQS754" s="3796"/>
      <c r="IQT754" s="3796"/>
      <c r="IQU754" s="3796"/>
      <c r="IQV754" s="3796"/>
      <c r="IQW754" s="3796"/>
      <c r="IQX754" s="3796"/>
      <c r="IQY754" s="3796"/>
      <c r="IQZ754" s="3796"/>
      <c r="IRA754" s="3796"/>
      <c r="IRB754" s="3796"/>
      <c r="IRC754" s="3796"/>
      <c r="IRD754" s="3796"/>
      <c r="IRE754" s="3796"/>
      <c r="IRF754" s="3796"/>
      <c r="IRG754" s="3796"/>
      <c r="IRH754" s="3796"/>
      <c r="IRI754" s="3796"/>
      <c r="IRJ754" s="3796"/>
      <c r="IRK754" s="3796"/>
      <c r="IRL754" s="3796"/>
      <c r="IRM754" s="3796"/>
      <c r="IRN754" s="3796"/>
      <c r="IRO754" s="3796"/>
      <c r="IRP754" s="3796"/>
      <c r="IRQ754" s="3796"/>
      <c r="IRR754" s="3796"/>
      <c r="IRS754" s="3796"/>
      <c r="IRT754" s="3796"/>
      <c r="IRU754" s="3796"/>
      <c r="IRV754" s="3796"/>
      <c r="IRW754" s="3796"/>
      <c r="IRX754" s="3796"/>
      <c r="IRY754" s="3796"/>
      <c r="IRZ754" s="3796"/>
      <c r="ISA754" s="3796"/>
      <c r="ISB754" s="3796"/>
      <c r="ISC754" s="3796"/>
      <c r="ISD754" s="3796"/>
      <c r="ISE754" s="3796"/>
      <c r="ISF754" s="3796"/>
      <c r="ISG754" s="3796"/>
      <c r="ISH754" s="3796"/>
      <c r="ISI754" s="3796"/>
      <c r="ISJ754" s="3796"/>
      <c r="ISK754" s="3796"/>
      <c r="ISL754" s="3796"/>
      <c r="ISM754" s="3796"/>
      <c r="ISN754" s="3796"/>
      <c r="ISO754" s="3796"/>
      <c r="ISP754" s="3796"/>
      <c r="ISQ754" s="3796"/>
      <c r="ISR754" s="3796"/>
      <c r="ISS754" s="3796"/>
      <c r="IST754" s="3796"/>
      <c r="ISU754" s="3796"/>
      <c r="ISV754" s="3796"/>
      <c r="ISW754" s="3796"/>
      <c r="ISX754" s="3796"/>
      <c r="ISY754" s="3796"/>
      <c r="ISZ754" s="3796"/>
      <c r="ITA754" s="3796"/>
      <c r="ITB754" s="3796"/>
      <c r="ITC754" s="3796"/>
      <c r="ITD754" s="3796"/>
      <c r="ITE754" s="3796"/>
      <c r="ITF754" s="3796"/>
      <c r="ITG754" s="3796"/>
      <c r="ITH754" s="3796"/>
      <c r="ITI754" s="3796"/>
      <c r="ITJ754" s="3796"/>
      <c r="ITK754" s="3796"/>
      <c r="ITL754" s="3796"/>
      <c r="ITM754" s="3796"/>
      <c r="ITN754" s="3796"/>
      <c r="ITO754" s="3796"/>
      <c r="ITP754" s="3796"/>
      <c r="ITQ754" s="3796"/>
      <c r="ITR754" s="3796"/>
      <c r="ITS754" s="3796"/>
      <c r="ITT754" s="3796"/>
      <c r="ITU754" s="3796"/>
      <c r="ITV754" s="3796"/>
      <c r="ITW754" s="3796"/>
      <c r="ITX754" s="3796"/>
      <c r="ITY754" s="3796"/>
      <c r="ITZ754" s="3796"/>
      <c r="IUA754" s="3796"/>
      <c r="IUB754" s="3796"/>
      <c r="IUC754" s="3796"/>
      <c r="IUD754" s="3796"/>
      <c r="IUE754" s="3796"/>
      <c r="IUF754" s="3796"/>
      <c r="IUG754" s="3796"/>
      <c r="IUH754" s="3796"/>
      <c r="IUI754" s="3796"/>
      <c r="IUJ754" s="3796"/>
      <c r="IUK754" s="3796"/>
      <c r="IUL754" s="3796"/>
      <c r="IUM754" s="3796"/>
      <c r="IUN754" s="3796"/>
      <c r="IUO754" s="3796"/>
      <c r="IUP754" s="3796"/>
      <c r="IUQ754" s="3796"/>
      <c r="IUR754" s="3796"/>
      <c r="IUS754" s="3796"/>
      <c r="IUT754" s="3796"/>
      <c r="IUU754" s="3796"/>
      <c r="IUV754" s="3796"/>
      <c r="IUW754" s="3796"/>
      <c r="IUX754" s="3796"/>
      <c r="IUY754" s="3796"/>
      <c r="IUZ754" s="3796"/>
      <c r="IVA754" s="3796"/>
      <c r="IVF754" s="3796"/>
      <c r="IVL754" s="3796"/>
      <c r="IVM754" s="3796"/>
      <c r="IVN754" s="3796"/>
      <c r="IVR754" s="3796"/>
      <c r="IVY754" s="3796"/>
      <c r="IVZ754" s="3796"/>
      <c r="IWA754" s="3796"/>
      <c r="IWB754" s="3796"/>
      <c r="IWC754" s="3796"/>
      <c r="IWD754" s="3796"/>
      <c r="IWE754" s="3796"/>
      <c r="IWF754" s="3796"/>
      <c r="IWG754" s="3796"/>
      <c r="IWH754" s="3796"/>
      <c r="IWI754" s="3796"/>
      <c r="IWJ754" s="3796"/>
      <c r="IWK754" s="3796"/>
      <c r="IWL754" s="3796"/>
      <c r="IWM754" s="3796"/>
      <c r="IWN754" s="3796"/>
      <c r="IWO754" s="3796"/>
      <c r="IWP754" s="3796"/>
      <c r="IWQ754" s="3796"/>
      <c r="IWR754" s="3796"/>
      <c r="IWS754" s="3796"/>
      <c r="IWT754" s="3796"/>
      <c r="IWU754" s="3796"/>
      <c r="IWV754" s="3796"/>
      <c r="IWW754" s="3796"/>
      <c r="IWX754" s="3796"/>
      <c r="IWY754" s="3796"/>
      <c r="IWZ754" s="3796"/>
      <c r="IXA754" s="3796"/>
      <c r="IXB754" s="3796"/>
      <c r="IXC754" s="3796"/>
      <c r="IXD754" s="3796"/>
      <c r="IXE754" s="3796"/>
      <c r="IXF754" s="3796"/>
      <c r="IXG754" s="3796"/>
      <c r="IXH754" s="3796"/>
      <c r="IXI754" s="3796"/>
      <c r="IXJ754" s="3796"/>
      <c r="IXK754" s="3796"/>
      <c r="IXL754" s="3796"/>
      <c r="IXM754" s="3796"/>
      <c r="IXN754" s="3796"/>
      <c r="IXO754" s="3796"/>
      <c r="IXP754" s="3796"/>
      <c r="IXQ754" s="3796"/>
      <c r="IXR754" s="3796"/>
      <c r="IXS754" s="3796"/>
      <c r="IXT754" s="3796"/>
      <c r="IXU754" s="3796"/>
      <c r="IXV754" s="3796"/>
      <c r="IXW754" s="3796"/>
      <c r="IXX754" s="3796"/>
      <c r="IXY754" s="3796"/>
      <c r="IXZ754" s="3796"/>
      <c r="IYA754" s="3796"/>
      <c r="IYB754" s="3796"/>
      <c r="IYC754" s="3796"/>
      <c r="IYD754" s="3796"/>
      <c r="IYE754" s="3796"/>
      <c r="IYF754" s="3796"/>
      <c r="IYG754" s="3796"/>
      <c r="IYH754" s="3796"/>
      <c r="IYI754" s="3796"/>
      <c r="IYJ754" s="3796"/>
      <c r="IYK754" s="3796"/>
      <c r="IYL754" s="3796"/>
      <c r="IYM754" s="3796"/>
      <c r="IYN754" s="3796"/>
      <c r="IYO754" s="3796"/>
      <c r="IYP754" s="3796"/>
      <c r="IYQ754" s="3796"/>
      <c r="IYR754" s="3796"/>
      <c r="IYS754" s="3796"/>
      <c r="IYT754" s="3796"/>
      <c r="IYU754" s="3796"/>
      <c r="IYV754" s="3796"/>
      <c r="IYW754" s="3796"/>
      <c r="IYX754" s="3796"/>
      <c r="IYY754" s="3796"/>
      <c r="IYZ754" s="3796"/>
      <c r="IZA754" s="3796"/>
      <c r="IZB754" s="3796"/>
      <c r="IZC754" s="3796"/>
      <c r="IZD754" s="3796"/>
      <c r="IZE754" s="3796"/>
      <c r="IZF754" s="3796"/>
      <c r="IZG754" s="3796"/>
      <c r="IZH754" s="3796"/>
      <c r="IZI754" s="3796"/>
      <c r="IZJ754" s="3796"/>
      <c r="IZK754" s="3796"/>
      <c r="IZL754" s="3796"/>
      <c r="IZM754" s="3796"/>
      <c r="IZN754" s="3796"/>
      <c r="IZO754" s="3796"/>
      <c r="IZP754" s="3796"/>
      <c r="IZQ754" s="3796"/>
      <c r="IZR754" s="3796"/>
      <c r="IZS754" s="3796"/>
      <c r="IZT754" s="3796"/>
      <c r="IZU754" s="3796"/>
      <c r="IZV754" s="3796"/>
      <c r="IZW754" s="3796"/>
      <c r="IZX754" s="3796"/>
      <c r="IZY754" s="3796"/>
      <c r="IZZ754" s="3796"/>
      <c r="JAA754" s="3796"/>
      <c r="JAB754" s="3796"/>
      <c r="JAC754" s="3796"/>
      <c r="JAD754" s="3796"/>
      <c r="JAE754" s="3796"/>
      <c r="JAF754" s="3796"/>
      <c r="JAG754" s="3796"/>
      <c r="JAH754" s="3796"/>
      <c r="JAI754" s="3796"/>
      <c r="JAJ754" s="3796"/>
      <c r="JAK754" s="3796"/>
      <c r="JAL754" s="3796"/>
      <c r="JAM754" s="3796"/>
      <c r="JAN754" s="3796"/>
      <c r="JAO754" s="3796"/>
      <c r="JAP754" s="3796"/>
      <c r="JAQ754" s="3796"/>
      <c r="JAR754" s="3796"/>
      <c r="JAS754" s="3796"/>
      <c r="JAT754" s="3796"/>
      <c r="JAU754" s="3796"/>
      <c r="JAV754" s="3796"/>
      <c r="JAW754" s="3796"/>
      <c r="JAX754" s="3796"/>
      <c r="JAY754" s="3796"/>
      <c r="JAZ754" s="3796"/>
      <c r="JBA754" s="3796"/>
      <c r="JBB754" s="3796"/>
      <c r="JBC754" s="3796"/>
      <c r="JBD754" s="3796"/>
      <c r="JBE754" s="3796"/>
      <c r="JBF754" s="3796"/>
      <c r="JBG754" s="3796"/>
      <c r="JBH754" s="3796"/>
      <c r="JBI754" s="3796"/>
      <c r="JBJ754" s="3796"/>
      <c r="JBK754" s="3796"/>
      <c r="JBL754" s="3796"/>
      <c r="JBM754" s="3796"/>
      <c r="JBN754" s="3796"/>
      <c r="JBO754" s="3796"/>
      <c r="JBP754" s="3796"/>
      <c r="JBQ754" s="3796"/>
      <c r="JBR754" s="3796"/>
      <c r="JBS754" s="3796"/>
      <c r="JBT754" s="3796"/>
      <c r="JBU754" s="3796"/>
      <c r="JBV754" s="3796"/>
      <c r="JBW754" s="3796"/>
      <c r="JBX754" s="3796"/>
      <c r="JBY754" s="3796"/>
      <c r="JBZ754" s="3796"/>
      <c r="JCA754" s="3796"/>
      <c r="JCB754" s="3796"/>
      <c r="JCC754" s="3796"/>
      <c r="JCD754" s="3796"/>
      <c r="JCE754" s="3796"/>
      <c r="JCF754" s="3796"/>
      <c r="JCG754" s="3796"/>
      <c r="JCH754" s="3796"/>
      <c r="JCI754" s="3796"/>
      <c r="JCJ754" s="3796"/>
      <c r="JCK754" s="3796"/>
      <c r="JCL754" s="3796"/>
      <c r="JCM754" s="3796"/>
      <c r="JCN754" s="3796"/>
      <c r="JCO754" s="3796"/>
      <c r="JCP754" s="3796"/>
      <c r="JCQ754" s="3796"/>
      <c r="JCR754" s="3796"/>
      <c r="JCS754" s="3796"/>
      <c r="JCT754" s="3796"/>
      <c r="JCU754" s="3796"/>
      <c r="JCV754" s="3796"/>
      <c r="JCW754" s="3796"/>
      <c r="JCX754" s="3796"/>
      <c r="JCY754" s="3796"/>
      <c r="JCZ754" s="3796"/>
      <c r="JDA754" s="3796"/>
      <c r="JDB754" s="3796"/>
      <c r="JDC754" s="3796"/>
      <c r="JDD754" s="3796"/>
      <c r="JDE754" s="3796"/>
      <c r="JDF754" s="3796"/>
      <c r="JDG754" s="3796"/>
      <c r="JDH754" s="3796"/>
      <c r="JDI754" s="3796"/>
      <c r="JDJ754" s="3796"/>
      <c r="JDK754" s="3796"/>
      <c r="JDL754" s="3796"/>
      <c r="JDM754" s="3796"/>
      <c r="JDN754" s="3796"/>
      <c r="JDO754" s="3796"/>
      <c r="JDP754" s="3796"/>
      <c r="JDQ754" s="3796"/>
      <c r="JDR754" s="3796"/>
      <c r="JDS754" s="3796"/>
      <c r="JDT754" s="3796"/>
      <c r="JDU754" s="3796"/>
      <c r="JDV754" s="3796"/>
      <c r="JDW754" s="3796"/>
      <c r="JDX754" s="3796"/>
      <c r="JDY754" s="3796"/>
      <c r="JDZ754" s="3796"/>
      <c r="JEA754" s="3796"/>
      <c r="JEB754" s="3796"/>
      <c r="JEC754" s="3796"/>
      <c r="JED754" s="3796"/>
      <c r="JEE754" s="3796"/>
      <c r="JEF754" s="3796"/>
      <c r="JEG754" s="3796"/>
      <c r="JEH754" s="3796"/>
      <c r="JEI754" s="3796"/>
      <c r="JEJ754" s="3796"/>
      <c r="JEK754" s="3796"/>
      <c r="JEL754" s="3796"/>
      <c r="JEM754" s="3796"/>
      <c r="JEN754" s="3796"/>
      <c r="JEO754" s="3796"/>
      <c r="JEP754" s="3796"/>
      <c r="JEQ754" s="3796"/>
      <c r="JER754" s="3796"/>
      <c r="JES754" s="3796"/>
      <c r="JET754" s="3796"/>
      <c r="JEU754" s="3796"/>
      <c r="JEV754" s="3796"/>
      <c r="JEW754" s="3796"/>
      <c r="JFB754" s="3796"/>
      <c r="JFH754" s="3796"/>
      <c r="JFI754" s="3796"/>
      <c r="JFJ754" s="3796"/>
      <c r="JFN754" s="3796"/>
      <c r="JFU754" s="3796"/>
      <c r="JFV754" s="3796"/>
      <c r="JFW754" s="3796"/>
      <c r="JFX754" s="3796"/>
      <c r="JFY754" s="3796"/>
      <c r="JFZ754" s="3796"/>
      <c r="JGA754" s="3796"/>
      <c r="JGB754" s="3796"/>
      <c r="JGC754" s="3796"/>
      <c r="JGD754" s="3796"/>
      <c r="JGE754" s="3796"/>
      <c r="JGF754" s="3796"/>
      <c r="JGG754" s="3796"/>
      <c r="JGH754" s="3796"/>
      <c r="JGI754" s="3796"/>
      <c r="JGJ754" s="3796"/>
      <c r="JGK754" s="3796"/>
      <c r="JGL754" s="3796"/>
      <c r="JGM754" s="3796"/>
      <c r="JGN754" s="3796"/>
      <c r="JGO754" s="3796"/>
      <c r="JGP754" s="3796"/>
      <c r="JGQ754" s="3796"/>
      <c r="JGR754" s="3796"/>
      <c r="JGS754" s="3796"/>
      <c r="JGT754" s="3796"/>
      <c r="JGU754" s="3796"/>
      <c r="JGV754" s="3796"/>
      <c r="JGW754" s="3796"/>
      <c r="JGX754" s="3796"/>
      <c r="JGY754" s="3796"/>
      <c r="JGZ754" s="3796"/>
      <c r="JHA754" s="3796"/>
      <c r="JHB754" s="3796"/>
      <c r="JHC754" s="3796"/>
      <c r="JHD754" s="3796"/>
      <c r="JHE754" s="3796"/>
      <c r="JHF754" s="3796"/>
      <c r="JHG754" s="3796"/>
      <c r="JHH754" s="3796"/>
      <c r="JHI754" s="3796"/>
      <c r="JHJ754" s="3796"/>
      <c r="JHK754" s="3796"/>
      <c r="JHL754" s="3796"/>
      <c r="JHM754" s="3796"/>
      <c r="JHN754" s="3796"/>
      <c r="JHO754" s="3796"/>
      <c r="JHP754" s="3796"/>
      <c r="JHQ754" s="3796"/>
      <c r="JHR754" s="3796"/>
      <c r="JHS754" s="3796"/>
      <c r="JHT754" s="3796"/>
      <c r="JHU754" s="3796"/>
      <c r="JHV754" s="3796"/>
      <c r="JHW754" s="3796"/>
      <c r="JHX754" s="3796"/>
      <c r="JHY754" s="3796"/>
      <c r="JHZ754" s="3796"/>
      <c r="JIA754" s="3796"/>
      <c r="JIB754" s="3796"/>
      <c r="JIC754" s="3796"/>
      <c r="JID754" s="3796"/>
      <c r="JIE754" s="3796"/>
      <c r="JIF754" s="3796"/>
      <c r="JIG754" s="3796"/>
      <c r="JIH754" s="3796"/>
      <c r="JII754" s="3796"/>
      <c r="JIJ754" s="3796"/>
      <c r="JIK754" s="3796"/>
      <c r="JIL754" s="3796"/>
      <c r="JIM754" s="3796"/>
      <c r="JIN754" s="3796"/>
      <c r="JIO754" s="3796"/>
      <c r="JIP754" s="3796"/>
      <c r="JIQ754" s="3796"/>
      <c r="JIR754" s="3796"/>
      <c r="JIS754" s="3796"/>
      <c r="JIT754" s="3796"/>
      <c r="JIU754" s="3796"/>
      <c r="JIV754" s="3796"/>
      <c r="JIW754" s="3796"/>
      <c r="JIX754" s="3796"/>
      <c r="JIY754" s="3796"/>
      <c r="JIZ754" s="3796"/>
      <c r="JJA754" s="3796"/>
      <c r="JJB754" s="3796"/>
      <c r="JJC754" s="3796"/>
      <c r="JJD754" s="3796"/>
      <c r="JJE754" s="3796"/>
      <c r="JJF754" s="3796"/>
      <c r="JJG754" s="3796"/>
      <c r="JJH754" s="3796"/>
      <c r="JJI754" s="3796"/>
      <c r="JJJ754" s="3796"/>
      <c r="JJK754" s="3796"/>
      <c r="JJL754" s="3796"/>
      <c r="JJM754" s="3796"/>
      <c r="JJN754" s="3796"/>
      <c r="JJO754" s="3796"/>
      <c r="JJP754" s="3796"/>
      <c r="JJQ754" s="3796"/>
      <c r="JJR754" s="3796"/>
      <c r="JJS754" s="3796"/>
      <c r="JJT754" s="3796"/>
      <c r="JJU754" s="3796"/>
      <c r="JJV754" s="3796"/>
      <c r="JJW754" s="3796"/>
      <c r="JJX754" s="3796"/>
      <c r="JJY754" s="3796"/>
      <c r="JJZ754" s="3796"/>
      <c r="JKA754" s="3796"/>
      <c r="JKB754" s="3796"/>
      <c r="JKC754" s="3796"/>
      <c r="JKD754" s="3796"/>
      <c r="JKE754" s="3796"/>
      <c r="JKF754" s="3796"/>
      <c r="JKG754" s="3796"/>
      <c r="JKH754" s="3796"/>
      <c r="JKI754" s="3796"/>
      <c r="JKJ754" s="3796"/>
      <c r="JKK754" s="3796"/>
      <c r="JKL754" s="3796"/>
      <c r="JKM754" s="3796"/>
      <c r="JKN754" s="3796"/>
      <c r="JKO754" s="3796"/>
      <c r="JKP754" s="3796"/>
      <c r="JKQ754" s="3796"/>
      <c r="JKR754" s="3796"/>
      <c r="JKS754" s="3796"/>
      <c r="JKT754" s="3796"/>
      <c r="JKU754" s="3796"/>
      <c r="JKV754" s="3796"/>
      <c r="JKW754" s="3796"/>
      <c r="JKX754" s="3796"/>
      <c r="JKY754" s="3796"/>
      <c r="JKZ754" s="3796"/>
      <c r="JLA754" s="3796"/>
      <c r="JLB754" s="3796"/>
      <c r="JLC754" s="3796"/>
      <c r="JLD754" s="3796"/>
      <c r="JLE754" s="3796"/>
      <c r="JLF754" s="3796"/>
      <c r="JLG754" s="3796"/>
      <c r="JLH754" s="3796"/>
      <c r="JLI754" s="3796"/>
      <c r="JLJ754" s="3796"/>
      <c r="JLK754" s="3796"/>
      <c r="JLL754" s="3796"/>
      <c r="JLM754" s="3796"/>
      <c r="JLN754" s="3796"/>
      <c r="JLO754" s="3796"/>
      <c r="JLP754" s="3796"/>
      <c r="JLQ754" s="3796"/>
      <c r="JLR754" s="3796"/>
      <c r="JLS754" s="3796"/>
      <c r="JLT754" s="3796"/>
      <c r="JLU754" s="3796"/>
      <c r="JLV754" s="3796"/>
      <c r="JLW754" s="3796"/>
      <c r="JLX754" s="3796"/>
      <c r="JLY754" s="3796"/>
      <c r="JLZ754" s="3796"/>
      <c r="JMA754" s="3796"/>
      <c r="JMB754" s="3796"/>
      <c r="JMC754" s="3796"/>
      <c r="JMD754" s="3796"/>
      <c r="JME754" s="3796"/>
      <c r="JMF754" s="3796"/>
      <c r="JMG754" s="3796"/>
      <c r="JMH754" s="3796"/>
      <c r="JMI754" s="3796"/>
      <c r="JMJ754" s="3796"/>
      <c r="JMK754" s="3796"/>
      <c r="JML754" s="3796"/>
      <c r="JMM754" s="3796"/>
      <c r="JMN754" s="3796"/>
      <c r="JMO754" s="3796"/>
      <c r="JMP754" s="3796"/>
      <c r="JMQ754" s="3796"/>
      <c r="JMR754" s="3796"/>
      <c r="JMS754" s="3796"/>
      <c r="JMT754" s="3796"/>
      <c r="JMU754" s="3796"/>
      <c r="JMV754" s="3796"/>
      <c r="JMW754" s="3796"/>
      <c r="JMX754" s="3796"/>
      <c r="JMY754" s="3796"/>
      <c r="JMZ754" s="3796"/>
      <c r="JNA754" s="3796"/>
      <c r="JNB754" s="3796"/>
      <c r="JNC754" s="3796"/>
      <c r="JND754" s="3796"/>
      <c r="JNE754" s="3796"/>
      <c r="JNF754" s="3796"/>
      <c r="JNG754" s="3796"/>
      <c r="JNH754" s="3796"/>
      <c r="JNI754" s="3796"/>
      <c r="JNJ754" s="3796"/>
      <c r="JNK754" s="3796"/>
      <c r="JNL754" s="3796"/>
      <c r="JNM754" s="3796"/>
      <c r="JNN754" s="3796"/>
      <c r="JNO754" s="3796"/>
      <c r="JNP754" s="3796"/>
      <c r="JNQ754" s="3796"/>
      <c r="JNR754" s="3796"/>
      <c r="JNS754" s="3796"/>
      <c r="JNT754" s="3796"/>
      <c r="JNU754" s="3796"/>
      <c r="JNV754" s="3796"/>
      <c r="JNW754" s="3796"/>
      <c r="JNX754" s="3796"/>
      <c r="JNY754" s="3796"/>
      <c r="JNZ754" s="3796"/>
      <c r="JOA754" s="3796"/>
      <c r="JOB754" s="3796"/>
      <c r="JOC754" s="3796"/>
      <c r="JOD754" s="3796"/>
      <c r="JOE754" s="3796"/>
      <c r="JOF754" s="3796"/>
      <c r="JOG754" s="3796"/>
      <c r="JOH754" s="3796"/>
      <c r="JOI754" s="3796"/>
      <c r="JOJ754" s="3796"/>
      <c r="JOK754" s="3796"/>
      <c r="JOL754" s="3796"/>
      <c r="JOM754" s="3796"/>
      <c r="JON754" s="3796"/>
      <c r="JOO754" s="3796"/>
      <c r="JOP754" s="3796"/>
      <c r="JOQ754" s="3796"/>
      <c r="JOR754" s="3796"/>
      <c r="JOS754" s="3796"/>
      <c r="JOX754" s="3796"/>
      <c r="JPD754" s="3796"/>
      <c r="JPE754" s="3796"/>
      <c r="JPF754" s="3796"/>
      <c r="JPJ754" s="3796"/>
      <c r="JPQ754" s="3796"/>
      <c r="JPR754" s="3796"/>
      <c r="JPS754" s="3796"/>
      <c r="JPT754" s="3796"/>
      <c r="JPU754" s="3796"/>
      <c r="JPV754" s="3796"/>
      <c r="JPW754" s="3796"/>
      <c r="JPX754" s="3796"/>
      <c r="JPY754" s="3796"/>
      <c r="JPZ754" s="3796"/>
      <c r="JQA754" s="3796"/>
      <c r="JQB754" s="3796"/>
      <c r="JQC754" s="3796"/>
      <c r="JQD754" s="3796"/>
      <c r="JQE754" s="3796"/>
      <c r="JQF754" s="3796"/>
      <c r="JQG754" s="3796"/>
      <c r="JQH754" s="3796"/>
      <c r="JQI754" s="3796"/>
      <c r="JQJ754" s="3796"/>
      <c r="JQK754" s="3796"/>
      <c r="JQL754" s="3796"/>
      <c r="JQM754" s="3796"/>
      <c r="JQN754" s="3796"/>
      <c r="JQO754" s="3796"/>
      <c r="JQP754" s="3796"/>
      <c r="JQQ754" s="3796"/>
      <c r="JQR754" s="3796"/>
      <c r="JQS754" s="3796"/>
      <c r="JQT754" s="3796"/>
      <c r="JQU754" s="3796"/>
      <c r="JQV754" s="3796"/>
      <c r="JQW754" s="3796"/>
      <c r="JQX754" s="3796"/>
      <c r="JQY754" s="3796"/>
      <c r="JQZ754" s="3796"/>
      <c r="JRA754" s="3796"/>
      <c r="JRB754" s="3796"/>
      <c r="JRC754" s="3796"/>
      <c r="JRD754" s="3796"/>
      <c r="JRE754" s="3796"/>
      <c r="JRF754" s="3796"/>
      <c r="JRG754" s="3796"/>
      <c r="JRH754" s="3796"/>
      <c r="JRI754" s="3796"/>
      <c r="JRJ754" s="3796"/>
      <c r="JRK754" s="3796"/>
      <c r="JRL754" s="3796"/>
      <c r="JRM754" s="3796"/>
      <c r="JRN754" s="3796"/>
      <c r="JRO754" s="3796"/>
      <c r="JRP754" s="3796"/>
      <c r="JRQ754" s="3796"/>
      <c r="JRR754" s="3796"/>
      <c r="JRS754" s="3796"/>
      <c r="JRT754" s="3796"/>
      <c r="JRU754" s="3796"/>
      <c r="JRV754" s="3796"/>
      <c r="JRW754" s="3796"/>
      <c r="JRX754" s="3796"/>
      <c r="JRY754" s="3796"/>
      <c r="JRZ754" s="3796"/>
      <c r="JSA754" s="3796"/>
      <c r="JSB754" s="3796"/>
      <c r="JSC754" s="3796"/>
      <c r="JSD754" s="3796"/>
      <c r="JSE754" s="3796"/>
      <c r="JSF754" s="3796"/>
      <c r="JSG754" s="3796"/>
      <c r="JSH754" s="3796"/>
      <c r="JSI754" s="3796"/>
      <c r="JSJ754" s="3796"/>
      <c r="JSK754" s="3796"/>
      <c r="JSL754" s="3796"/>
      <c r="JSM754" s="3796"/>
      <c r="JSN754" s="3796"/>
      <c r="JSO754" s="3796"/>
      <c r="JSP754" s="3796"/>
      <c r="JSQ754" s="3796"/>
      <c r="JSR754" s="3796"/>
      <c r="JSS754" s="3796"/>
      <c r="JST754" s="3796"/>
      <c r="JSU754" s="3796"/>
      <c r="JSV754" s="3796"/>
      <c r="JSW754" s="3796"/>
      <c r="JSX754" s="3796"/>
      <c r="JSY754" s="3796"/>
      <c r="JSZ754" s="3796"/>
      <c r="JTA754" s="3796"/>
      <c r="JTB754" s="3796"/>
      <c r="JTC754" s="3796"/>
      <c r="JTD754" s="3796"/>
      <c r="JTE754" s="3796"/>
      <c r="JTF754" s="3796"/>
      <c r="JTG754" s="3796"/>
      <c r="JTH754" s="3796"/>
      <c r="JTI754" s="3796"/>
      <c r="JTJ754" s="3796"/>
      <c r="JTK754" s="3796"/>
      <c r="JTL754" s="3796"/>
      <c r="JTM754" s="3796"/>
      <c r="JTN754" s="3796"/>
      <c r="JTO754" s="3796"/>
      <c r="JTP754" s="3796"/>
      <c r="JTQ754" s="3796"/>
      <c r="JTR754" s="3796"/>
      <c r="JTS754" s="3796"/>
      <c r="JTT754" s="3796"/>
      <c r="JTU754" s="3796"/>
      <c r="JTV754" s="3796"/>
      <c r="JTW754" s="3796"/>
      <c r="JTX754" s="3796"/>
      <c r="JTY754" s="3796"/>
      <c r="JTZ754" s="3796"/>
      <c r="JUA754" s="3796"/>
      <c r="JUB754" s="3796"/>
      <c r="JUC754" s="3796"/>
      <c r="JUD754" s="3796"/>
      <c r="JUE754" s="3796"/>
      <c r="JUF754" s="3796"/>
      <c r="JUG754" s="3796"/>
      <c r="JUH754" s="3796"/>
      <c r="JUI754" s="3796"/>
      <c r="JUJ754" s="3796"/>
      <c r="JUK754" s="3796"/>
      <c r="JUL754" s="3796"/>
      <c r="JUM754" s="3796"/>
      <c r="JUN754" s="3796"/>
      <c r="JUO754" s="3796"/>
      <c r="JUP754" s="3796"/>
      <c r="JUQ754" s="3796"/>
      <c r="JUR754" s="3796"/>
      <c r="JUS754" s="3796"/>
      <c r="JUT754" s="3796"/>
      <c r="JUU754" s="3796"/>
      <c r="JUV754" s="3796"/>
      <c r="JUW754" s="3796"/>
      <c r="JUX754" s="3796"/>
      <c r="JUY754" s="3796"/>
      <c r="JUZ754" s="3796"/>
      <c r="JVA754" s="3796"/>
      <c r="JVB754" s="3796"/>
      <c r="JVC754" s="3796"/>
      <c r="JVD754" s="3796"/>
      <c r="JVE754" s="3796"/>
      <c r="JVF754" s="3796"/>
      <c r="JVG754" s="3796"/>
      <c r="JVH754" s="3796"/>
      <c r="JVI754" s="3796"/>
      <c r="JVJ754" s="3796"/>
      <c r="JVK754" s="3796"/>
      <c r="JVL754" s="3796"/>
      <c r="JVM754" s="3796"/>
      <c r="JVN754" s="3796"/>
      <c r="JVO754" s="3796"/>
      <c r="JVP754" s="3796"/>
      <c r="JVQ754" s="3796"/>
      <c r="JVR754" s="3796"/>
      <c r="JVS754" s="3796"/>
      <c r="JVT754" s="3796"/>
      <c r="JVU754" s="3796"/>
      <c r="JVV754" s="3796"/>
      <c r="JVW754" s="3796"/>
      <c r="JVX754" s="3796"/>
      <c r="JVY754" s="3796"/>
      <c r="JVZ754" s="3796"/>
      <c r="JWA754" s="3796"/>
      <c r="JWB754" s="3796"/>
      <c r="JWC754" s="3796"/>
      <c r="JWD754" s="3796"/>
      <c r="JWE754" s="3796"/>
      <c r="JWF754" s="3796"/>
      <c r="JWG754" s="3796"/>
      <c r="JWH754" s="3796"/>
      <c r="JWI754" s="3796"/>
      <c r="JWJ754" s="3796"/>
      <c r="JWK754" s="3796"/>
      <c r="JWL754" s="3796"/>
      <c r="JWM754" s="3796"/>
      <c r="JWN754" s="3796"/>
      <c r="JWO754" s="3796"/>
      <c r="JWP754" s="3796"/>
      <c r="JWQ754" s="3796"/>
      <c r="JWR754" s="3796"/>
      <c r="JWS754" s="3796"/>
      <c r="JWT754" s="3796"/>
      <c r="JWU754" s="3796"/>
      <c r="JWV754" s="3796"/>
      <c r="JWW754" s="3796"/>
      <c r="JWX754" s="3796"/>
      <c r="JWY754" s="3796"/>
      <c r="JWZ754" s="3796"/>
      <c r="JXA754" s="3796"/>
      <c r="JXB754" s="3796"/>
      <c r="JXC754" s="3796"/>
      <c r="JXD754" s="3796"/>
      <c r="JXE754" s="3796"/>
      <c r="JXF754" s="3796"/>
      <c r="JXG754" s="3796"/>
      <c r="JXH754" s="3796"/>
      <c r="JXI754" s="3796"/>
      <c r="JXJ754" s="3796"/>
      <c r="JXK754" s="3796"/>
      <c r="JXL754" s="3796"/>
      <c r="JXM754" s="3796"/>
      <c r="JXN754" s="3796"/>
      <c r="JXO754" s="3796"/>
      <c r="JXP754" s="3796"/>
      <c r="JXQ754" s="3796"/>
      <c r="JXR754" s="3796"/>
      <c r="JXS754" s="3796"/>
      <c r="JXT754" s="3796"/>
      <c r="JXU754" s="3796"/>
      <c r="JXV754" s="3796"/>
      <c r="JXW754" s="3796"/>
      <c r="JXX754" s="3796"/>
      <c r="JXY754" s="3796"/>
      <c r="JXZ754" s="3796"/>
      <c r="JYA754" s="3796"/>
      <c r="JYB754" s="3796"/>
      <c r="JYC754" s="3796"/>
      <c r="JYD754" s="3796"/>
      <c r="JYE754" s="3796"/>
      <c r="JYF754" s="3796"/>
      <c r="JYG754" s="3796"/>
      <c r="JYH754" s="3796"/>
      <c r="JYI754" s="3796"/>
      <c r="JYJ754" s="3796"/>
      <c r="JYK754" s="3796"/>
      <c r="JYL754" s="3796"/>
      <c r="JYM754" s="3796"/>
      <c r="JYN754" s="3796"/>
      <c r="JYO754" s="3796"/>
      <c r="JYT754" s="3796"/>
      <c r="JYZ754" s="3796"/>
      <c r="JZA754" s="3796"/>
      <c r="JZB754" s="3796"/>
      <c r="JZF754" s="3796"/>
      <c r="JZM754" s="3796"/>
      <c r="JZN754" s="3796"/>
      <c r="JZO754" s="3796"/>
      <c r="JZP754" s="3796"/>
      <c r="JZQ754" s="3796"/>
      <c r="JZR754" s="3796"/>
      <c r="JZS754" s="3796"/>
      <c r="JZT754" s="3796"/>
      <c r="JZU754" s="3796"/>
      <c r="JZV754" s="3796"/>
      <c r="JZW754" s="3796"/>
      <c r="JZX754" s="3796"/>
      <c r="JZY754" s="3796"/>
      <c r="JZZ754" s="3796"/>
      <c r="KAA754" s="3796"/>
      <c r="KAB754" s="3796"/>
      <c r="KAC754" s="3796"/>
      <c r="KAD754" s="3796"/>
      <c r="KAE754" s="3796"/>
      <c r="KAF754" s="3796"/>
      <c r="KAG754" s="3796"/>
      <c r="KAH754" s="3796"/>
      <c r="KAI754" s="3796"/>
      <c r="KAJ754" s="3796"/>
      <c r="KAK754" s="3796"/>
      <c r="KAL754" s="3796"/>
      <c r="KAM754" s="3796"/>
      <c r="KAN754" s="3796"/>
      <c r="KAO754" s="3796"/>
      <c r="KAP754" s="3796"/>
      <c r="KAQ754" s="3796"/>
      <c r="KAR754" s="3796"/>
      <c r="KAS754" s="3796"/>
      <c r="KAT754" s="3796"/>
      <c r="KAU754" s="3796"/>
      <c r="KAV754" s="3796"/>
      <c r="KAW754" s="3796"/>
      <c r="KAX754" s="3796"/>
      <c r="KAY754" s="3796"/>
      <c r="KAZ754" s="3796"/>
      <c r="KBA754" s="3796"/>
      <c r="KBB754" s="3796"/>
      <c r="KBC754" s="3796"/>
      <c r="KBD754" s="3796"/>
      <c r="KBE754" s="3796"/>
      <c r="KBF754" s="3796"/>
      <c r="KBG754" s="3796"/>
      <c r="KBH754" s="3796"/>
      <c r="KBI754" s="3796"/>
      <c r="KBJ754" s="3796"/>
      <c r="KBK754" s="3796"/>
      <c r="KBL754" s="3796"/>
      <c r="KBM754" s="3796"/>
      <c r="KBN754" s="3796"/>
      <c r="KBO754" s="3796"/>
      <c r="KBP754" s="3796"/>
      <c r="KBQ754" s="3796"/>
      <c r="KBR754" s="3796"/>
      <c r="KBS754" s="3796"/>
      <c r="KBT754" s="3796"/>
      <c r="KBU754" s="3796"/>
      <c r="KBV754" s="3796"/>
      <c r="KBW754" s="3796"/>
      <c r="KBX754" s="3796"/>
      <c r="KBY754" s="3796"/>
      <c r="KBZ754" s="3796"/>
      <c r="KCA754" s="3796"/>
      <c r="KCB754" s="3796"/>
      <c r="KCC754" s="3796"/>
      <c r="KCD754" s="3796"/>
      <c r="KCE754" s="3796"/>
      <c r="KCF754" s="3796"/>
      <c r="KCG754" s="3796"/>
      <c r="KCH754" s="3796"/>
      <c r="KCI754" s="3796"/>
      <c r="KCJ754" s="3796"/>
      <c r="KCK754" s="3796"/>
      <c r="KCL754" s="3796"/>
      <c r="KCM754" s="3796"/>
      <c r="KCN754" s="3796"/>
      <c r="KCO754" s="3796"/>
      <c r="KCP754" s="3796"/>
      <c r="KCQ754" s="3796"/>
      <c r="KCR754" s="3796"/>
      <c r="KCS754" s="3796"/>
      <c r="KCT754" s="3796"/>
      <c r="KCU754" s="3796"/>
      <c r="KCV754" s="3796"/>
      <c r="KCW754" s="3796"/>
      <c r="KCX754" s="3796"/>
      <c r="KCY754" s="3796"/>
      <c r="KCZ754" s="3796"/>
      <c r="KDA754" s="3796"/>
      <c r="KDB754" s="3796"/>
      <c r="KDC754" s="3796"/>
      <c r="KDD754" s="3796"/>
      <c r="KDE754" s="3796"/>
      <c r="KDF754" s="3796"/>
      <c r="KDG754" s="3796"/>
      <c r="KDH754" s="3796"/>
      <c r="KDI754" s="3796"/>
      <c r="KDJ754" s="3796"/>
      <c r="KDK754" s="3796"/>
      <c r="KDL754" s="3796"/>
      <c r="KDM754" s="3796"/>
      <c r="KDN754" s="3796"/>
      <c r="KDO754" s="3796"/>
      <c r="KDP754" s="3796"/>
      <c r="KDQ754" s="3796"/>
      <c r="KDR754" s="3796"/>
      <c r="KDS754" s="3796"/>
      <c r="KDT754" s="3796"/>
      <c r="KDU754" s="3796"/>
      <c r="KDV754" s="3796"/>
      <c r="KDW754" s="3796"/>
      <c r="KDX754" s="3796"/>
      <c r="KDY754" s="3796"/>
      <c r="KDZ754" s="3796"/>
      <c r="KEA754" s="3796"/>
      <c r="KEB754" s="3796"/>
      <c r="KEC754" s="3796"/>
      <c r="KED754" s="3796"/>
      <c r="KEE754" s="3796"/>
      <c r="KEF754" s="3796"/>
      <c r="KEG754" s="3796"/>
      <c r="KEH754" s="3796"/>
      <c r="KEI754" s="3796"/>
      <c r="KEJ754" s="3796"/>
      <c r="KEK754" s="3796"/>
      <c r="KEL754" s="3796"/>
      <c r="KEM754" s="3796"/>
      <c r="KEN754" s="3796"/>
      <c r="KEO754" s="3796"/>
      <c r="KEP754" s="3796"/>
      <c r="KEQ754" s="3796"/>
      <c r="KER754" s="3796"/>
      <c r="KES754" s="3796"/>
      <c r="KET754" s="3796"/>
      <c r="KEU754" s="3796"/>
      <c r="KEV754" s="3796"/>
      <c r="KEW754" s="3796"/>
      <c r="KEX754" s="3796"/>
      <c r="KEY754" s="3796"/>
      <c r="KEZ754" s="3796"/>
      <c r="KFA754" s="3796"/>
      <c r="KFB754" s="3796"/>
      <c r="KFC754" s="3796"/>
      <c r="KFD754" s="3796"/>
      <c r="KFE754" s="3796"/>
      <c r="KFF754" s="3796"/>
      <c r="KFG754" s="3796"/>
      <c r="KFH754" s="3796"/>
      <c r="KFI754" s="3796"/>
      <c r="KFJ754" s="3796"/>
      <c r="KFK754" s="3796"/>
      <c r="KFL754" s="3796"/>
      <c r="KFM754" s="3796"/>
      <c r="KFN754" s="3796"/>
      <c r="KFO754" s="3796"/>
      <c r="KFP754" s="3796"/>
      <c r="KFQ754" s="3796"/>
      <c r="KFR754" s="3796"/>
      <c r="KFS754" s="3796"/>
      <c r="KFT754" s="3796"/>
      <c r="KFU754" s="3796"/>
      <c r="KFV754" s="3796"/>
      <c r="KFW754" s="3796"/>
      <c r="KFX754" s="3796"/>
      <c r="KFY754" s="3796"/>
      <c r="KFZ754" s="3796"/>
      <c r="KGA754" s="3796"/>
      <c r="KGB754" s="3796"/>
      <c r="KGC754" s="3796"/>
      <c r="KGD754" s="3796"/>
      <c r="KGE754" s="3796"/>
      <c r="KGF754" s="3796"/>
      <c r="KGG754" s="3796"/>
      <c r="KGH754" s="3796"/>
      <c r="KGI754" s="3796"/>
      <c r="KGJ754" s="3796"/>
      <c r="KGK754" s="3796"/>
      <c r="KGL754" s="3796"/>
      <c r="KGM754" s="3796"/>
      <c r="KGN754" s="3796"/>
      <c r="KGO754" s="3796"/>
      <c r="KGP754" s="3796"/>
      <c r="KGQ754" s="3796"/>
      <c r="KGR754" s="3796"/>
      <c r="KGS754" s="3796"/>
      <c r="KGT754" s="3796"/>
      <c r="KGU754" s="3796"/>
      <c r="KGV754" s="3796"/>
      <c r="KGW754" s="3796"/>
      <c r="KGX754" s="3796"/>
      <c r="KGY754" s="3796"/>
      <c r="KGZ754" s="3796"/>
      <c r="KHA754" s="3796"/>
      <c r="KHB754" s="3796"/>
      <c r="KHC754" s="3796"/>
      <c r="KHD754" s="3796"/>
      <c r="KHE754" s="3796"/>
      <c r="KHF754" s="3796"/>
      <c r="KHG754" s="3796"/>
      <c r="KHH754" s="3796"/>
      <c r="KHI754" s="3796"/>
      <c r="KHJ754" s="3796"/>
      <c r="KHK754" s="3796"/>
      <c r="KHL754" s="3796"/>
      <c r="KHM754" s="3796"/>
      <c r="KHN754" s="3796"/>
      <c r="KHO754" s="3796"/>
      <c r="KHP754" s="3796"/>
      <c r="KHQ754" s="3796"/>
      <c r="KHR754" s="3796"/>
      <c r="KHS754" s="3796"/>
      <c r="KHT754" s="3796"/>
      <c r="KHU754" s="3796"/>
      <c r="KHV754" s="3796"/>
      <c r="KHW754" s="3796"/>
      <c r="KHX754" s="3796"/>
      <c r="KHY754" s="3796"/>
      <c r="KHZ754" s="3796"/>
      <c r="KIA754" s="3796"/>
      <c r="KIB754" s="3796"/>
      <c r="KIC754" s="3796"/>
      <c r="KID754" s="3796"/>
      <c r="KIE754" s="3796"/>
      <c r="KIF754" s="3796"/>
      <c r="KIG754" s="3796"/>
      <c r="KIH754" s="3796"/>
      <c r="KII754" s="3796"/>
      <c r="KIJ754" s="3796"/>
      <c r="KIK754" s="3796"/>
      <c r="KIP754" s="3796"/>
      <c r="KIV754" s="3796"/>
      <c r="KIW754" s="3796"/>
      <c r="KIX754" s="3796"/>
      <c r="KJB754" s="3796"/>
      <c r="KJI754" s="3796"/>
      <c r="KJJ754" s="3796"/>
      <c r="KJK754" s="3796"/>
      <c r="KJL754" s="3796"/>
      <c r="KJM754" s="3796"/>
      <c r="KJN754" s="3796"/>
      <c r="KJO754" s="3796"/>
      <c r="KJP754" s="3796"/>
      <c r="KJQ754" s="3796"/>
      <c r="KJR754" s="3796"/>
      <c r="KJS754" s="3796"/>
      <c r="KJT754" s="3796"/>
      <c r="KJU754" s="3796"/>
      <c r="KJV754" s="3796"/>
      <c r="KJW754" s="3796"/>
      <c r="KJX754" s="3796"/>
      <c r="KJY754" s="3796"/>
      <c r="KJZ754" s="3796"/>
      <c r="KKA754" s="3796"/>
      <c r="KKB754" s="3796"/>
      <c r="KKC754" s="3796"/>
      <c r="KKD754" s="3796"/>
      <c r="KKE754" s="3796"/>
      <c r="KKF754" s="3796"/>
      <c r="KKG754" s="3796"/>
      <c r="KKH754" s="3796"/>
      <c r="KKI754" s="3796"/>
      <c r="KKJ754" s="3796"/>
      <c r="KKK754" s="3796"/>
      <c r="KKL754" s="3796"/>
      <c r="KKM754" s="3796"/>
      <c r="KKN754" s="3796"/>
      <c r="KKO754" s="3796"/>
      <c r="KKP754" s="3796"/>
      <c r="KKQ754" s="3796"/>
      <c r="KKR754" s="3796"/>
      <c r="KKS754" s="3796"/>
      <c r="KKT754" s="3796"/>
      <c r="KKU754" s="3796"/>
      <c r="KKV754" s="3796"/>
      <c r="KKW754" s="3796"/>
      <c r="KKX754" s="3796"/>
      <c r="KKY754" s="3796"/>
      <c r="KKZ754" s="3796"/>
      <c r="KLA754" s="3796"/>
      <c r="KLB754" s="3796"/>
      <c r="KLC754" s="3796"/>
      <c r="KLD754" s="3796"/>
      <c r="KLE754" s="3796"/>
      <c r="KLF754" s="3796"/>
      <c r="KLG754" s="3796"/>
      <c r="KLH754" s="3796"/>
      <c r="KLI754" s="3796"/>
      <c r="KLJ754" s="3796"/>
      <c r="KLK754" s="3796"/>
      <c r="KLL754" s="3796"/>
      <c r="KLM754" s="3796"/>
      <c r="KLN754" s="3796"/>
      <c r="KLO754" s="3796"/>
      <c r="KLP754" s="3796"/>
      <c r="KLQ754" s="3796"/>
      <c r="KLR754" s="3796"/>
      <c r="KLS754" s="3796"/>
      <c r="KLT754" s="3796"/>
      <c r="KLU754" s="3796"/>
      <c r="KLV754" s="3796"/>
      <c r="KLW754" s="3796"/>
      <c r="KLX754" s="3796"/>
      <c r="KLY754" s="3796"/>
      <c r="KLZ754" s="3796"/>
      <c r="KMA754" s="3796"/>
      <c r="KMB754" s="3796"/>
      <c r="KMC754" s="3796"/>
      <c r="KMD754" s="3796"/>
      <c r="KME754" s="3796"/>
      <c r="KMF754" s="3796"/>
      <c r="KMG754" s="3796"/>
      <c r="KMH754" s="3796"/>
      <c r="KMI754" s="3796"/>
      <c r="KMJ754" s="3796"/>
      <c r="KMK754" s="3796"/>
      <c r="KML754" s="3796"/>
      <c r="KMM754" s="3796"/>
      <c r="KMN754" s="3796"/>
      <c r="KMO754" s="3796"/>
      <c r="KMP754" s="3796"/>
      <c r="KMQ754" s="3796"/>
      <c r="KMR754" s="3796"/>
      <c r="KMS754" s="3796"/>
      <c r="KMT754" s="3796"/>
      <c r="KMU754" s="3796"/>
      <c r="KMV754" s="3796"/>
      <c r="KMW754" s="3796"/>
      <c r="KMX754" s="3796"/>
      <c r="KMY754" s="3796"/>
      <c r="KMZ754" s="3796"/>
      <c r="KNA754" s="3796"/>
      <c r="KNB754" s="3796"/>
      <c r="KNC754" s="3796"/>
      <c r="KND754" s="3796"/>
      <c r="KNE754" s="3796"/>
      <c r="KNF754" s="3796"/>
      <c r="KNG754" s="3796"/>
      <c r="KNH754" s="3796"/>
      <c r="KNI754" s="3796"/>
      <c r="KNJ754" s="3796"/>
      <c r="KNK754" s="3796"/>
      <c r="KNL754" s="3796"/>
      <c r="KNM754" s="3796"/>
      <c r="KNN754" s="3796"/>
      <c r="KNO754" s="3796"/>
      <c r="KNP754" s="3796"/>
      <c r="KNQ754" s="3796"/>
      <c r="KNR754" s="3796"/>
      <c r="KNS754" s="3796"/>
      <c r="KNT754" s="3796"/>
      <c r="KNU754" s="3796"/>
      <c r="KNV754" s="3796"/>
      <c r="KNW754" s="3796"/>
      <c r="KNX754" s="3796"/>
      <c r="KNY754" s="3796"/>
      <c r="KNZ754" s="3796"/>
      <c r="KOA754" s="3796"/>
      <c r="KOB754" s="3796"/>
      <c r="KOC754" s="3796"/>
      <c r="KOD754" s="3796"/>
      <c r="KOE754" s="3796"/>
      <c r="KOF754" s="3796"/>
      <c r="KOG754" s="3796"/>
      <c r="KOH754" s="3796"/>
      <c r="KOI754" s="3796"/>
      <c r="KOJ754" s="3796"/>
      <c r="KOK754" s="3796"/>
      <c r="KOL754" s="3796"/>
      <c r="KOM754" s="3796"/>
      <c r="KON754" s="3796"/>
      <c r="KOO754" s="3796"/>
      <c r="KOP754" s="3796"/>
      <c r="KOQ754" s="3796"/>
      <c r="KOR754" s="3796"/>
      <c r="KOS754" s="3796"/>
      <c r="KOT754" s="3796"/>
      <c r="KOU754" s="3796"/>
      <c r="KOV754" s="3796"/>
      <c r="KOW754" s="3796"/>
      <c r="KOX754" s="3796"/>
      <c r="KOY754" s="3796"/>
      <c r="KOZ754" s="3796"/>
      <c r="KPA754" s="3796"/>
      <c r="KPB754" s="3796"/>
      <c r="KPC754" s="3796"/>
      <c r="KPD754" s="3796"/>
      <c r="KPE754" s="3796"/>
      <c r="KPF754" s="3796"/>
      <c r="KPG754" s="3796"/>
      <c r="KPH754" s="3796"/>
      <c r="KPI754" s="3796"/>
      <c r="KPJ754" s="3796"/>
      <c r="KPK754" s="3796"/>
      <c r="KPL754" s="3796"/>
      <c r="KPM754" s="3796"/>
      <c r="KPN754" s="3796"/>
      <c r="KPO754" s="3796"/>
      <c r="KPP754" s="3796"/>
      <c r="KPQ754" s="3796"/>
      <c r="KPR754" s="3796"/>
      <c r="KPS754" s="3796"/>
      <c r="KPT754" s="3796"/>
      <c r="KPU754" s="3796"/>
      <c r="KPV754" s="3796"/>
      <c r="KPW754" s="3796"/>
      <c r="KPX754" s="3796"/>
      <c r="KPY754" s="3796"/>
      <c r="KPZ754" s="3796"/>
      <c r="KQA754" s="3796"/>
      <c r="KQB754" s="3796"/>
      <c r="KQC754" s="3796"/>
      <c r="KQD754" s="3796"/>
      <c r="KQE754" s="3796"/>
      <c r="KQF754" s="3796"/>
      <c r="KQG754" s="3796"/>
      <c r="KQH754" s="3796"/>
      <c r="KQI754" s="3796"/>
      <c r="KQJ754" s="3796"/>
      <c r="KQK754" s="3796"/>
      <c r="KQL754" s="3796"/>
      <c r="KQM754" s="3796"/>
      <c r="KQN754" s="3796"/>
      <c r="KQO754" s="3796"/>
      <c r="KQP754" s="3796"/>
      <c r="KQQ754" s="3796"/>
      <c r="KQR754" s="3796"/>
      <c r="KQS754" s="3796"/>
      <c r="KQT754" s="3796"/>
      <c r="KQU754" s="3796"/>
      <c r="KQV754" s="3796"/>
      <c r="KQW754" s="3796"/>
      <c r="KQX754" s="3796"/>
      <c r="KQY754" s="3796"/>
      <c r="KQZ754" s="3796"/>
      <c r="KRA754" s="3796"/>
      <c r="KRB754" s="3796"/>
      <c r="KRC754" s="3796"/>
      <c r="KRD754" s="3796"/>
      <c r="KRE754" s="3796"/>
      <c r="KRF754" s="3796"/>
      <c r="KRG754" s="3796"/>
      <c r="KRH754" s="3796"/>
      <c r="KRI754" s="3796"/>
      <c r="KRJ754" s="3796"/>
      <c r="KRK754" s="3796"/>
      <c r="KRL754" s="3796"/>
      <c r="KRM754" s="3796"/>
      <c r="KRN754" s="3796"/>
      <c r="KRO754" s="3796"/>
      <c r="KRP754" s="3796"/>
      <c r="KRQ754" s="3796"/>
      <c r="KRR754" s="3796"/>
      <c r="KRS754" s="3796"/>
      <c r="KRT754" s="3796"/>
      <c r="KRU754" s="3796"/>
      <c r="KRV754" s="3796"/>
      <c r="KRW754" s="3796"/>
      <c r="KRX754" s="3796"/>
      <c r="KRY754" s="3796"/>
      <c r="KRZ754" s="3796"/>
      <c r="KSA754" s="3796"/>
      <c r="KSB754" s="3796"/>
      <c r="KSC754" s="3796"/>
      <c r="KSD754" s="3796"/>
      <c r="KSE754" s="3796"/>
      <c r="KSF754" s="3796"/>
      <c r="KSG754" s="3796"/>
      <c r="KSL754" s="3796"/>
      <c r="KSR754" s="3796"/>
      <c r="KSS754" s="3796"/>
      <c r="KST754" s="3796"/>
      <c r="KSX754" s="3796"/>
      <c r="KTE754" s="3796"/>
      <c r="KTF754" s="3796"/>
      <c r="KTG754" s="3796"/>
      <c r="KTH754" s="3796"/>
      <c r="KTI754" s="3796"/>
      <c r="KTJ754" s="3796"/>
      <c r="KTK754" s="3796"/>
      <c r="KTL754" s="3796"/>
      <c r="KTM754" s="3796"/>
      <c r="KTN754" s="3796"/>
      <c r="KTO754" s="3796"/>
      <c r="KTP754" s="3796"/>
      <c r="KTQ754" s="3796"/>
      <c r="KTR754" s="3796"/>
      <c r="KTS754" s="3796"/>
      <c r="KTT754" s="3796"/>
      <c r="KTU754" s="3796"/>
      <c r="KTV754" s="3796"/>
      <c r="KTW754" s="3796"/>
      <c r="KTX754" s="3796"/>
      <c r="KTY754" s="3796"/>
      <c r="KTZ754" s="3796"/>
      <c r="KUA754" s="3796"/>
      <c r="KUB754" s="3796"/>
      <c r="KUC754" s="3796"/>
      <c r="KUD754" s="3796"/>
      <c r="KUE754" s="3796"/>
      <c r="KUF754" s="3796"/>
      <c r="KUG754" s="3796"/>
      <c r="KUH754" s="3796"/>
      <c r="KUI754" s="3796"/>
      <c r="KUJ754" s="3796"/>
      <c r="KUK754" s="3796"/>
      <c r="KUL754" s="3796"/>
      <c r="KUM754" s="3796"/>
      <c r="KUN754" s="3796"/>
      <c r="KUO754" s="3796"/>
      <c r="KUP754" s="3796"/>
      <c r="KUQ754" s="3796"/>
      <c r="KUR754" s="3796"/>
      <c r="KUS754" s="3796"/>
      <c r="KUT754" s="3796"/>
      <c r="KUU754" s="3796"/>
      <c r="KUV754" s="3796"/>
      <c r="KUW754" s="3796"/>
      <c r="KUX754" s="3796"/>
      <c r="KUY754" s="3796"/>
      <c r="KUZ754" s="3796"/>
      <c r="KVA754" s="3796"/>
      <c r="KVB754" s="3796"/>
      <c r="KVC754" s="3796"/>
      <c r="KVD754" s="3796"/>
      <c r="KVE754" s="3796"/>
      <c r="KVF754" s="3796"/>
      <c r="KVG754" s="3796"/>
      <c r="KVH754" s="3796"/>
      <c r="KVI754" s="3796"/>
      <c r="KVJ754" s="3796"/>
      <c r="KVK754" s="3796"/>
      <c r="KVL754" s="3796"/>
      <c r="KVM754" s="3796"/>
      <c r="KVN754" s="3796"/>
      <c r="KVO754" s="3796"/>
      <c r="KVP754" s="3796"/>
      <c r="KVQ754" s="3796"/>
      <c r="KVR754" s="3796"/>
      <c r="KVS754" s="3796"/>
      <c r="KVT754" s="3796"/>
      <c r="KVU754" s="3796"/>
      <c r="KVV754" s="3796"/>
      <c r="KVW754" s="3796"/>
      <c r="KVX754" s="3796"/>
      <c r="KVY754" s="3796"/>
      <c r="KVZ754" s="3796"/>
      <c r="KWA754" s="3796"/>
      <c r="KWB754" s="3796"/>
      <c r="KWC754" s="3796"/>
      <c r="KWD754" s="3796"/>
      <c r="KWE754" s="3796"/>
      <c r="KWF754" s="3796"/>
      <c r="KWG754" s="3796"/>
      <c r="KWH754" s="3796"/>
      <c r="KWI754" s="3796"/>
      <c r="KWJ754" s="3796"/>
      <c r="KWK754" s="3796"/>
      <c r="KWL754" s="3796"/>
      <c r="KWM754" s="3796"/>
      <c r="KWN754" s="3796"/>
      <c r="KWO754" s="3796"/>
      <c r="KWP754" s="3796"/>
      <c r="KWQ754" s="3796"/>
      <c r="KWR754" s="3796"/>
      <c r="KWS754" s="3796"/>
      <c r="KWT754" s="3796"/>
      <c r="KWU754" s="3796"/>
      <c r="KWV754" s="3796"/>
      <c r="KWW754" s="3796"/>
      <c r="KWX754" s="3796"/>
      <c r="KWY754" s="3796"/>
      <c r="KWZ754" s="3796"/>
      <c r="KXA754" s="3796"/>
      <c r="KXB754" s="3796"/>
      <c r="KXC754" s="3796"/>
      <c r="KXD754" s="3796"/>
      <c r="KXE754" s="3796"/>
      <c r="KXF754" s="3796"/>
      <c r="KXG754" s="3796"/>
      <c r="KXH754" s="3796"/>
      <c r="KXI754" s="3796"/>
      <c r="KXJ754" s="3796"/>
      <c r="KXK754" s="3796"/>
      <c r="KXL754" s="3796"/>
      <c r="KXM754" s="3796"/>
      <c r="KXN754" s="3796"/>
      <c r="KXO754" s="3796"/>
      <c r="KXP754" s="3796"/>
      <c r="KXQ754" s="3796"/>
      <c r="KXR754" s="3796"/>
      <c r="KXS754" s="3796"/>
      <c r="KXT754" s="3796"/>
      <c r="KXU754" s="3796"/>
      <c r="KXV754" s="3796"/>
      <c r="KXW754" s="3796"/>
      <c r="KXX754" s="3796"/>
      <c r="KXY754" s="3796"/>
      <c r="KXZ754" s="3796"/>
      <c r="KYA754" s="3796"/>
      <c r="KYB754" s="3796"/>
      <c r="KYC754" s="3796"/>
      <c r="KYD754" s="3796"/>
      <c r="KYE754" s="3796"/>
      <c r="KYF754" s="3796"/>
      <c r="KYG754" s="3796"/>
      <c r="KYH754" s="3796"/>
      <c r="KYI754" s="3796"/>
      <c r="KYJ754" s="3796"/>
      <c r="KYK754" s="3796"/>
      <c r="KYL754" s="3796"/>
      <c r="KYM754" s="3796"/>
      <c r="KYN754" s="3796"/>
      <c r="KYO754" s="3796"/>
      <c r="KYP754" s="3796"/>
      <c r="KYQ754" s="3796"/>
      <c r="KYR754" s="3796"/>
      <c r="KYS754" s="3796"/>
      <c r="KYT754" s="3796"/>
      <c r="KYU754" s="3796"/>
      <c r="KYV754" s="3796"/>
      <c r="KYW754" s="3796"/>
      <c r="KYX754" s="3796"/>
      <c r="KYY754" s="3796"/>
      <c r="KYZ754" s="3796"/>
      <c r="KZA754" s="3796"/>
      <c r="KZB754" s="3796"/>
      <c r="KZC754" s="3796"/>
      <c r="KZD754" s="3796"/>
      <c r="KZE754" s="3796"/>
      <c r="KZF754" s="3796"/>
      <c r="KZG754" s="3796"/>
      <c r="KZH754" s="3796"/>
      <c r="KZI754" s="3796"/>
      <c r="KZJ754" s="3796"/>
      <c r="KZK754" s="3796"/>
      <c r="KZL754" s="3796"/>
      <c r="KZM754" s="3796"/>
      <c r="KZN754" s="3796"/>
      <c r="KZO754" s="3796"/>
      <c r="KZP754" s="3796"/>
      <c r="KZQ754" s="3796"/>
      <c r="KZR754" s="3796"/>
      <c r="KZS754" s="3796"/>
      <c r="KZT754" s="3796"/>
      <c r="KZU754" s="3796"/>
      <c r="KZV754" s="3796"/>
      <c r="KZW754" s="3796"/>
      <c r="KZX754" s="3796"/>
      <c r="KZY754" s="3796"/>
      <c r="KZZ754" s="3796"/>
      <c r="LAA754" s="3796"/>
      <c r="LAB754" s="3796"/>
      <c r="LAC754" s="3796"/>
      <c r="LAD754" s="3796"/>
      <c r="LAE754" s="3796"/>
      <c r="LAF754" s="3796"/>
      <c r="LAG754" s="3796"/>
      <c r="LAH754" s="3796"/>
      <c r="LAI754" s="3796"/>
      <c r="LAJ754" s="3796"/>
      <c r="LAK754" s="3796"/>
      <c r="LAL754" s="3796"/>
      <c r="LAM754" s="3796"/>
      <c r="LAN754" s="3796"/>
      <c r="LAO754" s="3796"/>
      <c r="LAP754" s="3796"/>
      <c r="LAQ754" s="3796"/>
      <c r="LAR754" s="3796"/>
      <c r="LAS754" s="3796"/>
      <c r="LAT754" s="3796"/>
      <c r="LAU754" s="3796"/>
      <c r="LAV754" s="3796"/>
      <c r="LAW754" s="3796"/>
      <c r="LAX754" s="3796"/>
      <c r="LAY754" s="3796"/>
      <c r="LAZ754" s="3796"/>
      <c r="LBA754" s="3796"/>
      <c r="LBB754" s="3796"/>
      <c r="LBC754" s="3796"/>
      <c r="LBD754" s="3796"/>
      <c r="LBE754" s="3796"/>
      <c r="LBF754" s="3796"/>
      <c r="LBG754" s="3796"/>
      <c r="LBH754" s="3796"/>
      <c r="LBI754" s="3796"/>
      <c r="LBJ754" s="3796"/>
      <c r="LBK754" s="3796"/>
      <c r="LBL754" s="3796"/>
      <c r="LBM754" s="3796"/>
      <c r="LBN754" s="3796"/>
      <c r="LBO754" s="3796"/>
      <c r="LBP754" s="3796"/>
      <c r="LBQ754" s="3796"/>
      <c r="LBR754" s="3796"/>
      <c r="LBS754" s="3796"/>
      <c r="LBT754" s="3796"/>
      <c r="LBU754" s="3796"/>
      <c r="LBV754" s="3796"/>
      <c r="LBW754" s="3796"/>
      <c r="LBX754" s="3796"/>
      <c r="LBY754" s="3796"/>
      <c r="LBZ754" s="3796"/>
      <c r="LCA754" s="3796"/>
      <c r="LCB754" s="3796"/>
      <c r="LCC754" s="3796"/>
      <c r="LCH754" s="3796"/>
      <c r="LCN754" s="3796"/>
      <c r="LCO754" s="3796"/>
      <c r="LCP754" s="3796"/>
      <c r="LCT754" s="3796"/>
      <c r="LDA754" s="3796"/>
      <c r="LDB754" s="3796"/>
      <c r="LDC754" s="3796"/>
      <c r="LDD754" s="3796"/>
      <c r="LDE754" s="3796"/>
      <c r="LDF754" s="3796"/>
      <c r="LDG754" s="3796"/>
      <c r="LDH754" s="3796"/>
      <c r="LDI754" s="3796"/>
      <c r="LDJ754" s="3796"/>
      <c r="LDK754" s="3796"/>
      <c r="LDL754" s="3796"/>
      <c r="LDM754" s="3796"/>
      <c r="LDN754" s="3796"/>
      <c r="LDO754" s="3796"/>
      <c r="LDP754" s="3796"/>
      <c r="LDQ754" s="3796"/>
      <c r="LDR754" s="3796"/>
      <c r="LDS754" s="3796"/>
      <c r="LDT754" s="3796"/>
      <c r="LDU754" s="3796"/>
      <c r="LDV754" s="3796"/>
      <c r="LDW754" s="3796"/>
      <c r="LDX754" s="3796"/>
      <c r="LDY754" s="3796"/>
      <c r="LDZ754" s="3796"/>
      <c r="LEA754" s="3796"/>
      <c r="LEB754" s="3796"/>
      <c r="LEC754" s="3796"/>
      <c r="LED754" s="3796"/>
      <c r="LEE754" s="3796"/>
      <c r="LEF754" s="3796"/>
      <c r="LEG754" s="3796"/>
      <c r="LEH754" s="3796"/>
      <c r="LEI754" s="3796"/>
      <c r="LEJ754" s="3796"/>
      <c r="LEK754" s="3796"/>
      <c r="LEL754" s="3796"/>
      <c r="LEM754" s="3796"/>
      <c r="LEN754" s="3796"/>
      <c r="LEO754" s="3796"/>
      <c r="LEP754" s="3796"/>
      <c r="LEQ754" s="3796"/>
      <c r="LER754" s="3796"/>
      <c r="LES754" s="3796"/>
      <c r="LET754" s="3796"/>
      <c r="LEU754" s="3796"/>
      <c r="LEV754" s="3796"/>
      <c r="LEW754" s="3796"/>
      <c r="LEX754" s="3796"/>
      <c r="LEY754" s="3796"/>
      <c r="LEZ754" s="3796"/>
      <c r="LFA754" s="3796"/>
      <c r="LFB754" s="3796"/>
      <c r="LFC754" s="3796"/>
      <c r="LFD754" s="3796"/>
      <c r="LFE754" s="3796"/>
      <c r="LFF754" s="3796"/>
      <c r="LFG754" s="3796"/>
      <c r="LFH754" s="3796"/>
      <c r="LFI754" s="3796"/>
      <c r="LFJ754" s="3796"/>
      <c r="LFK754" s="3796"/>
      <c r="LFL754" s="3796"/>
      <c r="LFM754" s="3796"/>
      <c r="LFN754" s="3796"/>
      <c r="LFO754" s="3796"/>
      <c r="LFP754" s="3796"/>
      <c r="LFQ754" s="3796"/>
      <c r="LFR754" s="3796"/>
      <c r="LFS754" s="3796"/>
      <c r="LFT754" s="3796"/>
      <c r="LFU754" s="3796"/>
      <c r="LFV754" s="3796"/>
      <c r="LFW754" s="3796"/>
      <c r="LFX754" s="3796"/>
      <c r="LFY754" s="3796"/>
      <c r="LFZ754" s="3796"/>
      <c r="LGA754" s="3796"/>
      <c r="LGB754" s="3796"/>
      <c r="LGC754" s="3796"/>
      <c r="LGD754" s="3796"/>
      <c r="LGE754" s="3796"/>
      <c r="LGF754" s="3796"/>
      <c r="LGG754" s="3796"/>
      <c r="LGH754" s="3796"/>
      <c r="LGI754" s="3796"/>
      <c r="LGJ754" s="3796"/>
      <c r="LGK754" s="3796"/>
      <c r="LGL754" s="3796"/>
      <c r="LGM754" s="3796"/>
      <c r="LGN754" s="3796"/>
      <c r="LGO754" s="3796"/>
      <c r="LGP754" s="3796"/>
      <c r="LGQ754" s="3796"/>
      <c r="LGR754" s="3796"/>
      <c r="LGS754" s="3796"/>
      <c r="LGT754" s="3796"/>
      <c r="LGU754" s="3796"/>
      <c r="LGV754" s="3796"/>
      <c r="LGW754" s="3796"/>
      <c r="LGX754" s="3796"/>
      <c r="LGY754" s="3796"/>
      <c r="LGZ754" s="3796"/>
      <c r="LHA754" s="3796"/>
      <c r="LHB754" s="3796"/>
      <c r="LHC754" s="3796"/>
      <c r="LHD754" s="3796"/>
      <c r="LHE754" s="3796"/>
      <c r="LHF754" s="3796"/>
      <c r="LHG754" s="3796"/>
      <c r="LHH754" s="3796"/>
      <c r="LHI754" s="3796"/>
      <c r="LHJ754" s="3796"/>
      <c r="LHK754" s="3796"/>
      <c r="LHL754" s="3796"/>
      <c r="LHM754" s="3796"/>
      <c r="LHN754" s="3796"/>
      <c r="LHO754" s="3796"/>
      <c r="LHP754" s="3796"/>
      <c r="LHQ754" s="3796"/>
      <c r="LHR754" s="3796"/>
      <c r="LHS754" s="3796"/>
      <c r="LHT754" s="3796"/>
      <c r="LHU754" s="3796"/>
      <c r="LHV754" s="3796"/>
      <c r="LHW754" s="3796"/>
      <c r="LHX754" s="3796"/>
      <c r="LHY754" s="3796"/>
      <c r="LHZ754" s="3796"/>
      <c r="LIA754" s="3796"/>
      <c r="LIB754" s="3796"/>
      <c r="LIC754" s="3796"/>
      <c r="LID754" s="3796"/>
      <c r="LIE754" s="3796"/>
      <c r="LIF754" s="3796"/>
      <c r="LIG754" s="3796"/>
      <c r="LIH754" s="3796"/>
      <c r="LII754" s="3796"/>
      <c r="LIJ754" s="3796"/>
      <c r="LIK754" s="3796"/>
      <c r="LIL754" s="3796"/>
      <c r="LIM754" s="3796"/>
      <c r="LIN754" s="3796"/>
      <c r="LIO754" s="3796"/>
      <c r="LIP754" s="3796"/>
      <c r="LIQ754" s="3796"/>
      <c r="LIR754" s="3796"/>
      <c r="LIS754" s="3796"/>
      <c r="LIT754" s="3796"/>
      <c r="LIU754" s="3796"/>
      <c r="LIV754" s="3796"/>
      <c r="LIW754" s="3796"/>
      <c r="LIX754" s="3796"/>
      <c r="LIY754" s="3796"/>
      <c r="LIZ754" s="3796"/>
      <c r="LJA754" s="3796"/>
      <c r="LJB754" s="3796"/>
      <c r="LJC754" s="3796"/>
      <c r="LJD754" s="3796"/>
      <c r="LJE754" s="3796"/>
      <c r="LJF754" s="3796"/>
      <c r="LJG754" s="3796"/>
      <c r="LJH754" s="3796"/>
      <c r="LJI754" s="3796"/>
      <c r="LJJ754" s="3796"/>
      <c r="LJK754" s="3796"/>
      <c r="LJL754" s="3796"/>
      <c r="LJM754" s="3796"/>
      <c r="LJN754" s="3796"/>
      <c r="LJO754" s="3796"/>
      <c r="LJP754" s="3796"/>
      <c r="LJQ754" s="3796"/>
      <c r="LJR754" s="3796"/>
      <c r="LJS754" s="3796"/>
      <c r="LJT754" s="3796"/>
      <c r="LJU754" s="3796"/>
      <c r="LJV754" s="3796"/>
      <c r="LJW754" s="3796"/>
      <c r="LJX754" s="3796"/>
      <c r="LJY754" s="3796"/>
      <c r="LJZ754" s="3796"/>
      <c r="LKA754" s="3796"/>
      <c r="LKB754" s="3796"/>
      <c r="LKC754" s="3796"/>
      <c r="LKD754" s="3796"/>
      <c r="LKE754" s="3796"/>
      <c r="LKF754" s="3796"/>
      <c r="LKG754" s="3796"/>
      <c r="LKH754" s="3796"/>
      <c r="LKI754" s="3796"/>
      <c r="LKJ754" s="3796"/>
      <c r="LKK754" s="3796"/>
      <c r="LKL754" s="3796"/>
      <c r="LKM754" s="3796"/>
      <c r="LKN754" s="3796"/>
      <c r="LKO754" s="3796"/>
      <c r="LKP754" s="3796"/>
      <c r="LKQ754" s="3796"/>
      <c r="LKR754" s="3796"/>
      <c r="LKS754" s="3796"/>
      <c r="LKT754" s="3796"/>
      <c r="LKU754" s="3796"/>
      <c r="LKV754" s="3796"/>
      <c r="LKW754" s="3796"/>
      <c r="LKX754" s="3796"/>
      <c r="LKY754" s="3796"/>
      <c r="LKZ754" s="3796"/>
      <c r="LLA754" s="3796"/>
      <c r="LLB754" s="3796"/>
      <c r="LLC754" s="3796"/>
      <c r="LLD754" s="3796"/>
      <c r="LLE754" s="3796"/>
      <c r="LLF754" s="3796"/>
      <c r="LLG754" s="3796"/>
      <c r="LLH754" s="3796"/>
      <c r="LLI754" s="3796"/>
      <c r="LLJ754" s="3796"/>
      <c r="LLK754" s="3796"/>
      <c r="LLL754" s="3796"/>
      <c r="LLM754" s="3796"/>
      <c r="LLN754" s="3796"/>
      <c r="LLO754" s="3796"/>
      <c r="LLP754" s="3796"/>
      <c r="LLQ754" s="3796"/>
      <c r="LLR754" s="3796"/>
      <c r="LLS754" s="3796"/>
      <c r="LLT754" s="3796"/>
      <c r="LLU754" s="3796"/>
      <c r="LLV754" s="3796"/>
      <c r="LLW754" s="3796"/>
      <c r="LLX754" s="3796"/>
      <c r="LLY754" s="3796"/>
      <c r="LMD754" s="3796"/>
      <c r="LMJ754" s="3796"/>
      <c r="LMK754" s="3796"/>
      <c r="LML754" s="3796"/>
      <c r="LMP754" s="3796"/>
      <c r="LMW754" s="3796"/>
      <c r="LMX754" s="3796"/>
      <c r="LMY754" s="3796"/>
      <c r="LMZ754" s="3796"/>
      <c r="LNA754" s="3796"/>
      <c r="LNB754" s="3796"/>
      <c r="LNC754" s="3796"/>
      <c r="LND754" s="3796"/>
      <c r="LNE754" s="3796"/>
      <c r="LNF754" s="3796"/>
      <c r="LNG754" s="3796"/>
      <c r="LNH754" s="3796"/>
      <c r="LNI754" s="3796"/>
      <c r="LNJ754" s="3796"/>
      <c r="LNK754" s="3796"/>
      <c r="LNL754" s="3796"/>
      <c r="LNM754" s="3796"/>
      <c r="LNN754" s="3796"/>
      <c r="LNO754" s="3796"/>
      <c r="LNP754" s="3796"/>
      <c r="LNQ754" s="3796"/>
      <c r="LNR754" s="3796"/>
      <c r="LNS754" s="3796"/>
      <c r="LNT754" s="3796"/>
      <c r="LNU754" s="3796"/>
      <c r="LNV754" s="3796"/>
      <c r="LNW754" s="3796"/>
      <c r="LNX754" s="3796"/>
      <c r="LNY754" s="3796"/>
      <c r="LNZ754" s="3796"/>
      <c r="LOA754" s="3796"/>
      <c r="LOB754" s="3796"/>
      <c r="LOC754" s="3796"/>
      <c r="LOD754" s="3796"/>
      <c r="LOE754" s="3796"/>
      <c r="LOF754" s="3796"/>
      <c r="LOG754" s="3796"/>
      <c r="LOH754" s="3796"/>
      <c r="LOI754" s="3796"/>
      <c r="LOJ754" s="3796"/>
      <c r="LOK754" s="3796"/>
      <c r="LOL754" s="3796"/>
      <c r="LOM754" s="3796"/>
      <c r="LON754" s="3796"/>
      <c r="LOO754" s="3796"/>
      <c r="LOP754" s="3796"/>
      <c r="LOQ754" s="3796"/>
      <c r="LOR754" s="3796"/>
      <c r="LOS754" s="3796"/>
      <c r="LOT754" s="3796"/>
      <c r="LOU754" s="3796"/>
      <c r="LOV754" s="3796"/>
      <c r="LOW754" s="3796"/>
      <c r="LOX754" s="3796"/>
      <c r="LOY754" s="3796"/>
      <c r="LOZ754" s="3796"/>
      <c r="LPA754" s="3796"/>
      <c r="LPB754" s="3796"/>
      <c r="LPC754" s="3796"/>
      <c r="LPD754" s="3796"/>
      <c r="LPE754" s="3796"/>
      <c r="LPF754" s="3796"/>
      <c r="LPG754" s="3796"/>
      <c r="LPH754" s="3796"/>
      <c r="LPI754" s="3796"/>
      <c r="LPJ754" s="3796"/>
      <c r="LPK754" s="3796"/>
      <c r="LPL754" s="3796"/>
      <c r="LPM754" s="3796"/>
      <c r="LPN754" s="3796"/>
      <c r="LPO754" s="3796"/>
      <c r="LPP754" s="3796"/>
      <c r="LPQ754" s="3796"/>
      <c r="LPR754" s="3796"/>
      <c r="LPS754" s="3796"/>
      <c r="LPT754" s="3796"/>
      <c r="LPU754" s="3796"/>
      <c r="LPV754" s="3796"/>
      <c r="LPW754" s="3796"/>
      <c r="LPX754" s="3796"/>
      <c r="LPY754" s="3796"/>
      <c r="LPZ754" s="3796"/>
      <c r="LQA754" s="3796"/>
      <c r="LQB754" s="3796"/>
      <c r="LQC754" s="3796"/>
      <c r="LQD754" s="3796"/>
      <c r="LQE754" s="3796"/>
      <c r="LQF754" s="3796"/>
      <c r="LQG754" s="3796"/>
      <c r="LQH754" s="3796"/>
      <c r="LQI754" s="3796"/>
      <c r="LQJ754" s="3796"/>
      <c r="LQK754" s="3796"/>
      <c r="LQL754" s="3796"/>
      <c r="LQM754" s="3796"/>
      <c r="LQN754" s="3796"/>
      <c r="LQO754" s="3796"/>
      <c r="LQP754" s="3796"/>
      <c r="LQQ754" s="3796"/>
      <c r="LQR754" s="3796"/>
      <c r="LQS754" s="3796"/>
      <c r="LQT754" s="3796"/>
      <c r="LQU754" s="3796"/>
      <c r="LQV754" s="3796"/>
      <c r="LQW754" s="3796"/>
      <c r="LQX754" s="3796"/>
      <c r="LQY754" s="3796"/>
      <c r="LQZ754" s="3796"/>
      <c r="LRA754" s="3796"/>
      <c r="LRB754" s="3796"/>
      <c r="LRC754" s="3796"/>
      <c r="LRD754" s="3796"/>
      <c r="LRE754" s="3796"/>
      <c r="LRF754" s="3796"/>
      <c r="LRG754" s="3796"/>
      <c r="LRH754" s="3796"/>
      <c r="LRI754" s="3796"/>
      <c r="LRJ754" s="3796"/>
      <c r="LRK754" s="3796"/>
      <c r="LRL754" s="3796"/>
      <c r="LRM754" s="3796"/>
      <c r="LRN754" s="3796"/>
      <c r="LRO754" s="3796"/>
      <c r="LRP754" s="3796"/>
      <c r="LRQ754" s="3796"/>
      <c r="LRR754" s="3796"/>
      <c r="LRS754" s="3796"/>
      <c r="LRT754" s="3796"/>
      <c r="LRU754" s="3796"/>
      <c r="LRV754" s="3796"/>
      <c r="LRW754" s="3796"/>
      <c r="LRX754" s="3796"/>
      <c r="LRY754" s="3796"/>
      <c r="LRZ754" s="3796"/>
      <c r="LSA754" s="3796"/>
      <c r="LSB754" s="3796"/>
      <c r="LSC754" s="3796"/>
      <c r="LSD754" s="3796"/>
      <c r="LSE754" s="3796"/>
      <c r="LSF754" s="3796"/>
      <c r="LSG754" s="3796"/>
      <c r="LSH754" s="3796"/>
      <c r="LSI754" s="3796"/>
      <c r="LSJ754" s="3796"/>
      <c r="LSK754" s="3796"/>
      <c r="LSL754" s="3796"/>
      <c r="LSM754" s="3796"/>
      <c r="LSN754" s="3796"/>
      <c r="LSO754" s="3796"/>
      <c r="LSP754" s="3796"/>
      <c r="LSQ754" s="3796"/>
      <c r="LSR754" s="3796"/>
      <c r="LSS754" s="3796"/>
      <c r="LST754" s="3796"/>
      <c r="LSU754" s="3796"/>
      <c r="LSV754" s="3796"/>
      <c r="LSW754" s="3796"/>
      <c r="LSX754" s="3796"/>
      <c r="LSY754" s="3796"/>
      <c r="LSZ754" s="3796"/>
      <c r="LTA754" s="3796"/>
      <c r="LTB754" s="3796"/>
      <c r="LTC754" s="3796"/>
      <c r="LTD754" s="3796"/>
      <c r="LTE754" s="3796"/>
      <c r="LTF754" s="3796"/>
      <c r="LTG754" s="3796"/>
      <c r="LTH754" s="3796"/>
      <c r="LTI754" s="3796"/>
      <c r="LTJ754" s="3796"/>
      <c r="LTK754" s="3796"/>
      <c r="LTL754" s="3796"/>
      <c r="LTM754" s="3796"/>
      <c r="LTN754" s="3796"/>
      <c r="LTO754" s="3796"/>
      <c r="LTP754" s="3796"/>
      <c r="LTQ754" s="3796"/>
      <c r="LTR754" s="3796"/>
      <c r="LTS754" s="3796"/>
      <c r="LTT754" s="3796"/>
      <c r="LTU754" s="3796"/>
      <c r="LTV754" s="3796"/>
      <c r="LTW754" s="3796"/>
      <c r="LTX754" s="3796"/>
      <c r="LTY754" s="3796"/>
      <c r="LTZ754" s="3796"/>
      <c r="LUA754" s="3796"/>
      <c r="LUB754" s="3796"/>
      <c r="LUC754" s="3796"/>
      <c r="LUD754" s="3796"/>
      <c r="LUE754" s="3796"/>
      <c r="LUF754" s="3796"/>
      <c r="LUG754" s="3796"/>
      <c r="LUH754" s="3796"/>
      <c r="LUI754" s="3796"/>
      <c r="LUJ754" s="3796"/>
      <c r="LUK754" s="3796"/>
      <c r="LUL754" s="3796"/>
      <c r="LUM754" s="3796"/>
      <c r="LUN754" s="3796"/>
      <c r="LUO754" s="3796"/>
      <c r="LUP754" s="3796"/>
      <c r="LUQ754" s="3796"/>
      <c r="LUR754" s="3796"/>
      <c r="LUS754" s="3796"/>
      <c r="LUT754" s="3796"/>
      <c r="LUU754" s="3796"/>
      <c r="LUV754" s="3796"/>
      <c r="LUW754" s="3796"/>
      <c r="LUX754" s="3796"/>
      <c r="LUY754" s="3796"/>
      <c r="LUZ754" s="3796"/>
      <c r="LVA754" s="3796"/>
      <c r="LVB754" s="3796"/>
      <c r="LVC754" s="3796"/>
      <c r="LVD754" s="3796"/>
      <c r="LVE754" s="3796"/>
      <c r="LVF754" s="3796"/>
      <c r="LVG754" s="3796"/>
      <c r="LVH754" s="3796"/>
      <c r="LVI754" s="3796"/>
      <c r="LVJ754" s="3796"/>
      <c r="LVK754" s="3796"/>
      <c r="LVL754" s="3796"/>
      <c r="LVM754" s="3796"/>
      <c r="LVN754" s="3796"/>
      <c r="LVO754" s="3796"/>
      <c r="LVP754" s="3796"/>
      <c r="LVQ754" s="3796"/>
      <c r="LVR754" s="3796"/>
      <c r="LVS754" s="3796"/>
      <c r="LVT754" s="3796"/>
      <c r="LVU754" s="3796"/>
      <c r="LVZ754" s="3796"/>
      <c r="LWF754" s="3796"/>
      <c r="LWG754" s="3796"/>
      <c r="LWH754" s="3796"/>
      <c r="LWL754" s="3796"/>
      <c r="LWS754" s="3796"/>
      <c r="LWT754" s="3796"/>
      <c r="LWU754" s="3796"/>
      <c r="LWV754" s="3796"/>
      <c r="LWW754" s="3796"/>
      <c r="LWX754" s="3796"/>
      <c r="LWY754" s="3796"/>
      <c r="LWZ754" s="3796"/>
      <c r="LXA754" s="3796"/>
      <c r="LXB754" s="3796"/>
      <c r="LXC754" s="3796"/>
      <c r="LXD754" s="3796"/>
      <c r="LXE754" s="3796"/>
      <c r="LXF754" s="3796"/>
      <c r="LXG754" s="3796"/>
      <c r="LXH754" s="3796"/>
      <c r="LXI754" s="3796"/>
      <c r="LXJ754" s="3796"/>
      <c r="LXK754" s="3796"/>
      <c r="LXL754" s="3796"/>
      <c r="LXM754" s="3796"/>
      <c r="LXN754" s="3796"/>
      <c r="LXO754" s="3796"/>
      <c r="LXP754" s="3796"/>
      <c r="LXQ754" s="3796"/>
      <c r="LXR754" s="3796"/>
      <c r="LXS754" s="3796"/>
      <c r="LXT754" s="3796"/>
      <c r="LXU754" s="3796"/>
      <c r="LXV754" s="3796"/>
      <c r="LXW754" s="3796"/>
      <c r="LXX754" s="3796"/>
      <c r="LXY754" s="3796"/>
      <c r="LXZ754" s="3796"/>
      <c r="LYA754" s="3796"/>
      <c r="LYB754" s="3796"/>
      <c r="LYC754" s="3796"/>
      <c r="LYD754" s="3796"/>
      <c r="LYE754" s="3796"/>
      <c r="LYF754" s="3796"/>
      <c r="LYG754" s="3796"/>
      <c r="LYH754" s="3796"/>
      <c r="LYI754" s="3796"/>
      <c r="LYJ754" s="3796"/>
      <c r="LYK754" s="3796"/>
      <c r="LYL754" s="3796"/>
      <c r="LYM754" s="3796"/>
      <c r="LYN754" s="3796"/>
      <c r="LYO754" s="3796"/>
      <c r="LYP754" s="3796"/>
      <c r="LYQ754" s="3796"/>
      <c r="LYR754" s="3796"/>
      <c r="LYS754" s="3796"/>
      <c r="LYT754" s="3796"/>
      <c r="LYU754" s="3796"/>
      <c r="LYV754" s="3796"/>
      <c r="LYW754" s="3796"/>
      <c r="LYX754" s="3796"/>
      <c r="LYY754" s="3796"/>
      <c r="LYZ754" s="3796"/>
      <c r="LZA754" s="3796"/>
      <c r="LZB754" s="3796"/>
      <c r="LZC754" s="3796"/>
      <c r="LZD754" s="3796"/>
      <c r="LZE754" s="3796"/>
      <c r="LZF754" s="3796"/>
      <c r="LZG754" s="3796"/>
      <c r="LZH754" s="3796"/>
      <c r="LZI754" s="3796"/>
      <c r="LZJ754" s="3796"/>
      <c r="LZK754" s="3796"/>
      <c r="LZL754" s="3796"/>
      <c r="LZM754" s="3796"/>
      <c r="LZN754" s="3796"/>
      <c r="LZO754" s="3796"/>
      <c r="LZP754" s="3796"/>
      <c r="LZQ754" s="3796"/>
      <c r="LZR754" s="3796"/>
      <c r="LZS754" s="3796"/>
      <c r="LZT754" s="3796"/>
      <c r="LZU754" s="3796"/>
      <c r="LZV754" s="3796"/>
      <c r="LZW754" s="3796"/>
      <c r="LZX754" s="3796"/>
      <c r="LZY754" s="3796"/>
      <c r="LZZ754" s="3796"/>
      <c r="MAA754" s="3796"/>
      <c r="MAB754" s="3796"/>
      <c r="MAC754" s="3796"/>
      <c r="MAD754" s="3796"/>
      <c r="MAE754" s="3796"/>
      <c r="MAF754" s="3796"/>
      <c r="MAG754" s="3796"/>
      <c r="MAH754" s="3796"/>
      <c r="MAI754" s="3796"/>
      <c r="MAJ754" s="3796"/>
      <c r="MAK754" s="3796"/>
      <c r="MAL754" s="3796"/>
      <c r="MAM754" s="3796"/>
      <c r="MAN754" s="3796"/>
      <c r="MAO754" s="3796"/>
      <c r="MAP754" s="3796"/>
      <c r="MAQ754" s="3796"/>
      <c r="MAR754" s="3796"/>
      <c r="MAS754" s="3796"/>
      <c r="MAT754" s="3796"/>
      <c r="MAU754" s="3796"/>
      <c r="MAV754" s="3796"/>
      <c r="MAW754" s="3796"/>
      <c r="MAX754" s="3796"/>
      <c r="MAY754" s="3796"/>
      <c r="MAZ754" s="3796"/>
      <c r="MBA754" s="3796"/>
      <c r="MBB754" s="3796"/>
      <c r="MBC754" s="3796"/>
      <c r="MBD754" s="3796"/>
      <c r="MBE754" s="3796"/>
      <c r="MBF754" s="3796"/>
      <c r="MBG754" s="3796"/>
      <c r="MBH754" s="3796"/>
      <c r="MBI754" s="3796"/>
      <c r="MBJ754" s="3796"/>
      <c r="MBK754" s="3796"/>
      <c r="MBL754" s="3796"/>
      <c r="MBM754" s="3796"/>
      <c r="MBN754" s="3796"/>
      <c r="MBO754" s="3796"/>
      <c r="MBP754" s="3796"/>
      <c r="MBQ754" s="3796"/>
      <c r="MBR754" s="3796"/>
      <c r="MBS754" s="3796"/>
      <c r="MBT754" s="3796"/>
      <c r="MBU754" s="3796"/>
      <c r="MBV754" s="3796"/>
      <c r="MBW754" s="3796"/>
      <c r="MBX754" s="3796"/>
      <c r="MBY754" s="3796"/>
      <c r="MBZ754" s="3796"/>
      <c r="MCA754" s="3796"/>
      <c r="MCB754" s="3796"/>
      <c r="MCC754" s="3796"/>
      <c r="MCD754" s="3796"/>
      <c r="MCE754" s="3796"/>
      <c r="MCF754" s="3796"/>
      <c r="MCG754" s="3796"/>
      <c r="MCH754" s="3796"/>
      <c r="MCI754" s="3796"/>
      <c r="MCJ754" s="3796"/>
      <c r="MCK754" s="3796"/>
      <c r="MCL754" s="3796"/>
      <c r="MCM754" s="3796"/>
      <c r="MCN754" s="3796"/>
      <c r="MCO754" s="3796"/>
      <c r="MCP754" s="3796"/>
      <c r="MCQ754" s="3796"/>
      <c r="MCR754" s="3796"/>
      <c r="MCS754" s="3796"/>
      <c r="MCT754" s="3796"/>
      <c r="MCU754" s="3796"/>
      <c r="MCV754" s="3796"/>
      <c r="MCW754" s="3796"/>
      <c r="MCX754" s="3796"/>
      <c r="MCY754" s="3796"/>
      <c r="MCZ754" s="3796"/>
      <c r="MDA754" s="3796"/>
      <c r="MDB754" s="3796"/>
      <c r="MDC754" s="3796"/>
      <c r="MDD754" s="3796"/>
      <c r="MDE754" s="3796"/>
      <c r="MDF754" s="3796"/>
      <c r="MDG754" s="3796"/>
      <c r="MDH754" s="3796"/>
      <c r="MDI754" s="3796"/>
      <c r="MDJ754" s="3796"/>
      <c r="MDK754" s="3796"/>
      <c r="MDL754" s="3796"/>
      <c r="MDM754" s="3796"/>
      <c r="MDN754" s="3796"/>
      <c r="MDO754" s="3796"/>
      <c r="MDP754" s="3796"/>
      <c r="MDQ754" s="3796"/>
      <c r="MDR754" s="3796"/>
      <c r="MDS754" s="3796"/>
      <c r="MDT754" s="3796"/>
      <c r="MDU754" s="3796"/>
      <c r="MDV754" s="3796"/>
      <c r="MDW754" s="3796"/>
      <c r="MDX754" s="3796"/>
      <c r="MDY754" s="3796"/>
      <c r="MDZ754" s="3796"/>
      <c r="MEA754" s="3796"/>
      <c r="MEB754" s="3796"/>
      <c r="MEC754" s="3796"/>
      <c r="MED754" s="3796"/>
      <c r="MEE754" s="3796"/>
      <c r="MEF754" s="3796"/>
      <c r="MEG754" s="3796"/>
      <c r="MEH754" s="3796"/>
      <c r="MEI754" s="3796"/>
      <c r="MEJ754" s="3796"/>
      <c r="MEK754" s="3796"/>
      <c r="MEL754" s="3796"/>
      <c r="MEM754" s="3796"/>
      <c r="MEN754" s="3796"/>
      <c r="MEO754" s="3796"/>
      <c r="MEP754" s="3796"/>
      <c r="MEQ754" s="3796"/>
      <c r="MER754" s="3796"/>
      <c r="MES754" s="3796"/>
      <c r="MET754" s="3796"/>
      <c r="MEU754" s="3796"/>
      <c r="MEV754" s="3796"/>
      <c r="MEW754" s="3796"/>
      <c r="MEX754" s="3796"/>
      <c r="MEY754" s="3796"/>
      <c r="MEZ754" s="3796"/>
      <c r="MFA754" s="3796"/>
      <c r="MFB754" s="3796"/>
      <c r="MFC754" s="3796"/>
      <c r="MFD754" s="3796"/>
      <c r="MFE754" s="3796"/>
      <c r="MFF754" s="3796"/>
      <c r="MFG754" s="3796"/>
      <c r="MFH754" s="3796"/>
      <c r="MFI754" s="3796"/>
      <c r="MFJ754" s="3796"/>
      <c r="MFK754" s="3796"/>
      <c r="MFL754" s="3796"/>
      <c r="MFM754" s="3796"/>
      <c r="MFN754" s="3796"/>
      <c r="MFO754" s="3796"/>
      <c r="MFP754" s="3796"/>
      <c r="MFQ754" s="3796"/>
      <c r="MFV754" s="3796"/>
      <c r="MGB754" s="3796"/>
      <c r="MGC754" s="3796"/>
      <c r="MGD754" s="3796"/>
      <c r="MGH754" s="3796"/>
      <c r="MGO754" s="3796"/>
      <c r="MGP754" s="3796"/>
      <c r="MGQ754" s="3796"/>
      <c r="MGR754" s="3796"/>
      <c r="MGS754" s="3796"/>
      <c r="MGT754" s="3796"/>
      <c r="MGU754" s="3796"/>
      <c r="MGV754" s="3796"/>
      <c r="MGW754" s="3796"/>
      <c r="MGX754" s="3796"/>
      <c r="MGY754" s="3796"/>
      <c r="MGZ754" s="3796"/>
      <c r="MHA754" s="3796"/>
      <c r="MHB754" s="3796"/>
      <c r="MHC754" s="3796"/>
      <c r="MHD754" s="3796"/>
      <c r="MHE754" s="3796"/>
      <c r="MHF754" s="3796"/>
      <c r="MHG754" s="3796"/>
      <c r="MHH754" s="3796"/>
      <c r="MHI754" s="3796"/>
      <c r="MHJ754" s="3796"/>
      <c r="MHK754" s="3796"/>
      <c r="MHL754" s="3796"/>
      <c r="MHM754" s="3796"/>
      <c r="MHN754" s="3796"/>
      <c r="MHO754" s="3796"/>
      <c r="MHP754" s="3796"/>
      <c r="MHQ754" s="3796"/>
      <c r="MHR754" s="3796"/>
      <c r="MHS754" s="3796"/>
      <c r="MHT754" s="3796"/>
      <c r="MHU754" s="3796"/>
      <c r="MHV754" s="3796"/>
      <c r="MHW754" s="3796"/>
      <c r="MHX754" s="3796"/>
      <c r="MHY754" s="3796"/>
      <c r="MHZ754" s="3796"/>
      <c r="MIA754" s="3796"/>
      <c r="MIB754" s="3796"/>
      <c r="MIC754" s="3796"/>
      <c r="MID754" s="3796"/>
      <c r="MIE754" s="3796"/>
      <c r="MIF754" s="3796"/>
      <c r="MIG754" s="3796"/>
      <c r="MIH754" s="3796"/>
      <c r="MII754" s="3796"/>
      <c r="MIJ754" s="3796"/>
      <c r="MIK754" s="3796"/>
      <c r="MIL754" s="3796"/>
      <c r="MIM754" s="3796"/>
      <c r="MIN754" s="3796"/>
      <c r="MIO754" s="3796"/>
      <c r="MIP754" s="3796"/>
      <c r="MIQ754" s="3796"/>
      <c r="MIR754" s="3796"/>
      <c r="MIS754" s="3796"/>
      <c r="MIT754" s="3796"/>
      <c r="MIU754" s="3796"/>
      <c r="MIV754" s="3796"/>
      <c r="MIW754" s="3796"/>
      <c r="MIX754" s="3796"/>
      <c r="MIY754" s="3796"/>
      <c r="MIZ754" s="3796"/>
      <c r="MJA754" s="3796"/>
      <c r="MJB754" s="3796"/>
      <c r="MJC754" s="3796"/>
      <c r="MJD754" s="3796"/>
      <c r="MJE754" s="3796"/>
      <c r="MJF754" s="3796"/>
      <c r="MJG754" s="3796"/>
      <c r="MJH754" s="3796"/>
      <c r="MJI754" s="3796"/>
      <c r="MJJ754" s="3796"/>
      <c r="MJK754" s="3796"/>
      <c r="MJL754" s="3796"/>
      <c r="MJM754" s="3796"/>
      <c r="MJN754" s="3796"/>
      <c r="MJO754" s="3796"/>
      <c r="MJP754" s="3796"/>
      <c r="MJQ754" s="3796"/>
      <c r="MJR754" s="3796"/>
      <c r="MJS754" s="3796"/>
      <c r="MJT754" s="3796"/>
      <c r="MJU754" s="3796"/>
      <c r="MJV754" s="3796"/>
      <c r="MJW754" s="3796"/>
      <c r="MJX754" s="3796"/>
      <c r="MJY754" s="3796"/>
      <c r="MJZ754" s="3796"/>
      <c r="MKA754" s="3796"/>
      <c r="MKB754" s="3796"/>
      <c r="MKC754" s="3796"/>
      <c r="MKD754" s="3796"/>
      <c r="MKE754" s="3796"/>
      <c r="MKF754" s="3796"/>
      <c r="MKG754" s="3796"/>
      <c r="MKH754" s="3796"/>
      <c r="MKI754" s="3796"/>
      <c r="MKJ754" s="3796"/>
      <c r="MKK754" s="3796"/>
      <c r="MKL754" s="3796"/>
      <c r="MKM754" s="3796"/>
      <c r="MKN754" s="3796"/>
      <c r="MKO754" s="3796"/>
      <c r="MKP754" s="3796"/>
      <c r="MKQ754" s="3796"/>
      <c r="MKR754" s="3796"/>
      <c r="MKS754" s="3796"/>
      <c r="MKT754" s="3796"/>
      <c r="MKU754" s="3796"/>
      <c r="MKV754" s="3796"/>
      <c r="MKW754" s="3796"/>
      <c r="MKX754" s="3796"/>
      <c r="MKY754" s="3796"/>
      <c r="MKZ754" s="3796"/>
      <c r="MLA754" s="3796"/>
      <c r="MLB754" s="3796"/>
      <c r="MLC754" s="3796"/>
      <c r="MLD754" s="3796"/>
      <c r="MLE754" s="3796"/>
      <c r="MLF754" s="3796"/>
      <c r="MLG754" s="3796"/>
      <c r="MLH754" s="3796"/>
      <c r="MLI754" s="3796"/>
      <c r="MLJ754" s="3796"/>
      <c r="MLK754" s="3796"/>
      <c r="MLL754" s="3796"/>
      <c r="MLM754" s="3796"/>
      <c r="MLN754" s="3796"/>
      <c r="MLO754" s="3796"/>
      <c r="MLP754" s="3796"/>
      <c r="MLQ754" s="3796"/>
      <c r="MLR754" s="3796"/>
      <c r="MLS754" s="3796"/>
      <c r="MLT754" s="3796"/>
      <c r="MLU754" s="3796"/>
      <c r="MLV754" s="3796"/>
      <c r="MLW754" s="3796"/>
      <c r="MLX754" s="3796"/>
      <c r="MLY754" s="3796"/>
      <c r="MLZ754" s="3796"/>
      <c r="MMA754" s="3796"/>
      <c r="MMB754" s="3796"/>
      <c r="MMC754" s="3796"/>
      <c r="MMD754" s="3796"/>
      <c r="MME754" s="3796"/>
      <c r="MMF754" s="3796"/>
      <c r="MMG754" s="3796"/>
      <c r="MMH754" s="3796"/>
      <c r="MMI754" s="3796"/>
      <c r="MMJ754" s="3796"/>
      <c r="MMK754" s="3796"/>
      <c r="MML754" s="3796"/>
      <c r="MMM754" s="3796"/>
      <c r="MMN754" s="3796"/>
      <c r="MMO754" s="3796"/>
      <c r="MMP754" s="3796"/>
      <c r="MMQ754" s="3796"/>
      <c r="MMR754" s="3796"/>
      <c r="MMS754" s="3796"/>
      <c r="MMT754" s="3796"/>
      <c r="MMU754" s="3796"/>
      <c r="MMV754" s="3796"/>
      <c r="MMW754" s="3796"/>
      <c r="MMX754" s="3796"/>
      <c r="MMY754" s="3796"/>
      <c r="MMZ754" s="3796"/>
      <c r="MNA754" s="3796"/>
      <c r="MNB754" s="3796"/>
      <c r="MNC754" s="3796"/>
      <c r="MND754" s="3796"/>
      <c r="MNE754" s="3796"/>
      <c r="MNF754" s="3796"/>
      <c r="MNG754" s="3796"/>
      <c r="MNH754" s="3796"/>
      <c r="MNI754" s="3796"/>
      <c r="MNJ754" s="3796"/>
      <c r="MNK754" s="3796"/>
      <c r="MNL754" s="3796"/>
      <c r="MNM754" s="3796"/>
      <c r="MNN754" s="3796"/>
      <c r="MNO754" s="3796"/>
      <c r="MNP754" s="3796"/>
      <c r="MNQ754" s="3796"/>
      <c r="MNR754" s="3796"/>
      <c r="MNS754" s="3796"/>
      <c r="MNT754" s="3796"/>
      <c r="MNU754" s="3796"/>
      <c r="MNV754" s="3796"/>
      <c r="MNW754" s="3796"/>
      <c r="MNX754" s="3796"/>
      <c r="MNY754" s="3796"/>
      <c r="MNZ754" s="3796"/>
      <c r="MOA754" s="3796"/>
      <c r="MOB754" s="3796"/>
      <c r="MOC754" s="3796"/>
      <c r="MOD754" s="3796"/>
      <c r="MOE754" s="3796"/>
      <c r="MOF754" s="3796"/>
      <c r="MOG754" s="3796"/>
      <c r="MOH754" s="3796"/>
      <c r="MOI754" s="3796"/>
      <c r="MOJ754" s="3796"/>
      <c r="MOK754" s="3796"/>
      <c r="MOL754" s="3796"/>
      <c r="MOM754" s="3796"/>
      <c r="MON754" s="3796"/>
      <c r="MOO754" s="3796"/>
      <c r="MOP754" s="3796"/>
      <c r="MOQ754" s="3796"/>
      <c r="MOR754" s="3796"/>
      <c r="MOS754" s="3796"/>
      <c r="MOT754" s="3796"/>
      <c r="MOU754" s="3796"/>
      <c r="MOV754" s="3796"/>
      <c r="MOW754" s="3796"/>
      <c r="MOX754" s="3796"/>
      <c r="MOY754" s="3796"/>
      <c r="MOZ754" s="3796"/>
      <c r="MPA754" s="3796"/>
      <c r="MPB754" s="3796"/>
      <c r="MPC754" s="3796"/>
      <c r="MPD754" s="3796"/>
      <c r="MPE754" s="3796"/>
      <c r="MPF754" s="3796"/>
      <c r="MPG754" s="3796"/>
      <c r="MPH754" s="3796"/>
      <c r="MPI754" s="3796"/>
      <c r="MPJ754" s="3796"/>
      <c r="MPK754" s="3796"/>
      <c r="MPL754" s="3796"/>
      <c r="MPM754" s="3796"/>
      <c r="MPR754" s="3796"/>
      <c r="MPX754" s="3796"/>
      <c r="MPY754" s="3796"/>
      <c r="MPZ754" s="3796"/>
      <c r="MQD754" s="3796"/>
      <c r="MQK754" s="3796"/>
      <c r="MQL754" s="3796"/>
      <c r="MQM754" s="3796"/>
      <c r="MQN754" s="3796"/>
      <c r="MQO754" s="3796"/>
      <c r="MQP754" s="3796"/>
      <c r="MQQ754" s="3796"/>
      <c r="MQR754" s="3796"/>
      <c r="MQS754" s="3796"/>
      <c r="MQT754" s="3796"/>
      <c r="MQU754" s="3796"/>
      <c r="MQV754" s="3796"/>
      <c r="MQW754" s="3796"/>
      <c r="MQX754" s="3796"/>
      <c r="MQY754" s="3796"/>
      <c r="MQZ754" s="3796"/>
      <c r="MRA754" s="3796"/>
      <c r="MRB754" s="3796"/>
      <c r="MRC754" s="3796"/>
      <c r="MRD754" s="3796"/>
      <c r="MRE754" s="3796"/>
      <c r="MRF754" s="3796"/>
      <c r="MRG754" s="3796"/>
      <c r="MRH754" s="3796"/>
      <c r="MRI754" s="3796"/>
      <c r="MRJ754" s="3796"/>
      <c r="MRK754" s="3796"/>
      <c r="MRL754" s="3796"/>
      <c r="MRM754" s="3796"/>
      <c r="MRN754" s="3796"/>
      <c r="MRO754" s="3796"/>
      <c r="MRP754" s="3796"/>
      <c r="MRQ754" s="3796"/>
      <c r="MRR754" s="3796"/>
      <c r="MRS754" s="3796"/>
      <c r="MRT754" s="3796"/>
      <c r="MRU754" s="3796"/>
      <c r="MRV754" s="3796"/>
      <c r="MRW754" s="3796"/>
      <c r="MRX754" s="3796"/>
      <c r="MRY754" s="3796"/>
      <c r="MRZ754" s="3796"/>
      <c r="MSA754" s="3796"/>
      <c r="MSB754" s="3796"/>
      <c r="MSC754" s="3796"/>
      <c r="MSD754" s="3796"/>
      <c r="MSE754" s="3796"/>
      <c r="MSF754" s="3796"/>
      <c r="MSG754" s="3796"/>
      <c r="MSH754" s="3796"/>
      <c r="MSI754" s="3796"/>
      <c r="MSJ754" s="3796"/>
      <c r="MSK754" s="3796"/>
      <c r="MSL754" s="3796"/>
      <c r="MSM754" s="3796"/>
      <c r="MSN754" s="3796"/>
      <c r="MSO754" s="3796"/>
      <c r="MSP754" s="3796"/>
      <c r="MSQ754" s="3796"/>
      <c r="MSR754" s="3796"/>
      <c r="MSS754" s="3796"/>
      <c r="MST754" s="3796"/>
      <c r="MSU754" s="3796"/>
      <c r="MSV754" s="3796"/>
      <c r="MSW754" s="3796"/>
      <c r="MSX754" s="3796"/>
      <c r="MSY754" s="3796"/>
      <c r="MSZ754" s="3796"/>
      <c r="MTA754" s="3796"/>
      <c r="MTB754" s="3796"/>
      <c r="MTC754" s="3796"/>
      <c r="MTD754" s="3796"/>
      <c r="MTE754" s="3796"/>
      <c r="MTF754" s="3796"/>
      <c r="MTG754" s="3796"/>
      <c r="MTH754" s="3796"/>
      <c r="MTI754" s="3796"/>
      <c r="MTJ754" s="3796"/>
      <c r="MTK754" s="3796"/>
      <c r="MTL754" s="3796"/>
      <c r="MTM754" s="3796"/>
      <c r="MTN754" s="3796"/>
      <c r="MTO754" s="3796"/>
      <c r="MTP754" s="3796"/>
      <c r="MTQ754" s="3796"/>
      <c r="MTR754" s="3796"/>
      <c r="MTS754" s="3796"/>
      <c r="MTT754" s="3796"/>
      <c r="MTU754" s="3796"/>
      <c r="MTV754" s="3796"/>
      <c r="MTW754" s="3796"/>
      <c r="MTX754" s="3796"/>
      <c r="MTY754" s="3796"/>
      <c r="MTZ754" s="3796"/>
      <c r="MUA754" s="3796"/>
      <c r="MUB754" s="3796"/>
      <c r="MUC754" s="3796"/>
      <c r="MUD754" s="3796"/>
      <c r="MUE754" s="3796"/>
      <c r="MUF754" s="3796"/>
      <c r="MUG754" s="3796"/>
      <c r="MUH754" s="3796"/>
      <c r="MUI754" s="3796"/>
      <c r="MUJ754" s="3796"/>
      <c r="MUK754" s="3796"/>
      <c r="MUL754" s="3796"/>
      <c r="MUM754" s="3796"/>
      <c r="MUN754" s="3796"/>
      <c r="MUO754" s="3796"/>
      <c r="MUP754" s="3796"/>
      <c r="MUQ754" s="3796"/>
      <c r="MUR754" s="3796"/>
      <c r="MUS754" s="3796"/>
      <c r="MUT754" s="3796"/>
      <c r="MUU754" s="3796"/>
      <c r="MUV754" s="3796"/>
      <c r="MUW754" s="3796"/>
      <c r="MUX754" s="3796"/>
      <c r="MUY754" s="3796"/>
      <c r="MUZ754" s="3796"/>
      <c r="MVA754" s="3796"/>
      <c r="MVB754" s="3796"/>
      <c r="MVC754" s="3796"/>
      <c r="MVD754" s="3796"/>
      <c r="MVE754" s="3796"/>
      <c r="MVF754" s="3796"/>
      <c r="MVG754" s="3796"/>
      <c r="MVH754" s="3796"/>
      <c r="MVI754" s="3796"/>
      <c r="MVJ754" s="3796"/>
      <c r="MVK754" s="3796"/>
      <c r="MVL754" s="3796"/>
      <c r="MVM754" s="3796"/>
      <c r="MVN754" s="3796"/>
      <c r="MVO754" s="3796"/>
      <c r="MVP754" s="3796"/>
      <c r="MVQ754" s="3796"/>
      <c r="MVR754" s="3796"/>
      <c r="MVS754" s="3796"/>
      <c r="MVT754" s="3796"/>
      <c r="MVU754" s="3796"/>
      <c r="MVV754" s="3796"/>
      <c r="MVW754" s="3796"/>
      <c r="MVX754" s="3796"/>
      <c r="MVY754" s="3796"/>
      <c r="MVZ754" s="3796"/>
      <c r="MWA754" s="3796"/>
      <c r="MWB754" s="3796"/>
      <c r="MWC754" s="3796"/>
      <c r="MWD754" s="3796"/>
      <c r="MWE754" s="3796"/>
      <c r="MWF754" s="3796"/>
      <c r="MWG754" s="3796"/>
      <c r="MWH754" s="3796"/>
      <c r="MWI754" s="3796"/>
      <c r="MWJ754" s="3796"/>
      <c r="MWK754" s="3796"/>
      <c r="MWL754" s="3796"/>
      <c r="MWM754" s="3796"/>
      <c r="MWN754" s="3796"/>
      <c r="MWO754" s="3796"/>
      <c r="MWP754" s="3796"/>
      <c r="MWQ754" s="3796"/>
      <c r="MWR754" s="3796"/>
      <c r="MWS754" s="3796"/>
      <c r="MWT754" s="3796"/>
      <c r="MWU754" s="3796"/>
      <c r="MWV754" s="3796"/>
      <c r="MWW754" s="3796"/>
      <c r="MWX754" s="3796"/>
      <c r="MWY754" s="3796"/>
      <c r="MWZ754" s="3796"/>
      <c r="MXA754" s="3796"/>
      <c r="MXB754" s="3796"/>
      <c r="MXC754" s="3796"/>
      <c r="MXD754" s="3796"/>
      <c r="MXE754" s="3796"/>
      <c r="MXF754" s="3796"/>
      <c r="MXG754" s="3796"/>
      <c r="MXH754" s="3796"/>
      <c r="MXI754" s="3796"/>
      <c r="MXJ754" s="3796"/>
      <c r="MXK754" s="3796"/>
      <c r="MXL754" s="3796"/>
      <c r="MXM754" s="3796"/>
      <c r="MXN754" s="3796"/>
      <c r="MXO754" s="3796"/>
      <c r="MXP754" s="3796"/>
      <c r="MXQ754" s="3796"/>
      <c r="MXR754" s="3796"/>
      <c r="MXS754" s="3796"/>
      <c r="MXT754" s="3796"/>
      <c r="MXU754" s="3796"/>
      <c r="MXV754" s="3796"/>
      <c r="MXW754" s="3796"/>
      <c r="MXX754" s="3796"/>
      <c r="MXY754" s="3796"/>
      <c r="MXZ754" s="3796"/>
      <c r="MYA754" s="3796"/>
      <c r="MYB754" s="3796"/>
      <c r="MYC754" s="3796"/>
      <c r="MYD754" s="3796"/>
      <c r="MYE754" s="3796"/>
      <c r="MYF754" s="3796"/>
      <c r="MYG754" s="3796"/>
      <c r="MYH754" s="3796"/>
      <c r="MYI754" s="3796"/>
      <c r="MYJ754" s="3796"/>
      <c r="MYK754" s="3796"/>
      <c r="MYL754" s="3796"/>
      <c r="MYM754" s="3796"/>
      <c r="MYN754" s="3796"/>
      <c r="MYO754" s="3796"/>
      <c r="MYP754" s="3796"/>
      <c r="MYQ754" s="3796"/>
      <c r="MYR754" s="3796"/>
      <c r="MYS754" s="3796"/>
      <c r="MYT754" s="3796"/>
      <c r="MYU754" s="3796"/>
      <c r="MYV754" s="3796"/>
      <c r="MYW754" s="3796"/>
      <c r="MYX754" s="3796"/>
      <c r="MYY754" s="3796"/>
      <c r="MYZ754" s="3796"/>
      <c r="MZA754" s="3796"/>
      <c r="MZB754" s="3796"/>
      <c r="MZC754" s="3796"/>
      <c r="MZD754" s="3796"/>
      <c r="MZE754" s="3796"/>
      <c r="MZF754" s="3796"/>
      <c r="MZG754" s="3796"/>
      <c r="MZH754" s="3796"/>
      <c r="MZI754" s="3796"/>
      <c r="MZN754" s="3796"/>
      <c r="MZT754" s="3796"/>
      <c r="MZU754" s="3796"/>
      <c r="MZV754" s="3796"/>
      <c r="MZZ754" s="3796"/>
      <c r="NAG754" s="3796"/>
      <c r="NAH754" s="3796"/>
      <c r="NAI754" s="3796"/>
      <c r="NAJ754" s="3796"/>
      <c r="NAK754" s="3796"/>
      <c r="NAL754" s="3796"/>
      <c r="NAM754" s="3796"/>
      <c r="NAN754" s="3796"/>
      <c r="NAO754" s="3796"/>
      <c r="NAP754" s="3796"/>
      <c r="NAQ754" s="3796"/>
      <c r="NAR754" s="3796"/>
      <c r="NAS754" s="3796"/>
      <c r="NAT754" s="3796"/>
      <c r="NAU754" s="3796"/>
      <c r="NAV754" s="3796"/>
      <c r="NAW754" s="3796"/>
      <c r="NAX754" s="3796"/>
      <c r="NAY754" s="3796"/>
      <c r="NAZ754" s="3796"/>
      <c r="NBA754" s="3796"/>
      <c r="NBB754" s="3796"/>
      <c r="NBC754" s="3796"/>
      <c r="NBD754" s="3796"/>
      <c r="NBE754" s="3796"/>
      <c r="NBF754" s="3796"/>
      <c r="NBG754" s="3796"/>
      <c r="NBH754" s="3796"/>
      <c r="NBI754" s="3796"/>
      <c r="NBJ754" s="3796"/>
      <c r="NBK754" s="3796"/>
      <c r="NBL754" s="3796"/>
      <c r="NBM754" s="3796"/>
      <c r="NBN754" s="3796"/>
      <c r="NBO754" s="3796"/>
      <c r="NBP754" s="3796"/>
      <c r="NBQ754" s="3796"/>
      <c r="NBR754" s="3796"/>
      <c r="NBS754" s="3796"/>
      <c r="NBT754" s="3796"/>
      <c r="NBU754" s="3796"/>
      <c r="NBV754" s="3796"/>
      <c r="NBW754" s="3796"/>
      <c r="NBX754" s="3796"/>
      <c r="NBY754" s="3796"/>
      <c r="NBZ754" s="3796"/>
      <c r="NCA754" s="3796"/>
      <c r="NCB754" s="3796"/>
      <c r="NCC754" s="3796"/>
      <c r="NCD754" s="3796"/>
      <c r="NCE754" s="3796"/>
      <c r="NCF754" s="3796"/>
      <c r="NCG754" s="3796"/>
      <c r="NCH754" s="3796"/>
      <c r="NCI754" s="3796"/>
      <c r="NCJ754" s="3796"/>
      <c r="NCK754" s="3796"/>
      <c r="NCL754" s="3796"/>
      <c r="NCM754" s="3796"/>
      <c r="NCN754" s="3796"/>
      <c r="NCO754" s="3796"/>
      <c r="NCP754" s="3796"/>
      <c r="NCQ754" s="3796"/>
      <c r="NCR754" s="3796"/>
      <c r="NCS754" s="3796"/>
      <c r="NCT754" s="3796"/>
      <c r="NCU754" s="3796"/>
      <c r="NCV754" s="3796"/>
      <c r="NCW754" s="3796"/>
      <c r="NCX754" s="3796"/>
      <c r="NCY754" s="3796"/>
      <c r="NCZ754" s="3796"/>
      <c r="NDA754" s="3796"/>
      <c r="NDB754" s="3796"/>
      <c r="NDC754" s="3796"/>
      <c r="NDD754" s="3796"/>
      <c r="NDE754" s="3796"/>
      <c r="NDF754" s="3796"/>
      <c r="NDG754" s="3796"/>
      <c r="NDH754" s="3796"/>
      <c r="NDI754" s="3796"/>
      <c r="NDJ754" s="3796"/>
      <c r="NDK754" s="3796"/>
      <c r="NDL754" s="3796"/>
      <c r="NDM754" s="3796"/>
      <c r="NDN754" s="3796"/>
      <c r="NDO754" s="3796"/>
      <c r="NDP754" s="3796"/>
      <c r="NDQ754" s="3796"/>
      <c r="NDR754" s="3796"/>
      <c r="NDS754" s="3796"/>
      <c r="NDT754" s="3796"/>
      <c r="NDU754" s="3796"/>
      <c r="NDV754" s="3796"/>
      <c r="NDW754" s="3796"/>
      <c r="NDX754" s="3796"/>
      <c r="NDY754" s="3796"/>
      <c r="NDZ754" s="3796"/>
      <c r="NEA754" s="3796"/>
      <c r="NEB754" s="3796"/>
      <c r="NEC754" s="3796"/>
      <c r="NED754" s="3796"/>
      <c r="NEE754" s="3796"/>
      <c r="NEF754" s="3796"/>
      <c r="NEG754" s="3796"/>
      <c r="NEH754" s="3796"/>
      <c r="NEI754" s="3796"/>
      <c r="NEJ754" s="3796"/>
      <c r="NEK754" s="3796"/>
      <c r="NEL754" s="3796"/>
      <c r="NEM754" s="3796"/>
      <c r="NEN754" s="3796"/>
      <c r="NEO754" s="3796"/>
      <c r="NEP754" s="3796"/>
      <c r="NEQ754" s="3796"/>
      <c r="NER754" s="3796"/>
      <c r="NES754" s="3796"/>
      <c r="NET754" s="3796"/>
      <c r="NEU754" s="3796"/>
      <c r="NEV754" s="3796"/>
      <c r="NEW754" s="3796"/>
      <c r="NEX754" s="3796"/>
      <c r="NEY754" s="3796"/>
      <c r="NEZ754" s="3796"/>
      <c r="NFA754" s="3796"/>
      <c r="NFB754" s="3796"/>
      <c r="NFC754" s="3796"/>
      <c r="NFD754" s="3796"/>
      <c r="NFE754" s="3796"/>
      <c r="NFF754" s="3796"/>
      <c r="NFG754" s="3796"/>
      <c r="NFH754" s="3796"/>
      <c r="NFI754" s="3796"/>
      <c r="NFJ754" s="3796"/>
      <c r="NFK754" s="3796"/>
      <c r="NFL754" s="3796"/>
      <c r="NFM754" s="3796"/>
      <c r="NFN754" s="3796"/>
      <c r="NFO754" s="3796"/>
      <c r="NFP754" s="3796"/>
      <c r="NFQ754" s="3796"/>
      <c r="NFR754" s="3796"/>
      <c r="NFS754" s="3796"/>
      <c r="NFT754" s="3796"/>
      <c r="NFU754" s="3796"/>
      <c r="NFV754" s="3796"/>
      <c r="NFW754" s="3796"/>
      <c r="NFX754" s="3796"/>
      <c r="NFY754" s="3796"/>
      <c r="NFZ754" s="3796"/>
      <c r="NGA754" s="3796"/>
      <c r="NGB754" s="3796"/>
      <c r="NGC754" s="3796"/>
      <c r="NGD754" s="3796"/>
      <c r="NGE754" s="3796"/>
      <c r="NGF754" s="3796"/>
      <c r="NGG754" s="3796"/>
      <c r="NGH754" s="3796"/>
      <c r="NGI754" s="3796"/>
      <c r="NGJ754" s="3796"/>
      <c r="NGK754" s="3796"/>
      <c r="NGL754" s="3796"/>
      <c r="NGM754" s="3796"/>
      <c r="NGN754" s="3796"/>
      <c r="NGO754" s="3796"/>
      <c r="NGP754" s="3796"/>
      <c r="NGQ754" s="3796"/>
      <c r="NGR754" s="3796"/>
      <c r="NGS754" s="3796"/>
      <c r="NGT754" s="3796"/>
      <c r="NGU754" s="3796"/>
      <c r="NGV754" s="3796"/>
      <c r="NGW754" s="3796"/>
      <c r="NGX754" s="3796"/>
      <c r="NGY754" s="3796"/>
      <c r="NGZ754" s="3796"/>
      <c r="NHA754" s="3796"/>
      <c r="NHB754" s="3796"/>
      <c r="NHC754" s="3796"/>
      <c r="NHD754" s="3796"/>
      <c r="NHE754" s="3796"/>
      <c r="NHF754" s="3796"/>
      <c r="NHG754" s="3796"/>
      <c r="NHH754" s="3796"/>
      <c r="NHI754" s="3796"/>
      <c r="NHJ754" s="3796"/>
      <c r="NHK754" s="3796"/>
      <c r="NHL754" s="3796"/>
      <c r="NHM754" s="3796"/>
      <c r="NHN754" s="3796"/>
      <c r="NHO754" s="3796"/>
      <c r="NHP754" s="3796"/>
      <c r="NHQ754" s="3796"/>
      <c r="NHR754" s="3796"/>
      <c r="NHS754" s="3796"/>
      <c r="NHT754" s="3796"/>
      <c r="NHU754" s="3796"/>
      <c r="NHV754" s="3796"/>
      <c r="NHW754" s="3796"/>
      <c r="NHX754" s="3796"/>
      <c r="NHY754" s="3796"/>
      <c r="NHZ754" s="3796"/>
      <c r="NIA754" s="3796"/>
      <c r="NIB754" s="3796"/>
      <c r="NIC754" s="3796"/>
      <c r="NID754" s="3796"/>
      <c r="NIE754" s="3796"/>
      <c r="NIF754" s="3796"/>
      <c r="NIG754" s="3796"/>
      <c r="NIH754" s="3796"/>
      <c r="NII754" s="3796"/>
      <c r="NIJ754" s="3796"/>
      <c r="NIK754" s="3796"/>
      <c r="NIL754" s="3796"/>
      <c r="NIM754" s="3796"/>
      <c r="NIN754" s="3796"/>
      <c r="NIO754" s="3796"/>
      <c r="NIP754" s="3796"/>
      <c r="NIQ754" s="3796"/>
      <c r="NIR754" s="3796"/>
      <c r="NIS754" s="3796"/>
      <c r="NIT754" s="3796"/>
      <c r="NIU754" s="3796"/>
      <c r="NIV754" s="3796"/>
      <c r="NIW754" s="3796"/>
      <c r="NIX754" s="3796"/>
      <c r="NIY754" s="3796"/>
      <c r="NIZ754" s="3796"/>
      <c r="NJA754" s="3796"/>
      <c r="NJB754" s="3796"/>
      <c r="NJC754" s="3796"/>
      <c r="NJD754" s="3796"/>
      <c r="NJE754" s="3796"/>
      <c r="NJJ754" s="3796"/>
      <c r="NJP754" s="3796"/>
      <c r="NJQ754" s="3796"/>
      <c r="NJR754" s="3796"/>
      <c r="NJV754" s="3796"/>
      <c r="NKC754" s="3796"/>
      <c r="NKD754" s="3796"/>
      <c r="NKE754" s="3796"/>
      <c r="NKF754" s="3796"/>
      <c r="NKG754" s="3796"/>
      <c r="NKH754" s="3796"/>
      <c r="NKI754" s="3796"/>
      <c r="NKJ754" s="3796"/>
      <c r="NKK754" s="3796"/>
      <c r="NKL754" s="3796"/>
      <c r="NKM754" s="3796"/>
      <c r="NKN754" s="3796"/>
      <c r="NKO754" s="3796"/>
      <c r="NKP754" s="3796"/>
      <c r="NKQ754" s="3796"/>
      <c r="NKR754" s="3796"/>
      <c r="NKS754" s="3796"/>
      <c r="NKT754" s="3796"/>
      <c r="NKU754" s="3796"/>
      <c r="NKV754" s="3796"/>
      <c r="NKW754" s="3796"/>
      <c r="NKX754" s="3796"/>
      <c r="NKY754" s="3796"/>
      <c r="NKZ754" s="3796"/>
      <c r="NLA754" s="3796"/>
      <c r="NLB754" s="3796"/>
      <c r="NLC754" s="3796"/>
      <c r="NLD754" s="3796"/>
      <c r="NLE754" s="3796"/>
      <c r="NLF754" s="3796"/>
      <c r="NLG754" s="3796"/>
      <c r="NLH754" s="3796"/>
      <c r="NLI754" s="3796"/>
      <c r="NLJ754" s="3796"/>
      <c r="NLK754" s="3796"/>
      <c r="NLL754" s="3796"/>
      <c r="NLM754" s="3796"/>
      <c r="NLN754" s="3796"/>
      <c r="NLO754" s="3796"/>
      <c r="NLP754" s="3796"/>
      <c r="NLQ754" s="3796"/>
      <c r="NLR754" s="3796"/>
      <c r="NLS754" s="3796"/>
      <c r="NLT754" s="3796"/>
      <c r="NLU754" s="3796"/>
      <c r="NLV754" s="3796"/>
      <c r="NLW754" s="3796"/>
      <c r="NLX754" s="3796"/>
      <c r="NLY754" s="3796"/>
      <c r="NLZ754" s="3796"/>
      <c r="NMA754" s="3796"/>
      <c r="NMB754" s="3796"/>
      <c r="NMC754" s="3796"/>
      <c r="NMD754" s="3796"/>
      <c r="NME754" s="3796"/>
      <c r="NMF754" s="3796"/>
      <c r="NMG754" s="3796"/>
      <c r="NMH754" s="3796"/>
      <c r="NMI754" s="3796"/>
      <c r="NMJ754" s="3796"/>
      <c r="NMK754" s="3796"/>
      <c r="NML754" s="3796"/>
      <c r="NMM754" s="3796"/>
      <c r="NMN754" s="3796"/>
      <c r="NMO754" s="3796"/>
      <c r="NMP754" s="3796"/>
      <c r="NMQ754" s="3796"/>
      <c r="NMR754" s="3796"/>
      <c r="NMS754" s="3796"/>
      <c r="NMT754" s="3796"/>
      <c r="NMU754" s="3796"/>
      <c r="NMV754" s="3796"/>
      <c r="NMW754" s="3796"/>
      <c r="NMX754" s="3796"/>
      <c r="NMY754" s="3796"/>
      <c r="NMZ754" s="3796"/>
      <c r="NNA754" s="3796"/>
      <c r="NNB754" s="3796"/>
      <c r="NNC754" s="3796"/>
      <c r="NND754" s="3796"/>
      <c r="NNE754" s="3796"/>
      <c r="NNF754" s="3796"/>
      <c r="NNG754" s="3796"/>
      <c r="NNH754" s="3796"/>
      <c r="NNI754" s="3796"/>
      <c r="NNJ754" s="3796"/>
      <c r="NNK754" s="3796"/>
      <c r="NNL754" s="3796"/>
      <c r="NNM754" s="3796"/>
      <c r="NNN754" s="3796"/>
      <c r="NNO754" s="3796"/>
      <c r="NNP754" s="3796"/>
      <c r="NNQ754" s="3796"/>
      <c r="NNR754" s="3796"/>
      <c r="NNS754" s="3796"/>
      <c r="NNT754" s="3796"/>
      <c r="NNU754" s="3796"/>
      <c r="NNV754" s="3796"/>
      <c r="NNW754" s="3796"/>
      <c r="NNX754" s="3796"/>
      <c r="NNY754" s="3796"/>
      <c r="NNZ754" s="3796"/>
      <c r="NOA754" s="3796"/>
      <c r="NOB754" s="3796"/>
      <c r="NOC754" s="3796"/>
      <c r="NOD754" s="3796"/>
      <c r="NOE754" s="3796"/>
      <c r="NOF754" s="3796"/>
      <c r="NOG754" s="3796"/>
      <c r="NOH754" s="3796"/>
      <c r="NOI754" s="3796"/>
      <c r="NOJ754" s="3796"/>
      <c r="NOK754" s="3796"/>
      <c r="NOL754" s="3796"/>
      <c r="NOM754" s="3796"/>
      <c r="NON754" s="3796"/>
      <c r="NOO754" s="3796"/>
      <c r="NOP754" s="3796"/>
      <c r="NOQ754" s="3796"/>
      <c r="NOR754" s="3796"/>
      <c r="NOS754" s="3796"/>
      <c r="NOT754" s="3796"/>
      <c r="NOU754" s="3796"/>
      <c r="NOV754" s="3796"/>
      <c r="NOW754" s="3796"/>
      <c r="NOX754" s="3796"/>
      <c r="NOY754" s="3796"/>
      <c r="NOZ754" s="3796"/>
      <c r="NPA754" s="3796"/>
      <c r="NPB754" s="3796"/>
      <c r="NPC754" s="3796"/>
      <c r="NPD754" s="3796"/>
      <c r="NPE754" s="3796"/>
      <c r="NPF754" s="3796"/>
      <c r="NPG754" s="3796"/>
      <c r="NPH754" s="3796"/>
      <c r="NPI754" s="3796"/>
      <c r="NPJ754" s="3796"/>
      <c r="NPK754" s="3796"/>
      <c r="NPL754" s="3796"/>
      <c r="NPM754" s="3796"/>
      <c r="NPN754" s="3796"/>
      <c r="NPO754" s="3796"/>
      <c r="NPP754" s="3796"/>
      <c r="NPQ754" s="3796"/>
      <c r="NPR754" s="3796"/>
      <c r="NPS754" s="3796"/>
      <c r="NPT754" s="3796"/>
      <c r="NPU754" s="3796"/>
      <c r="NPV754" s="3796"/>
      <c r="NPW754" s="3796"/>
      <c r="NPX754" s="3796"/>
      <c r="NPY754" s="3796"/>
      <c r="NPZ754" s="3796"/>
      <c r="NQA754" s="3796"/>
      <c r="NQB754" s="3796"/>
      <c r="NQC754" s="3796"/>
      <c r="NQD754" s="3796"/>
      <c r="NQE754" s="3796"/>
      <c r="NQF754" s="3796"/>
      <c r="NQG754" s="3796"/>
      <c r="NQH754" s="3796"/>
      <c r="NQI754" s="3796"/>
      <c r="NQJ754" s="3796"/>
      <c r="NQK754" s="3796"/>
      <c r="NQL754" s="3796"/>
      <c r="NQM754" s="3796"/>
      <c r="NQN754" s="3796"/>
      <c r="NQO754" s="3796"/>
      <c r="NQP754" s="3796"/>
      <c r="NQQ754" s="3796"/>
      <c r="NQR754" s="3796"/>
      <c r="NQS754" s="3796"/>
      <c r="NQT754" s="3796"/>
      <c r="NQU754" s="3796"/>
      <c r="NQV754" s="3796"/>
      <c r="NQW754" s="3796"/>
      <c r="NQX754" s="3796"/>
      <c r="NQY754" s="3796"/>
      <c r="NQZ754" s="3796"/>
      <c r="NRA754" s="3796"/>
      <c r="NRB754" s="3796"/>
      <c r="NRC754" s="3796"/>
      <c r="NRD754" s="3796"/>
      <c r="NRE754" s="3796"/>
      <c r="NRF754" s="3796"/>
      <c r="NRG754" s="3796"/>
      <c r="NRH754" s="3796"/>
      <c r="NRI754" s="3796"/>
      <c r="NRJ754" s="3796"/>
      <c r="NRK754" s="3796"/>
      <c r="NRL754" s="3796"/>
      <c r="NRM754" s="3796"/>
      <c r="NRN754" s="3796"/>
      <c r="NRO754" s="3796"/>
      <c r="NRP754" s="3796"/>
      <c r="NRQ754" s="3796"/>
      <c r="NRR754" s="3796"/>
      <c r="NRS754" s="3796"/>
      <c r="NRT754" s="3796"/>
      <c r="NRU754" s="3796"/>
      <c r="NRV754" s="3796"/>
      <c r="NRW754" s="3796"/>
      <c r="NRX754" s="3796"/>
      <c r="NRY754" s="3796"/>
      <c r="NRZ754" s="3796"/>
      <c r="NSA754" s="3796"/>
      <c r="NSB754" s="3796"/>
      <c r="NSC754" s="3796"/>
      <c r="NSD754" s="3796"/>
      <c r="NSE754" s="3796"/>
      <c r="NSF754" s="3796"/>
      <c r="NSG754" s="3796"/>
      <c r="NSH754" s="3796"/>
      <c r="NSI754" s="3796"/>
      <c r="NSJ754" s="3796"/>
      <c r="NSK754" s="3796"/>
      <c r="NSL754" s="3796"/>
      <c r="NSM754" s="3796"/>
      <c r="NSN754" s="3796"/>
      <c r="NSO754" s="3796"/>
      <c r="NSP754" s="3796"/>
      <c r="NSQ754" s="3796"/>
      <c r="NSR754" s="3796"/>
      <c r="NSS754" s="3796"/>
      <c r="NST754" s="3796"/>
      <c r="NSU754" s="3796"/>
      <c r="NSV754" s="3796"/>
      <c r="NSW754" s="3796"/>
      <c r="NSX754" s="3796"/>
      <c r="NSY754" s="3796"/>
      <c r="NSZ754" s="3796"/>
      <c r="NTA754" s="3796"/>
      <c r="NTF754" s="3796"/>
      <c r="NTL754" s="3796"/>
      <c r="NTM754" s="3796"/>
      <c r="NTN754" s="3796"/>
      <c r="NTR754" s="3796"/>
      <c r="NTY754" s="3796"/>
      <c r="NTZ754" s="3796"/>
      <c r="NUA754" s="3796"/>
      <c r="NUB754" s="3796"/>
      <c r="NUC754" s="3796"/>
      <c r="NUD754" s="3796"/>
      <c r="NUE754" s="3796"/>
      <c r="NUF754" s="3796"/>
      <c r="NUG754" s="3796"/>
      <c r="NUH754" s="3796"/>
      <c r="NUI754" s="3796"/>
      <c r="NUJ754" s="3796"/>
      <c r="NUK754" s="3796"/>
      <c r="NUL754" s="3796"/>
      <c r="NUM754" s="3796"/>
      <c r="NUN754" s="3796"/>
      <c r="NUO754" s="3796"/>
      <c r="NUP754" s="3796"/>
      <c r="NUQ754" s="3796"/>
      <c r="NUR754" s="3796"/>
      <c r="NUS754" s="3796"/>
      <c r="NUT754" s="3796"/>
      <c r="NUU754" s="3796"/>
      <c r="NUV754" s="3796"/>
      <c r="NUW754" s="3796"/>
      <c r="NUX754" s="3796"/>
      <c r="NUY754" s="3796"/>
      <c r="NUZ754" s="3796"/>
      <c r="NVA754" s="3796"/>
      <c r="NVB754" s="3796"/>
      <c r="NVC754" s="3796"/>
      <c r="NVD754" s="3796"/>
      <c r="NVE754" s="3796"/>
      <c r="NVF754" s="3796"/>
      <c r="NVG754" s="3796"/>
      <c r="NVH754" s="3796"/>
      <c r="NVI754" s="3796"/>
      <c r="NVJ754" s="3796"/>
      <c r="NVK754" s="3796"/>
      <c r="NVL754" s="3796"/>
      <c r="NVM754" s="3796"/>
      <c r="NVN754" s="3796"/>
      <c r="NVO754" s="3796"/>
      <c r="NVP754" s="3796"/>
      <c r="NVQ754" s="3796"/>
      <c r="NVR754" s="3796"/>
      <c r="NVS754" s="3796"/>
      <c r="NVT754" s="3796"/>
      <c r="NVU754" s="3796"/>
      <c r="NVV754" s="3796"/>
      <c r="NVW754" s="3796"/>
      <c r="NVX754" s="3796"/>
      <c r="NVY754" s="3796"/>
      <c r="NVZ754" s="3796"/>
      <c r="NWA754" s="3796"/>
      <c r="NWB754" s="3796"/>
      <c r="NWC754" s="3796"/>
      <c r="NWD754" s="3796"/>
      <c r="NWE754" s="3796"/>
      <c r="NWF754" s="3796"/>
      <c r="NWG754" s="3796"/>
      <c r="NWH754" s="3796"/>
      <c r="NWI754" s="3796"/>
      <c r="NWJ754" s="3796"/>
      <c r="NWK754" s="3796"/>
      <c r="NWL754" s="3796"/>
      <c r="NWM754" s="3796"/>
      <c r="NWN754" s="3796"/>
      <c r="NWO754" s="3796"/>
      <c r="NWP754" s="3796"/>
      <c r="NWQ754" s="3796"/>
      <c r="NWR754" s="3796"/>
      <c r="NWS754" s="3796"/>
      <c r="NWT754" s="3796"/>
      <c r="NWU754" s="3796"/>
      <c r="NWV754" s="3796"/>
      <c r="NWW754" s="3796"/>
      <c r="NWX754" s="3796"/>
      <c r="NWY754" s="3796"/>
      <c r="NWZ754" s="3796"/>
      <c r="NXA754" s="3796"/>
      <c r="NXB754" s="3796"/>
      <c r="NXC754" s="3796"/>
      <c r="NXD754" s="3796"/>
      <c r="NXE754" s="3796"/>
      <c r="NXF754" s="3796"/>
      <c r="NXG754" s="3796"/>
      <c r="NXH754" s="3796"/>
      <c r="NXI754" s="3796"/>
      <c r="NXJ754" s="3796"/>
      <c r="NXK754" s="3796"/>
      <c r="NXL754" s="3796"/>
      <c r="NXM754" s="3796"/>
      <c r="NXN754" s="3796"/>
      <c r="NXO754" s="3796"/>
      <c r="NXP754" s="3796"/>
      <c r="NXQ754" s="3796"/>
      <c r="NXR754" s="3796"/>
      <c r="NXS754" s="3796"/>
      <c r="NXT754" s="3796"/>
      <c r="NXU754" s="3796"/>
      <c r="NXV754" s="3796"/>
      <c r="NXW754" s="3796"/>
      <c r="NXX754" s="3796"/>
      <c r="NXY754" s="3796"/>
      <c r="NXZ754" s="3796"/>
      <c r="NYA754" s="3796"/>
      <c r="NYB754" s="3796"/>
      <c r="NYC754" s="3796"/>
      <c r="NYD754" s="3796"/>
      <c r="NYE754" s="3796"/>
      <c r="NYF754" s="3796"/>
      <c r="NYG754" s="3796"/>
      <c r="NYH754" s="3796"/>
      <c r="NYI754" s="3796"/>
      <c r="NYJ754" s="3796"/>
      <c r="NYK754" s="3796"/>
      <c r="NYL754" s="3796"/>
      <c r="NYM754" s="3796"/>
      <c r="NYN754" s="3796"/>
      <c r="NYO754" s="3796"/>
      <c r="NYP754" s="3796"/>
      <c r="NYQ754" s="3796"/>
      <c r="NYR754" s="3796"/>
      <c r="NYS754" s="3796"/>
      <c r="NYT754" s="3796"/>
      <c r="NYU754" s="3796"/>
      <c r="NYV754" s="3796"/>
      <c r="NYW754" s="3796"/>
      <c r="NYX754" s="3796"/>
      <c r="NYY754" s="3796"/>
      <c r="NYZ754" s="3796"/>
      <c r="NZA754" s="3796"/>
      <c r="NZB754" s="3796"/>
      <c r="NZC754" s="3796"/>
      <c r="NZD754" s="3796"/>
      <c r="NZE754" s="3796"/>
      <c r="NZF754" s="3796"/>
      <c r="NZG754" s="3796"/>
      <c r="NZH754" s="3796"/>
      <c r="NZI754" s="3796"/>
      <c r="NZJ754" s="3796"/>
      <c r="NZK754" s="3796"/>
      <c r="NZL754" s="3796"/>
      <c r="NZM754" s="3796"/>
      <c r="NZN754" s="3796"/>
      <c r="NZO754" s="3796"/>
      <c r="NZP754" s="3796"/>
      <c r="NZQ754" s="3796"/>
      <c r="NZR754" s="3796"/>
      <c r="NZS754" s="3796"/>
      <c r="NZT754" s="3796"/>
      <c r="NZU754" s="3796"/>
      <c r="NZV754" s="3796"/>
      <c r="NZW754" s="3796"/>
      <c r="NZX754" s="3796"/>
      <c r="NZY754" s="3796"/>
      <c r="NZZ754" s="3796"/>
      <c r="OAA754" s="3796"/>
      <c r="OAB754" s="3796"/>
      <c r="OAC754" s="3796"/>
      <c r="OAD754" s="3796"/>
      <c r="OAE754" s="3796"/>
      <c r="OAF754" s="3796"/>
      <c r="OAG754" s="3796"/>
      <c r="OAH754" s="3796"/>
      <c r="OAI754" s="3796"/>
      <c r="OAJ754" s="3796"/>
      <c r="OAK754" s="3796"/>
      <c r="OAL754" s="3796"/>
      <c r="OAM754" s="3796"/>
      <c r="OAN754" s="3796"/>
      <c r="OAO754" s="3796"/>
      <c r="OAP754" s="3796"/>
      <c r="OAQ754" s="3796"/>
      <c r="OAR754" s="3796"/>
      <c r="OAS754" s="3796"/>
      <c r="OAT754" s="3796"/>
      <c r="OAU754" s="3796"/>
      <c r="OAV754" s="3796"/>
      <c r="OAW754" s="3796"/>
      <c r="OAX754" s="3796"/>
      <c r="OAY754" s="3796"/>
      <c r="OAZ754" s="3796"/>
      <c r="OBA754" s="3796"/>
      <c r="OBB754" s="3796"/>
      <c r="OBC754" s="3796"/>
      <c r="OBD754" s="3796"/>
      <c r="OBE754" s="3796"/>
      <c r="OBF754" s="3796"/>
      <c r="OBG754" s="3796"/>
      <c r="OBH754" s="3796"/>
      <c r="OBI754" s="3796"/>
      <c r="OBJ754" s="3796"/>
      <c r="OBK754" s="3796"/>
      <c r="OBL754" s="3796"/>
      <c r="OBM754" s="3796"/>
      <c r="OBN754" s="3796"/>
      <c r="OBO754" s="3796"/>
      <c r="OBP754" s="3796"/>
      <c r="OBQ754" s="3796"/>
      <c r="OBR754" s="3796"/>
      <c r="OBS754" s="3796"/>
      <c r="OBT754" s="3796"/>
      <c r="OBU754" s="3796"/>
      <c r="OBV754" s="3796"/>
      <c r="OBW754" s="3796"/>
      <c r="OBX754" s="3796"/>
      <c r="OBY754" s="3796"/>
      <c r="OBZ754" s="3796"/>
      <c r="OCA754" s="3796"/>
      <c r="OCB754" s="3796"/>
      <c r="OCC754" s="3796"/>
      <c r="OCD754" s="3796"/>
      <c r="OCE754" s="3796"/>
      <c r="OCF754" s="3796"/>
      <c r="OCG754" s="3796"/>
      <c r="OCH754" s="3796"/>
      <c r="OCI754" s="3796"/>
      <c r="OCJ754" s="3796"/>
      <c r="OCK754" s="3796"/>
      <c r="OCL754" s="3796"/>
      <c r="OCM754" s="3796"/>
      <c r="OCN754" s="3796"/>
      <c r="OCO754" s="3796"/>
      <c r="OCP754" s="3796"/>
      <c r="OCQ754" s="3796"/>
      <c r="OCR754" s="3796"/>
      <c r="OCS754" s="3796"/>
      <c r="OCT754" s="3796"/>
      <c r="OCU754" s="3796"/>
      <c r="OCV754" s="3796"/>
      <c r="OCW754" s="3796"/>
      <c r="ODB754" s="3796"/>
      <c r="ODH754" s="3796"/>
      <c r="ODI754" s="3796"/>
      <c r="ODJ754" s="3796"/>
      <c r="ODN754" s="3796"/>
      <c r="ODU754" s="3796"/>
      <c r="ODV754" s="3796"/>
      <c r="ODW754" s="3796"/>
      <c r="ODX754" s="3796"/>
      <c r="ODY754" s="3796"/>
      <c r="ODZ754" s="3796"/>
      <c r="OEA754" s="3796"/>
      <c r="OEB754" s="3796"/>
      <c r="OEC754" s="3796"/>
      <c r="OED754" s="3796"/>
      <c r="OEE754" s="3796"/>
      <c r="OEF754" s="3796"/>
      <c r="OEG754" s="3796"/>
      <c r="OEH754" s="3796"/>
      <c r="OEI754" s="3796"/>
      <c r="OEJ754" s="3796"/>
      <c r="OEK754" s="3796"/>
      <c r="OEL754" s="3796"/>
      <c r="OEM754" s="3796"/>
      <c r="OEN754" s="3796"/>
      <c r="OEO754" s="3796"/>
      <c r="OEP754" s="3796"/>
      <c r="OEQ754" s="3796"/>
      <c r="OER754" s="3796"/>
      <c r="OES754" s="3796"/>
      <c r="OET754" s="3796"/>
      <c r="OEU754" s="3796"/>
      <c r="OEV754" s="3796"/>
      <c r="OEW754" s="3796"/>
      <c r="OEX754" s="3796"/>
      <c r="OEY754" s="3796"/>
      <c r="OEZ754" s="3796"/>
      <c r="OFA754" s="3796"/>
      <c r="OFB754" s="3796"/>
      <c r="OFC754" s="3796"/>
      <c r="OFD754" s="3796"/>
      <c r="OFE754" s="3796"/>
      <c r="OFF754" s="3796"/>
      <c r="OFG754" s="3796"/>
      <c r="OFH754" s="3796"/>
      <c r="OFI754" s="3796"/>
      <c r="OFJ754" s="3796"/>
      <c r="OFK754" s="3796"/>
      <c r="OFL754" s="3796"/>
      <c r="OFM754" s="3796"/>
      <c r="OFN754" s="3796"/>
      <c r="OFO754" s="3796"/>
      <c r="OFP754" s="3796"/>
      <c r="OFQ754" s="3796"/>
      <c r="OFR754" s="3796"/>
      <c r="OFS754" s="3796"/>
      <c r="OFT754" s="3796"/>
      <c r="OFU754" s="3796"/>
      <c r="OFV754" s="3796"/>
      <c r="OFW754" s="3796"/>
      <c r="OFX754" s="3796"/>
      <c r="OFY754" s="3796"/>
      <c r="OFZ754" s="3796"/>
      <c r="OGA754" s="3796"/>
      <c r="OGB754" s="3796"/>
      <c r="OGC754" s="3796"/>
      <c r="OGD754" s="3796"/>
      <c r="OGE754" s="3796"/>
      <c r="OGF754" s="3796"/>
      <c r="OGG754" s="3796"/>
      <c r="OGH754" s="3796"/>
      <c r="OGI754" s="3796"/>
      <c r="OGJ754" s="3796"/>
      <c r="OGK754" s="3796"/>
      <c r="OGL754" s="3796"/>
      <c r="OGM754" s="3796"/>
      <c r="OGN754" s="3796"/>
      <c r="OGO754" s="3796"/>
      <c r="OGP754" s="3796"/>
      <c r="OGQ754" s="3796"/>
      <c r="OGR754" s="3796"/>
      <c r="OGS754" s="3796"/>
      <c r="OGT754" s="3796"/>
      <c r="OGU754" s="3796"/>
      <c r="OGV754" s="3796"/>
      <c r="OGW754" s="3796"/>
      <c r="OGX754" s="3796"/>
      <c r="OGY754" s="3796"/>
      <c r="OGZ754" s="3796"/>
      <c r="OHA754" s="3796"/>
      <c r="OHB754" s="3796"/>
      <c r="OHC754" s="3796"/>
      <c r="OHD754" s="3796"/>
      <c r="OHE754" s="3796"/>
      <c r="OHF754" s="3796"/>
      <c r="OHG754" s="3796"/>
      <c r="OHH754" s="3796"/>
      <c r="OHI754" s="3796"/>
      <c r="OHJ754" s="3796"/>
      <c r="OHK754" s="3796"/>
      <c r="OHL754" s="3796"/>
      <c r="OHM754" s="3796"/>
      <c r="OHN754" s="3796"/>
      <c r="OHO754" s="3796"/>
      <c r="OHP754" s="3796"/>
      <c r="OHQ754" s="3796"/>
      <c r="OHR754" s="3796"/>
      <c r="OHS754" s="3796"/>
      <c r="OHT754" s="3796"/>
      <c r="OHU754" s="3796"/>
      <c r="OHV754" s="3796"/>
      <c r="OHW754" s="3796"/>
      <c r="OHX754" s="3796"/>
      <c r="OHY754" s="3796"/>
      <c r="OHZ754" s="3796"/>
      <c r="OIA754" s="3796"/>
      <c r="OIB754" s="3796"/>
      <c r="OIC754" s="3796"/>
      <c r="OID754" s="3796"/>
      <c r="OIE754" s="3796"/>
      <c r="OIF754" s="3796"/>
      <c r="OIG754" s="3796"/>
      <c r="OIH754" s="3796"/>
      <c r="OII754" s="3796"/>
      <c r="OIJ754" s="3796"/>
      <c r="OIK754" s="3796"/>
      <c r="OIL754" s="3796"/>
      <c r="OIM754" s="3796"/>
      <c r="OIN754" s="3796"/>
      <c r="OIO754" s="3796"/>
      <c r="OIP754" s="3796"/>
      <c r="OIQ754" s="3796"/>
      <c r="OIR754" s="3796"/>
      <c r="OIS754" s="3796"/>
      <c r="OIT754" s="3796"/>
      <c r="OIU754" s="3796"/>
      <c r="OIV754" s="3796"/>
      <c r="OIW754" s="3796"/>
      <c r="OIX754" s="3796"/>
      <c r="OIY754" s="3796"/>
      <c r="OIZ754" s="3796"/>
      <c r="OJA754" s="3796"/>
      <c r="OJB754" s="3796"/>
      <c r="OJC754" s="3796"/>
      <c r="OJD754" s="3796"/>
      <c r="OJE754" s="3796"/>
      <c r="OJF754" s="3796"/>
      <c r="OJG754" s="3796"/>
      <c r="OJH754" s="3796"/>
      <c r="OJI754" s="3796"/>
      <c r="OJJ754" s="3796"/>
      <c r="OJK754" s="3796"/>
      <c r="OJL754" s="3796"/>
      <c r="OJM754" s="3796"/>
      <c r="OJN754" s="3796"/>
      <c r="OJO754" s="3796"/>
      <c r="OJP754" s="3796"/>
      <c r="OJQ754" s="3796"/>
      <c r="OJR754" s="3796"/>
      <c r="OJS754" s="3796"/>
      <c r="OJT754" s="3796"/>
      <c r="OJU754" s="3796"/>
      <c r="OJV754" s="3796"/>
      <c r="OJW754" s="3796"/>
      <c r="OJX754" s="3796"/>
      <c r="OJY754" s="3796"/>
      <c r="OJZ754" s="3796"/>
      <c r="OKA754" s="3796"/>
      <c r="OKB754" s="3796"/>
      <c r="OKC754" s="3796"/>
      <c r="OKD754" s="3796"/>
      <c r="OKE754" s="3796"/>
      <c r="OKF754" s="3796"/>
      <c r="OKG754" s="3796"/>
      <c r="OKH754" s="3796"/>
      <c r="OKI754" s="3796"/>
      <c r="OKJ754" s="3796"/>
      <c r="OKK754" s="3796"/>
      <c r="OKL754" s="3796"/>
      <c r="OKM754" s="3796"/>
      <c r="OKN754" s="3796"/>
      <c r="OKO754" s="3796"/>
      <c r="OKP754" s="3796"/>
      <c r="OKQ754" s="3796"/>
      <c r="OKR754" s="3796"/>
      <c r="OKS754" s="3796"/>
      <c r="OKT754" s="3796"/>
      <c r="OKU754" s="3796"/>
      <c r="OKV754" s="3796"/>
      <c r="OKW754" s="3796"/>
      <c r="OKX754" s="3796"/>
      <c r="OKY754" s="3796"/>
      <c r="OKZ754" s="3796"/>
      <c r="OLA754" s="3796"/>
      <c r="OLB754" s="3796"/>
      <c r="OLC754" s="3796"/>
      <c r="OLD754" s="3796"/>
      <c r="OLE754" s="3796"/>
      <c r="OLF754" s="3796"/>
      <c r="OLG754" s="3796"/>
      <c r="OLH754" s="3796"/>
      <c r="OLI754" s="3796"/>
      <c r="OLJ754" s="3796"/>
      <c r="OLK754" s="3796"/>
      <c r="OLL754" s="3796"/>
      <c r="OLM754" s="3796"/>
      <c r="OLN754" s="3796"/>
      <c r="OLO754" s="3796"/>
      <c r="OLP754" s="3796"/>
      <c r="OLQ754" s="3796"/>
      <c r="OLR754" s="3796"/>
      <c r="OLS754" s="3796"/>
      <c r="OLT754" s="3796"/>
      <c r="OLU754" s="3796"/>
      <c r="OLV754" s="3796"/>
      <c r="OLW754" s="3796"/>
      <c r="OLX754" s="3796"/>
      <c r="OLY754" s="3796"/>
      <c r="OLZ754" s="3796"/>
      <c r="OMA754" s="3796"/>
      <c r="OMB754" s="3796"/>
      <c r="OMC754" s="3796"/>
      <c r="OMD754" s="3796"/>
      <c r="OME754" s="3796"/>
      <c r="OMF754" s="3796"/>
      <c r="OMG754" s="3796"/>
      <c r="OMH754" s="3796"/>
      <c r="OMI754" s="3796"/>
      <c r="OMJ754" s="3796"/>
      <c r="OMK754" s="3796"/>
      <c r="OML754" s="3796"/>
      <c r="OMM754" s="3796"/>
      <c r="OMN754" s="3796"/>
      <c r="OMO754" s="3796"/>
      <c r="OMP754" s="3796"/>
      <c r="OMQ754" s="3796"/>
      <c r="OMR754" s="3796"/>
      <c r="OMS754" s="3796"/>
      <c r="OMX754" s="3796"/>
      <c r="OND754" s="3796"/>
      <c r="ONE754" s="3796"/>
      <c r="ONF754" s="3796"/>
      <c r="ONJ754" s="3796"/>
      <c r="ONQ754" s="3796"/>
      <c r="ONR754" s="3796"/>
      <c r="ONS754" s="3796"/>
      <c r="ONT754" s="3796"/>
      <c r="ONU754" s="3796"/>
      <c r="ONV754" s="3796"/>
      <c r="ONW754" s="3796"/>
      <c r="ONX754" s="3796"/>
      <c r="ONY754" s="3796"/>
      <c r="ONZ754" s="3796"/>
      <c r="OOA754" s="3796"/>
      <c r="OOB754" s="3796"/>
      <c r="OOC754" s="3796"/>
      <c r="OOD754" s="3796"/>
      <c r="OOE754" s="3796"/>
      <c r="OOF754" s="3796"/>
      <c r="OOG754" s="3796"/>
      <c r="OOH754" s="3796"/>
      <c r="OOI754" s="3796"/>
      <c r="OOJ754" s="3796"/>
      <c r="OOK754" s="3796"/>
      <c r="OOL754" s="3796"/>
      <c r="OOM754" s="3796"/>
      <c r="OON754" s="3796"/>
      <c r="OOO754" s="3796"/>
      <c r="OOP754" s="3796"/>
      <c r="OOQ754" s="3796"/>
      <c r="OOR754" s="3796"/>
      <c r="OOS754" s="3796"/>
      <c r="OOT754" s="3796"/>
      <c r="OOU754" s="3796"/>
      <c r="OOV754" s="3796"/>
      <c r="OOW754" s="3796"/>
      <c r="OOX754" s="3796"/>
      <c r="OOY754" s="3796"/>
      <c r="OOZ754" s="3796"/>
      <c r="OPA754" s="3796"/>
      <c r="OPB754" s="3796"/>
      <c r="OPC754" s="3796"/>
      <c r="OPD754" s="3796"/>
      <c r="OPE754" s="3796"/>
      <c r="OPF754" s="3796"/>
      <c r="OPG754" s="3796"/>
      <c r="OPH754" s="3796"/>
      <c r="OPI754" s="3796"/>
      <c r="OPJ754" s="3796"/>
      <c r="OPK754" s="3796"/>
      <c r="OPL754" s="3796"/>
      <c r="OPM754" s="3796"/>
      <c r="OPN754" s="3796"/>
      <c r="OPO754" s="3796"/>
      <c r="OPP754" s="3796"/>
      <c r="OPQ754" s="3796"/>
      <c r="OPR754" s="3796"/>
      <c r="OPS754" s="3796"/>
      <c r="OPT754" s="3796"/>
      <c r="OPU754" s="3796"/>
      <c r="OPV754" s="3796"/>
      <c r="OPW754" s="3796"/>
      <c r="OPX754" s="3796"/>
      <c r="OPY754" s="3796"/>
      <c r="OPZ754" s="3796"/>
      <c r="OQA754" s="3796"/>
      <c r="OQB754" s="3796"/>
      <c r="OQC754" s="3796"/>
      <c r="OQD754" s="3796"/>
      <c r="OQE754" s="3796"/>
      <c r="OQF754" s="3796"/>
      <c r="OQG754" s="3796"/>
      <c r="OQH754" s="3796"/>
      <c r="OQI754" s="3796"/>
      <c r="OQJ754" s="3796"/>
      <c r="OQK754" s="3796"/>
      <c r="OQL754" s="3796"/>
      <c r="OQM754" s="3796"/>
      <c r="OQN754" s="3796"/>
      <c r="OQO754" s="3796"/>
      <c r="OQP754" s="3796"/>
      <c r="OQQ754" s="3796"/>
      <c r="OQR754" s="3796"/>
      <c r="OQS754" s="3796"/>
      <c r="OQT754" s="3796"/>
      <c r="OQU754" s="3796"/>
      <c r="OQV754" s="3796"/>
      <c r="OQW754" s="3796"/>
      <c r="OQX754" s="3796"/>
      <c r="OQY754" s="3796"/>
      <c r="OQZ754" s="3796"/>
      <c r="ORA754" s="3796"/>
      <c r="ORB754" s="3796"/>
      <c r="ORC754" s="3796"/>
      <c r="ORD754" s="3796"/>
      <c r="ORE754" s="3796"/>
      <c r="ORF754" s="3796"/>
      <c r="ORG754" s="3796"/>
      <c r="ORH754" s="3796"/>
      <c r="ORI754" s="3796"/>
      <c r="ORJ754" s="3796"/>
      <c r="ORK754" s="3796"/>
      <c r="ORL754" s="3796"/>
      <c r="ORM754" s="3796"/>
      <c r="ORN754" s="3796"/>
      <c r="ORO754" s="3796"/>
      <c r="ORP754" s="3796"/>
      <c r="ORQ754" s="3796"/>
      <c r="ORR754" s="3796"/>
      <c r="ORS754" s="3796"/>
      <c r="ORT754" s="3796"/>
      <c r="ORU754" s="3796"/>
      <c r="ORV754" s="3796"/>
      <c r="ORW754" s="3796"/>
      <c r="ORX754" s="3796"/>
      <c r="ORY754" s="3796"/>
      <c r="ORZ754" s="3796"/>
      <c r="OSA754" s="3796"/>
      <c r="OSB754" s="3796"/>
      <c r="OSC754" s="3796"/>
      <c r="OSD754" s="3796"/>
      <c r="OSE754" s="3796"/>
      <c r="OSF754" s="3796"/>
      <c r="OSG754" s="3796"/>
      <c r="OSH754" s="3796"/>
      <c r="OSI754" s="3796"/>
      <c r="OSJ754" s="3796"/>
      <c r="OSK754" s="3796"/>
      <c r="OSL754" s="3796"/>
      <c r="OSM754" s="3796"/>
      <c r="OSN754" s="3796"/>
      <c r="OSO754" s="3796"/>
      <c r="OSP754" s="3796"/>
      <c r="OSQ754" s="3796"/>
      <c r="OSR754" s="3796"/>
      <c r="OSS754" s="3796"/>
      <c r="OST754" s="3796"/>
      <c r="OSU754" s="3796"/>
      <c r="OSV754" s="3796"/>
      <c r="OSW754" s="3796"/>
      <c r="OSX754" s="3796"/>
      <c r="OSY754" s="3796"/>
      <c r="OSZ754" s="3796"/>
      <c r="OTA754" s="3796"/>
      <c r="OTB754" s="3796"/>
      <c r="OTC754" s="3796"/>
      <c r="OTD754" s="3796"/>
      <c r="OTE754" s="3796"/>
      <c r="OTF754" s="3796"/>
      <c r="OTG754" s="3796"/>
      <c r="OTH754" s="3796"/>
      <c r="OTI754" s="3796"/>
      <c r="OTJ754" s="3796"/>
      <c r="OTK754" s="3796"/>
      <c r="OTL754" s="3796"/>
      <c r="OTM754" s="3796"/>
      <c r="OTN754" s="3796"/>
      <c r="OTO754" s="3796"/>
      <c r="OTP754" s="3796"/>
      <c r="OTQ754" s="3796"/>
      <c r="OTR754" s="3796"/>
      <c r="OTS754" s="3796"/>
      <c r="OTT754" s="3796"/>
      <c r="OTU754" s="3796"/>
      <c r="OTV754" s="3796"/>
      <c r="OTW754" s="3796"/>
      <c r="OTX754" s="3796"/>
      <c r="OTY754" s="3796"/>
      <c r="OTZ754" s="3796"/>
      <c r="OUA754" s="3796"/>
      <c r="OUB754" s="3796"/>
      <c r="OUC754" s="3796"/>
      <c r="OUD754" s="3796"/>
      <c r="OUE754" s="3796"/>
      <c r="OUF754" s="3796"/>
      <c r="OUG754" s="3796"/>
      <c r="OUH754" s="3796"/>
      <c r="OUI754" s="3796"/>
      <c r="OUJ754" s="3796"/>
      <c r="OUK754" s="3796"/>
      <c r="OUL754" s="3796"/>
      <c r="OUM754" s="3796"/>
      <c r="OUN754" s="3796"/>
      <c r="OUO754" s="3796"/>
      <c r="OUP754" s="3796"/>
      <c r="OUQ754" s="3796"/>
      <c r="OUR754" s="3796"/>
      <c r="OUS754" s="3796"/>
      <c r="OUT754" s="3796"/>
      <c r="OUU754" s="3796"/>
      <c r="OUV754" s="3796"/>
      <c r="OUW754" s="3796"/>
      <c r="OUX754" s="3796"/>
      <c r="OUY754" s="3796"/>
      <c r="OUZ754" s="3796"/>
      <c r="OVA754" s="3796"/>
      <c r="OVB754" s="3796"/>
      <c r="OVC754" s="3796"/>
      <c r="OVD754" s="3796"/>
      <c r="OVE754" s="3796"/>
      <c r="OVF754" s="3796"/>
      <c r="OVG754" s="3796"/>
      <c r="OVH754" s="3796"/>
      <c r="OVI754" s="3796"/>
      <c r="OVJ754" s="3796"/>
      <c r="OVK754" s="3796"/>
      <c r="OVL754" s="3796"/>
      <c r="OVM754" s="3796"/>
      <c r="OVN754" s="3796"/>
      <c r="OVO754" s="3796"/>
      <c r="OVP754" s="3796"/>
      <c r="OVQ754" s="3796"/>
      <c r="OVR754" s="3796"/>
      <c r="OVS754" s="3796"/>
      <c r="OVT754" s="3796"/>
      <c r="OVU754" s="3796"/>
      <c r="OVV754" s="3796"/>
      <c r="OVW754" s="3796"/>
      <c r="OVX754" s="3796"/>
      <c r="OVY754" s="3796"/>
      <c r="OVZ754" s="3796"/>
      <c r="OWA754" s="3796"/>
      <c r="OWB754" s="3796"/>
      <c r="OWC754" s="3796"/>
      <c r="OWD754" s="3796"/>
      <c r="OWE754" s="3796"/>
      <c r="OWF754" s="3796"/>
      <c r="OWG754" s="3796"/>
      <c r="OWH754" s="3796"/>
      <c r="OWI754" s="3796"/>
      <c r="OWJ754" s="3796"/>
      <c r="OWK754" s="3796"/>
      <c r="OWL754" s="3796"/>
      <c r="OWM754" s="3796"/>
      <c r="OWN754" s="3796"/>
      <c r="OWO754" s="3796"/>
      <c r="OWT754" s="3796"/>
      <c r="OWZ754" s="3796"/>
      <c r="OXA754" s="3796"/>
      <c r="OXB754" s="3796"/>
      <c r="OXF754" s="3796"/>
      <c r="OXM754" s="3796"/>
      <c r="OXN754" s="3796"/>
      <c r="OXO754" s="3796"/>
      <c r="OXP754" s="3796"/>
      <c r="OXQ754" s="3796"/>
      <c r="OXR754" s="3796"/>
      <c r="OXS754" s="3796"/>
      <c r="OXT754" s="3796"/>
      <c r="OXU754" s="3796"/>
      <c r="OXV754" s="3796"/>
      <c r="OXW754" s="3796"/>
      <c r="OXX754" s="3796"/>
      <c r="OXY754" s="3796"/>
      <c r="OXZ754" s="3796"/>
      <c r="OYA754" s="3796"/>
      <c r="OYB754" s="3796"/>
      <c r="OYC754" s="3796"/>
      <c r="OYD754" s="3796"/>
      <c r="OYE754" s="3796"/>
      <c r="OYF754" s="3796"/>
      <c r="OYG754" s="3796"/>
      <c r="OYH754" s="3796"/>
      <c r="OYI754" s="3796"/>
      <c r="OYJ754" s="3796"/>
      <c r="OYK754" s="3796"/>
      <c r="OYL754" s="3796"/>
      <c r="OYM754" s="3796"/>
      <c r="OYN754" s="3796"/>
      <c r="OYO754" s="3796"/>
      <c r="OYP754" s="3796"/>
      <c r="OYQ754" s="3796"/>
      <c r="OYR754" s="3796"/>
      <c r="OYS754" s="3796"/>
      <c r="OYT754" s="3796"/>
      <c r="OYU754" s="3796"/>
      <c r="OYV754" s="3796"/>
      <c r="OYW754" s="3796"/>
      <c r="OYX754" s="3796"/>
      <c r="OYY754" s="3796"/>
      <c r="OYZ754" s="3796"/>
      <c r="OZA754" s="3796"/>
      <c r="OZB754" s="3796"/>
      <c r="OZC754" s="3796"/>
      <c r="OZD754" s="3796"/>
      <c r="OZE754" s="3796"/>
      <c r="OZF754" s="3796"/>
      <c r="OZG754" s="3796"/>
      <c r="OZH754" s="3796"/>
      <c r="OZI754" s="3796"/>
      <c r="OZJ754" s="3796"/>
      <c r="OZK754" s="3796"/>
      <c r="OZL754" s="3796"/>
      <c r="OZM754" s="3796"/>
      <c r="OZN754" s="3796"/>
      <c r="OZO754" s="3796"/>
      <c r="OZP754" s="3796"/>
      <c r="OZQ754" s="3796"/>
      <c r="OZR754" s="3796"/>
      <c r="OZS754" s="3796"/>
      <c r="OZT754" s="3796"/>
      <c r="OZU754" s="3796"/>
      <c r="OZV754" s="3796"/>
      <c r="OZW754" s="3796"/>
      <c r="OZX754" s="3796"/>
      <c r="OZY754" s="3796"/>
      <c r="OZZ754" s="3796"/>
      <c r="PAA754" s="3796"/>
      <c r="PAB754" s="3796"/>
      <c r="PAC754" s="3796"/>
      <c r="PAD754" s="3796"/>
      <c r="PAE754" s="3796"/>
      <c r="PAF754" s="3796"/>
      <c r="PAG754" s="3796"/>
      <c r="PAH754" s="3796"/>
      <c r="PAI754" s="3796"/>
      <c r="PAJ754" s="3796"/>
      <c r="PAK754" s="3796"/>
      <c r="PAL754" s="3796"/>
      <c r="PAM754" s="3796"/>
      <c r="PAN754" s="3796"/>
      <c r="PAO754" s="3796"/>
      <c r="PAP754" s="3796"/>
      <c r="PAQ754" s="3796"/>
      <c r="PAR754" s="3796"/>
      <c r="PAS754" s="3796"/>
      <c r="PAT754" s="3796"/>
      <c r="PAU754" s="3796"/>
      <c r="PAV754" s="3796"/>
      <c r="PAW754" s="3796"/>
      <c r="PAX754" s="3796"/>
      <c r="PAY754" s="3796"/>
      <c r="PAZ754" s="3796"/>
      <c r="PBA754" s="3796"/>
      <c r="PBB754" s="3796"/>
      <c r="PBC754" s="3796"/>
      <c r="PBD754" s="3796"/>
      <c r="PBE754" s="3796"/>
      <c r="PBF754" s="3796"/>
      <c r="PBG754" s="3796"/>
      <c r="PBH754" s="3796"/>
      <c r="PBI754" s="3796"/>
      <c r="PBJ754" s="3796"/>
      <c r="PBK754" s="3796"/>
      <c r="PBL754" s="3796"/>
      <c r="PBM754" s="3796"/>
      <c r="PBN754" s="3796"/>
      <c r="PBO754" s="3796"/>
      <c r="PBP754" s="3796"/>
      <c r="PBQ754" s="3796"/>
      <c r="PBR754" s="3796"/>
      <c r="PBS754" s="3796"/>
      <c r="PBT754" s="3796"/>
      <c r="PBU754" s="3796"/>
      <c r="PBV754" s="3796"/>
      <c r="PBW754" s="3796"/>
      <c r="PBX754" s="3796"/>
      <c r="PBY754" s="3796"/>
      <c r="PBZ754" s="3796"/>
      <c r="PCA754" s="3796"/>
      <c r="PCB754" s="3796"/>
      <c r="PCC754" s="3796"/>
      <c r="PCD754" s="3796"/>
      <c r="PCE754" s="3796"/>
      <c r="PCF754" s="3796"/>
      <c r="PCG754" s="3796"/>
      <c r="PCH754" s="3796"/>
      <c r="PCI754" s="3796"/>
      <c r="PCJ754" s="3796"/>
      <c r="PCK754" s="3796"/>
      <c r="PCL754" s="3796"/>
      <c r="PCM754" s="3796"/>
      <c r="PCN754" s="3796"/>
      <c r="PCO754" s="3796"/>
      <c r="PCP754" s="3796"/>
      <c r="PCQ754" s="3796"/>
      <c r="PCR754" s="3796"/>
      <c r="PCS754" s="3796"/>
      <c r="PCT754" s="3796"/>
      <c r="PCU754" s="3796"/>
      <c r="PCV754" s="3796"/>
      <c r="PCW754" s="3796"/>
      <c r="PCX754" s="3796"/>
      <c r="PCY754" s="3796"/>
      <c r="PCZ754" s="3796"/>
      <c r="PDA754" s="3796"/>
      <c r="PDB754" s="3796"/>
      <c r="PDC754" s="3796"/>
      <c r="PDD754" s="3796"/>
      <c r="PDE754" s="3796"/>
      <c r="PDF754" s="3796"/>
      <c r="PDG754" s="3796"/>
      <c r="PDH754" s="3796"/>
      <c r="PDI754" s="3796"/>
      <c r="PDJ754" s="3796"/>
      <c r="PDK754" s="3796"/>
      <c r="PDL754" s="3796"/>
      <c r="PDM754" s="3796"/>
      <c r="PDN754" s="3796"/>
      <c r="PDO754" s="3796"/>
      <c r="PDP754" s="3796"/>
      <c r="PDQ754" s="3796"/>
      <c r="PDR754" s="3796"/>
      <c r="PDS754" s="3796"/>
      <c r="PDT754" s="3796"/>
      <c r="PDU754" s="3796"/>
      <c r="PDV754" s="3796"/>
      <c r="PDW754" s="3796"/>
      <c r="PDX754" s="3796"/>
      <c r="PDY754" s="3796"/>
      <c r="PDZ754" s="3796"/>
      <c r="PEA754" s="3796"/>
      <c r="PEB754" s="3796"/>
      <c r="PEC754" s="3796"/>
      <c r="PED754" s="3796"/>
      <c r="PEE754" s="3796"/>
      <c r="PEF754" s="3796"/>
      <c r="PEG754" s="3796"/>
      <c r="PEH754" s="3796"/>
      <c r="PEI754" s="3796"/>
      <c r="PEJ754" s="3796"/>
      <c r="PEK754" s="3796"/>
      <c r="PEL754" s="3796"/>
      <c r="PEM754" s="3796"/>
      <c r="PEN754" s="3796"/>
      <c r="PEO754" s="3796"/>
      <c r="PEP754" s="3796"/>
      <c r="PEQ754" s="3796"/>
      <c r="PER754" s="3796"/>
      <c r="PES754" s="3796"/>
      <c r="PET754" s="3796"/>
      <c r="PEU754" s="3796"/>
      <c r="PEV754" s="3796"/>
      <c r="PEW754" s="3796"/>
      <c r="PEX754" s="3796"/>
      <c r="PEY754" s="3796"/>
      <c r="PEZ754" s="3796"/>
      <c r="PFA754" s="3796"/>
      <c r="PFB754" s="3796"/>
      <c r="PFC754" s="3796"/>
      <c r="PFD754" s="3796"/>
      <c r="PFE754" s="3796"/>
      <c r="PFF754" s="3796"/>
      <c r="PFG754" s="3796"/>
      <c r="PFH754" s="3796"/>
      <c r="PFI754" s="3796"/>
      <c r="PFJ754" s="3796"/>
      <c r="PFK754" s="3796"/>
      <c r="PFL754" s="3796"/>
      <c r="PFM754" s="3796"/>
      <c r="PFN754" s="3796"/>
      <c r="PFO754" s="3796"/>
      <c r="PFP754" s="3796"/>
      <c r="PFQ754" s="3796"/>
      <c r="PFR754" s="3796"/>
      <c r="PFS754" s="3796"/>
      <c r="PFT754" s="3796"/>
      <c r="PFU754" s="3796"/>
      <c r="PFV754" s="3796"/>
      <c r="PFW754" s="3796"/>
      <c r="PFX754" s="3796"/>
      <c r="PFY754" s="3796"/>
      <c r="PFZ754" s="3796"/>
      <c r="PGA754" s="3796"/>
      <c r="PGB754" s="3796"/>
      <c r="PGC754" s="3796"/>
      <c r="PGD754" s="3796"/>
      <c r="PGE754" s="3796"/>
      <c r="PGF754" s="3796"/>
      <c r="PGG754" s="3796"/>
      <c r="PGH754" s="3796"/>
      <c r="PGI754" s="3796"/>
      <c r="PGJ754" s="3796"/>
      <c r="PGK754" s="3796"/>
      <c r="PGP754" s="3796"/>
      <c r="PGV754" s="3796"/>
      <c r="PGW754" s="3796"/>
      <c r="PGX754" s="3796"/>
      <c r="PHB754" s="3796"/>
      <c r="PHI754" s="3796"/>
      <c r="PHJ754" s="3796"/>
      <c r="PHK754" s="3796"/>
      <c r="PHL754" s="3796"/>
      <c r="PHM754" s="3796"/>
      <c r="PHN754" s="3796"/>
      <c r="PHO754" s="3796"/>
      <c r="PHP754" s="3796"/>
      <c r="PHQ754" s="3796"/>
      <c r="PHR754" s="3796"/>
      <c r="PHS754" s="3796"/>
      <c r="PHT754" s="3796"/>
      <c r="PHU754" s="3796"/>
      <c r="PHV754" s="3796"/>
      <c r="PHW754" s="3796"/>
      <c r="PHX754" s="3796"/>
      <c r="PHY754" s="3796"/>
      <c r="PHZ754" s="3796"/>
      <c r="PIA754" s="3796"/>
      <c r="PIB754" s="3796"/>
      <c r="PIC754" s="3796"/>
      <c r="PID754" s="3796"/>
      <c r="PIE754" s="3796"/>
      <c r="PIF754" s="3796"/>
      <c r="PIG754" s="3796"/>
      <c r="PIH754" s="3796"/>
      <c r="PII754" s="3796"/>
      <c r="PIJ754" s="3796"/>
      <c r="PIK754" s="3796"/>
      <c r="PIL754" s="3796"/>
      <c r="PIM754" s="3796"/>
      <c r="PIN754" s="3796"/>
      <c r="PIO754" s="3796"/>
      <c r="PIP754" s="3796"/>
      <c r="PIQ754" s="3796"/>
      <c r="PIR754" s="3796"/>
      <c r="PIS754" s="3796"/>
      <c r="PIT754" s="3796"/>
      <c r="PIU754" s="3796"/>
      <c r="PIV754" s="3796"/>
      <c r="PIW754" s="3796"/>
      <c r="PIX754" s="3796"/>
      <c r="PIY754" s="3796"/>
      <c r="PIZ754" s="3796"/>
      <c r="PJA754" s="3796"/>
      <c r="PJB754" s="3796"/>
      <c r="PJC754" s="3796"/>
      <c r="PJD754" s="3796"/>
      <c r="PJE754" s="3796"/>
      <c r="PJF754" s="3796"/>
      <c r="PJG754" s="3796"/>
      <c r="PJH754" s="3796"/>
      <c r="PJI754" s="3796"/>
      <c r="PJJ754" s="3796"/>
      <c r="PJK754" s="3796"/>
      <c r="PJL754" s="3796"/>
      <c r="PJM754" s="3796"/>
      <c r="PJN754" s="3796"/>
      <c r="PJO754" s="3796"/>
      <c r="PJP754" s="3796"/>
      <c r="PJQ754" s="3796"/>
      <c r="PJR754" s="3796"/>
      <c r="PJS754" s="3796"/>
      <c r="PJT754" s="3796"/>
      <c r="PJU754" s="3796"/>
      <c r="PJV754" s="3796"/>
      <c r="PJW754" s="3796"/>
      <c r="PJX754" s="3796"/>
      <c r="PJY754" s="3796"/>
      <c r="PJZ754" s="3796"/>
      <c r="PKA754" s="3796"/>
      <c r="PKB754" s="3796"/>
      <c r="PKC754" s="3796"/>
      <c r="PKD754" s="3796"/>
      <c r="PKE754" s="3796"/>
      <c r="PKF754" s="3796"/>
      <c r="PKG754" s="3796"/>
      <c r="PKH754" s="3796"/>
      <c r="PKI754" s="3796"/>
      <c r="PKJ754" s="3796"/>
      <c r="PKK754" s="3796"/>
      <c r="PKL754" s="3796"/>
      <c r="PKM754" s="3796"/>
      <c r="PKN754" s="3796"/>
      <c r="PKO754" s="3796"/>
      <c r="PKP754" s="3796"/>
      <c r="PKQ754" s="3796"/>
      <c r="PKR754" s="3796"/>
      <c r="PKS754" s="3796"/>
      <c r="PKT754" s="3796"/>
      <c r="PKU754" s="3796"/>
      <c r="PKV754" s="3796"/>
      <c r="PKW754" s="3796"/>
      <c r="PKX754" s="3796"/>
      <c r="PKY754" s="3796"/>
      <c r="PKZ754" s="3796"/>
      <c r="PLA754" s="3796"/>
      <c r="PLB754" s="3796"/>
      <c r="PLC754" s="3796"/>
      <c r="PLD754" s="3796"/>
      <c r="PLE754" s="3796"/>
      <c r="PLF754" s="3796"/>
      <c r="PLG754" s="3796"/>
      <c r="PLH754" s="3796"/>
      <c r="PLI754" s="3796"/>
      <c r="PLJ754" s="3796"/>
      <c r="PLK754" s="3796"/>
      <c r="PLL754" s="3796"/>
      <c r="PLM754" s="3796"/>
      <c r="PLN754" s="3796"/>
      <c r="PLO754" s="3796"/>
      <c r="PLP754" s="3796"/>
      <c r="PLQ754" s="3796"/>
      <c r="PLR754" s="3796"/>
      <c r="PLS754" s="3796"/>
      <c r="PLT754" s="3796"/>
      <c r="PLU754" s="3796"/>
      <c r="PLV754" s="3796"/>
      <c r="PLW754" s="3796"/>
      <c r="PLX754" s="3796"/>
      <c r="PLY754" s="3796"/>
      <c r="PLZ754" s="3796"/>
      <c r="PMA754" s="3796"/>
      <c r="PMB754" s="3796"/>
      <c r="PMC754" s="3796"/>
      <c r="PMD754" s="3796"/>
      <c r="PME754" s="3796"/>
      <c r="PMF754" s="3796"/>
      <c r="PMG754" s="3796"/>
      <c r="PMH754" s="3796"/>
      <c r="PMI754" s="3796"/>
      <c r="PMJ754" s="3796"/>
      <c r="PMK754" s="3796"/>
      <c r="PML754" s="3796"/>
      <c r="PMM754" s="3796"/>
      <c r="PMN754" s="3796"/>
      <c r="PMO754" s="3796"/>
      <c r="PMP754" s="3796"/>
      <c r="PMQ754" s="3796"/>
      <c r="PMR754" s="3796"/>
      <c r="PMS754" s="3796"/>
      <c r="PMT754" s="3796"/>
      <c r="PMU754" s="3796"/>
      <c r="PMV754" s="3796"/>
      <c r="PMW754" s="3796"/>
      <c r="PMX754" s="3796"/>
      <c r="PMY754" s="3796"/>
      <c r="PMZ754" s="3796"/>
      <c r="PNA754" s="3796"/>
      <c r="PNB754" s="3796"/>
      <c r="PNC754" s="3796"/>
      <c r="PND754" s="3796"/>
      <c r="PNE754" s="3796"/>
      <c r="PNF754" s="3796"/>
      <c r="PNG754" s="3796"/>
      <c r="PNH754" s="3796"/>
      <c r="PNI754" s="3796"/>
      <c r="PNJ754" s="3796"/>
      <c r="PNK754" s="3796"/>
      <c r="PNL754" s="3796"/>
      <c r="PNM754" s="3796"/>
      <c r="PNN754" s="3796"/>
      <c r="PNO754" s="3796"/>
      <c r="PNP754" s="3796"/>
      <c r="PNQ754" s="3796"/>
      <c r="PNR754" s="3796"/>
      <c r="PNS754" s="3796"/>
      <c r="PNT754" s="3796"/>
      <c r="PNU754" s="3796"/>
      <c r="PNV754" s="3796"/>
      <c r="PNW754" s="3796"/>
      <c r="PNX754" s="3796"/>
      <c r="PNY754" s="3796"/>
      <c r="PNZ754" s="3796"/>
      <c r="POA754" s="3796"/>
      <c r="POB754" s="3796"/>
      <c r="POC754" s="3796"/>
      <c r="POD754" s="3796"/>
      <c r="POE754" s="3796"/>
      <c r="POF754" s="3796"/>
      <c r="POG754" s="3796"/>
      <c r="POH754" s="3796"/>
      <c r="POI754" s="3796"/>
      <c r="POJ754" s="3796"/>
      <c r="POK754" s="3796"/>
      <c r="POL754" s="3796"/>
      <c r="POM754" s="3796"/>
      <c r="PON754" s="3796"/>
      <c r="POO754" s="3796"/>
      <c r="POP754" s="3796"/>
      <c r="POQ754" s="3796"/>
      <c r="POR754" s="3796"/>
      <c r="POS754" s="3796"/>
      <c r="POT754" s="3796"/>
      <c r="POU754" s="3796"/>
      <c r="POV754" s="3796"/>
      <c r="POW754" s="3796"/>
      <c r="POX754" s="3796"/>
      <c r="POY754" s="3796"/>
      <c r="POZ754" s="3796"/>
      <c r="PPA754" s="3796"/>
      <c r="PPB754" s="3796"/>
      <c r="PPC754" s="3796"/>
      <c r="PPD754" s="3796"/>
      <c r="PPE754" s="3796"/>
      <c r="PPF754" s="3796"/>
      <c r="PPG754" s="3796"/>
      <c r="PPH754" s="3796"/>
      <c r="PPI754" s="3796"/>
      <c r="PPJ754" s="3796"/>
      <c r="PPK754" s="3796"/>
      <c r="PPL754" s="3796"/>
      <c r="PPM754" s="3796"/>
      <c r="PPN754" s="3796"/>
      <c r="PPO754" s="3796"/>
      <c r="PPP754" s="3796"/>
      <c r="PPQ754" s="3796"/>
      <c r="PPR754" s="3796"/>
      <c r="PPS754" s="3796"/>
      <c r="PPT754" s="3796"/>
      <c r="PPU754" s="3796"/>
      <c r="PPV754" s="3796"/>
      <c r="PPW754" s="3796"/>
      <c r="PPX754" s="3796"/>
      <c r="PPY754" s="3796"/>
      <c r="PPZ754" s="3796"/>
      <c r="PQA754" s="3796"/>
      <c r="PQB754" s="3796"/>
      <c r="PQC754" s="3796"/>
      <c r="PQD754" s="3796"/>
      <c r="PQE754" s="3796"/>
      <c r="PQF754" s="3796"/>
      <c r="PQG754" s="3796"/>
      <c r="PQL754" s="3796"/>
      <c r="PQR754" s="3796"/>
      <c r="PQS754" s="3796"/>
      <c r="PQT754" s="3796"/>
      <c r="PQX754" s="3796"/>
      <c r="PRE754" s="3796"/>
      <c r="PRF754" s="3796"/>
      <c r="PRG754" s="3796"/>
      <c r="PRH754" s="3796"/>
      <c r="PRI754" s="3796"/>
      <c r="PRJ754" s="3796"/>
      <c r="PRK754" s="3796"/>
      <c r="PRL754" s="3796"/>
      <c r="PRM754" s="3796"/>
      <c r="PRN754" s="3796"/>
      <c r="PRO754" s="3796"/>
      <c r="PRP754" s="3796"/>
      <c r="PRQ754" s="3796"/>
      <c r="PRR754" s="3796"/>
      <c r="PRS754" s="3796"/>
      <c r="PRT754" s="3796"/>
      <c r="PRU754" s="3796"/>
      <c r="PRV754" s="3796"/>
      <c r="PRW754" s="3796"/>
      <c r="PRX754" s="3796"/>
      <c r="PRY754" s="3796"/>
      <c r="PRZ754" s="3796"/>
      <c r="PSA754" s="3796"/>
      <c r="PSB754" s="3796"/>
      <c r="PSC754" s="3796"/>
      <c r="PSD754" s="3796"/>
      <c r="PSE754" s="3796"/>
      <c r="PSF754" s="3796"/>
      <c r="PSG754" s="3796"/>
      <c r="PSH754" s="3796"/>
      <c r="PSI754" s="3796"/>
      <c r="PSJ754" s="3796"/>
      <c r="PSK754" s="3796"/>
      <c r="PSL754" s="3796"/>
      <c r="PSM754" s="3796"/>
      <c r="PSN754" s="3796"/>
      <c r="PSO754" s="3796"/>
      <c r="PSP754" s="3796"/>
      <c r="PSQ754" s="3796"/>
      <c r="PSR754" s="3796"/>
      <c r="PSS754" s="3796"/>
      <c r="PST754" s="3796"/>
      <c r="PSU754" s="3796"/>
      <c r="PSV754" s="3796"/>
      <c r="PSW754" s="3796"/>
      <c r="PSX754" s="3796"/>
      <c r="PSY754" s="3796"/>
      <c r="PSZ754" s="3796"/>
      <c r="PTA754" s="3796"/>
      <c r="PTB754" s="3796"/>
      <c r="PTC754" s="3796"/>
      <c r="PTD754" s="3796"/>
      <c r="PTE754" s="3796"/>
      <c r="PTF754" s="3796"/>
      <c r="PTG754" s="3796"/>
      <c r="PTH754" s="3796"/>
      <c r="PTI754" s="3796"/>
      <c r="PTJ754" s="3796"/>
      <c r="PTK754" s="3796"/>
      <c r="PTL754" s="3796"/>
      <c r="PTM754" s="3796"/>
      <c r="PTN754" s="3796"/>
      <c r="PTO754" s="3796"/>
      <c r="PTP754" s="3796"/>
      <c r="PTQ754" s="3796"/>
      <c r="PTR754" s="3796"/>
      <c r="PTS754" s="3796"/>
      <c r="PTT754" s="3796"/>
      <c r="PTU754" s="3796"/>
      <c r="PTV754" s="3796"/>
      <c r="PTW754" s="3796"/>
      <c r="PTX754" s="3796"/>
      <c r="PTY754" s="3796"/>
      <c r="PTZ754" s="3796"/>
      <c r="PUA754" s="3796"/>
      <c r="PUB754" s="3796"/>
      <c r="PUC754" s="3796"/>
      <c r="PUD754" s="3796"/>
      <c r="PUE754" s="3796"/>
      <c r="PUF754" s="3796"/>
      <c r="PUG754" s="3796"/>
      <c r="PUH754" s="3796"/>
      <c r="PUI754" s="3796"/>
      <c r="PUJ754" s="3796"/>
      <c r="PUK754" s="3796"/>
      <c r="PUL754" s="3796"/>
      <c r="PUM754" s="3796"/>
      <c r="PUN754" s="3796"/>
      <c r="PUO754" s="3796"/>
      <c r="PUP754" s="3796"/>
      <c r="PUQ754" s="3796"/>
      <c r="PUR754" s="3796"/>
      <c r="PUS754" s="3796"/>
      <c r="PUT754" s="3796"/>
      <c r="PUU754" s="3796"/>
      <c r="PUV754" s="3796"/>
      <c r="PUW754" s="3796"/>
      <c r="PUX754" s="3796"/>
      <c r="PUY754" s="3796"/>
      <c r="PUZ754" s="3796"/>
      <c r="PVA754" s="3796"/>
      <c r="PVB754" s="3796"/>
      <c r="PVC754" s="3796"/>
      <c r="PVD754" s="3796"/>
      <c r="PVE754" s="3796"/>
      <c r="PVF754" s="3796"/>
      <c r="PVG754" s="3796"/>
      <c r="PVH754" s="3796"/>
      <c r="PVI754" s="3796"/>
      <c r="PVJ754" s="3796"/>
      <c r="PVK754" s="3796"/>
      <c r="PVL754" s="3796"/>
      <c r="PVM754" s="3796"/>
      <c r="PVN754" s="3796"/>
      <c r="PVO754" s="3796"/>
      <c r="PVP754" s="3796"/>
      <c r="PVQ754" s="3796"/>
      <c r="PVR754" s="3796"/>
      <c r="PVS754" s="3796"/>
      <c r="PVT754" s="3796"/>
      <c r="PVU754" s="3796"/>
      <c r="PVV754" s="3796"/>
      <c r="PVW754" s="3796"/>
      <c r="PVX754" s="3796"/>
      <c r="PVY754" s="3796"/>
      <c r="PVZ754" s="3796"/>
      <c r="PWA754" s="3796"/>
      <c r="PWB754" s="3796"/>
      <c r="PWC754" s="3796"/>
      <c r="PWD754" s="3796"/>
      <c r="PWE754" s="3796"/>
      <c r="PWF754" s="3796"/>
      <c r="PWG754" s="3796"/>
      <c r="PWH754" s="3796"/>
      <c r="PWI754" s="3796"/>
      <c r="PWJ754" s="3796"/>
      <c r="PWK754" s="3796"/>
      <c r="PWL754" s="3796"/>
      <c r="PWM754" s="3796"/>
      <c r="PWN754" s="3796"/>
      <c r="PWO754" s="3796"/>
      <c r="PWP754" s="3796"/>
      <c r="PWQ754" s="3796"/>
      <c r="PWR754" s="3796"/>
      <c r="PWS754" s="3796"/>
      <c r="PWT754" s="3796"/>
      <c r="PWU754" s="3796"/>
      <c r="PWV754" s="3796"/>
      <c r="PWW754" s="3796"/>
      <c r="PWX754" s="3796"/>
      <c r="PWY754" s="3796"/>
      <c r="PWZ754" s="3796"/>
      <c r="PXA754" s="3796"/>
      <c r="PXB754" s="3796"/>
      <c r="PXC754" s="3796"/>
      <c r="PXD754" s="3796"/>
      <c r="PXE754" s="3796"/>
      <c r="PXF754" s="3796"/>
      <c r="PXG754" s="3796"/>
      <c r="PXH754" s="3796"/>
      <c r="PXI754" s="3796"/>
      <c r="PXJ754" s="3796"/>
      <c r="PXK754" s="3796"/>
      <c r="PXL754" s="3796"/>
      <c r="PXM754" s="3796"/>
      <c r="PXN754" s="3796"/>
      <c r="PXO754" s="3796"/>
      <c r="PXP754" s="3796"/>
      <c r="PXQ754" s="3796"/>
      <c r="PXR754" s="3796"/>
      <c r="PXS754" s="3796"/>
      <c r="PXT754" s="3796"/>
      <c r="PXU754" s="3796"/>
      <c r="PXV754" s="3796"/>
      <c r="PXW754" s="3796"/>
      <c r="PXX754" s="3796"/>
      <c r="PXY754" s="3796"/>
      <c r="PXZ754" s="3796"/>
      <c r="PYA754" s="3796"/>
      <c r="PYB754" s="3796"/>
      <c r="PYC754" s="3796"/>
      <c r="PYD754" s="3796"/>
      <c r="PYE754" s="3796"/>
      <c r="PYF754" s="3796"/>
      <c r="PYG754" s="3796"/>
      <c r="PYH754" s="3796"/>
      <c r="PYI754" s="3796"/>
      <c r="PYJ754" s="3796"/>
      <c r="PYK754" s="3796"/>
      <c r="PYL754" s="3796"/>
      <c r="PYM754" s="3796"/>
      <c r="PYN754" s="3796"/>
      <c r="PYO754" s="3796"/>
      <c r="PYP754" s="3796"/>
      <c r="PYQ754" s="3796"/>
      <c r="PYR754" s="3796"/>
      <c r="PYS754" s="3796"/>
      <c r="PYT754" s="3796"/>
      <c r="PYU754" s="3796"/>
      <c r="PYV754" s="3796"/>
      <c r="PYW754" s="3796"/>
      <c r="PYX754" s="3796"/>
      <c r="PYY754" s="3796"/>
      <c r="PYZ754" s="3796"/>
      <c r="PZA754" s="3796"/>
      <c r="PZB754" s="3796"/>
      <c r="PZC754" s="3796"/>
      <c r="PZD754" s="3796"/>
      <c r="PZE754" s="3796"/>
      <c r="PZF754" s="3796"/>
      <c r="PZG754" s="3796"/>
      <c r="PZH754" s="3796"/>
      <c r="PZI754" s="3796"/>
      <c r="PZJ754" s="3796"/>
      <c r="PZK754" s="3796"/>
      <c r="PZL754" s="3796"/>
      <c r="PZM754" s="3796"/>
      <c r="PZN754" s="3796"/>
      <c r="PZO754" s="3796"/>
      <c r="PZP754" s="3796"/>
      <c r="PZQ754" s="3796"/>
      <c r="PZR754" s="3796"/>
      <c r="PZS754" s="3796"/>
      <c r="PZT754" s="3796"/>
      <c r="PZU754" s="3796"/>
      <c r="PZV754" s="3796"/>
      <c r="PZW754" s="3796"/>
      <c r="PZX754" s="3796"/>
      <c r="PZY754" s="3796"/>
      <c r="PZZ754" s="3796"/>
      <c r="QAA754" s="3796"/>
      <c r="QAB754" s="3796"/>
      <c r="QAC754" s="3796"/>
      <c r="QAH754" s="3796"/>
      <c r="QAN754" s="3796"/>
      <c r="QAO754" s="3796"/>
      <c r="QAP754" s="3796"/>
      <c r="QAT754" s="3796"/>
      <c r="QBA754" s="3796"/>
      <c r="QBB754" s="3796"/>
      <c r="QBC754" s="3796"/>
      <c r="QBD754" s="3796"/>
      <c r="QBE754" s="3796"/>
      <c r="QBF754" s="3796"/>
      <c r="QBG754" s="3796"/>
      <c r="QBH754" s="3796"/>
      <c r="QBI754" s="3796"/>
      <c r="QBJ754" s="3796"/>
      <c r="QBK754" s="3796"/>
      <c r="QBL754" s="3796"/>
      <c r="QBM754" s="3796"/>
      <c r="QBN754" s="3796"/>
      <c r="QBO754" s="3796"/>
      <c r="QBP754" s="3796"/>
      <c r="QBQ754" s="3796"/>
      <c r="QBR754" s="3796"/>
      <c r="QBS754" s="3796"/>
      <c r="QBT754" s="3796"/>
      <c r="QBU754" s="3796"/>
      <c r="QBV754" s="3796"/>
      <c r="QBW754" s="3796"/>
      <c r="QBX754" s="3796"/>
      <c r="QBY754" s="3796"/>
      <c r="QBZ754" s="3796"/>
      <c r="QCA754" s="3796"/>
      <c r="QCB754" s="3796"/>
      <c r="QCC754" s="3796"/>
      <c r="QCD754" s="3796"/>
      <c r="QCE754" s="3796"/>
      <c r="QCF754" s="3796"/>
      <c r="QCG754" s="3796"/>
      <c r="QCH754" s="3796"/>
      <c r="QCI754" s="3796"/>
      <c r="QCJ754" s="3796"/>
      <c r="QCK754" s="3796"/>
      <c r="QCL754" s="3796"/>
      <c r="QCM754" s="3796"/>
      <c r="QCN754" s="3796"/>
      <c r="QCO754" s="3796"/>
      <c r="QCP754" s="3796"/>
      <c r="QCQ754" s="3796"/>
      <c r="QCR754" s="3796"/>
      <c r="QCS754" s="3796"/>
      <c r="QCT754" s="3796"/>
      <c r="QCU754" s="3796"/>
      <c r="QCV754" s="3796"/>
      <c r="QCW754" s="3796"/>
      <c r="QCX754" s="3796"/>
      <c r="QCY754" s="3796"/>
      <c r="QCZ754" s="3796"/>
      <c r="QDA754" s="3796"/>
      <c r="QDB754" s="3796"/>
      <c r="QDC754" s="3796"/>
      <c r="QDD754" s="3796"/>
      <c r="QDE754" s="3796"/>
      <c r="QDF754" s="3796"/>
      <c r="QDG754" s="3796"/>
      <c r="QDH754" s="3796"/>
      <c r="QDI754" s="3796"/>
      <c r="QDJ754" s="3796"/>
      <c r="QDK754" s="3796"/>
      <c r="QDL754" s="3796"/>
      <c r="QDM754" s="3796"/>
      <c r="QDN754" s="3796"/>
      <c r="QDO754" s="3796"/>
      <c r="QDP754" s="3796"/>
      <c r="QDQ754" s="3796"/>
      <c r="QDR754" s="3796"/>
      <c r="QDS754" s="3796"/>
      <c r="QDT754" s="3796"/>
      <c r="QDU754" s="3796"/>
      <c r="QDV754" s="3796"/>
      <c r="QDW754" s="3796"/>
      <c r="QDX754" s="3796"/>
      <c r="QDY754" s="3796"/>
      <c r="QDZ754" s="3796"/>
      <c r="QEA754" s="3796"/>
      <c r="QEB754" s="3796"/>
      <c r="QEC754" s="3796"/>
      <c r="QED754" s="3796"/>
      <c r="QEE754" s="3796"/>
      <c r="QEF754" s="3796"/>
      <c r="QEG754" s="3796"/>
      <c r="QEH754" s="3796"/>
      <c r="QEI754" s="3796"/>
      <c r="QEJ754" s="3796"/>
      <c r="QEK754" s="3796"/>
      <c r="QEL754" s="3796"/>
      <c r="QEM754" s="3796"/>
      <c r="QEN754" s="3796"/>
      <c r="QEO754" s="3796"/>
      <c r="QEP754" s="3796"/>
      <c r="QEQ754" s="3796"/>
      <c r="QER754" s="3796"/>
      <c r="QES754" s="3796"/>
      <c r="QET754" s="3796"/>
      <c r="QEU754" s="3796"/>
      <c r="QEV754" s="3796"/>
      <c r="QEW754" s="3796"/>
      <c r="QEX754" s="3796"/>
      <c r="QEY754" s="3796"/>
      <c r="QEZ754" s="3796"/>
      <c r="QFA754" s="3796"/>
      <c r="QFB754" s="3796"/>
      <c r="QFC754" s="3796"/>
      <c r="QFD754" s="3796"/>
      <c r="QFE754" s="3796"/>
      <c r="QFF754" s="3796"/>
      <c r="QFG754" s="3796"/>
      <c r="QFH754" s="3796"/>
      <c r="QFI754" s="3796"/>
      <c r="QFJ754" s="3796"/>
      <c r="QFK754" s="3796"/>
      <c r="QFL754" s="3796"/>
      <c r="QFM754" s="3796"/>
      <c r="QFN754" s="3796"/>
      <c r="QFO754" s="3796"/>
      <c r="QFP754" s="3796"/>
      <c r="QFQ754" s="3796"/>
      <c r="QFR754" s="3796"/>
      <c r="QFS754" s="3796"/>
      <c r="QFT754" s="3796"/>
      <c r="QFU754" s="3796"/>
      <c r="QFV754" s="3796"/>
      <c r="QFW754" s="3796"/>
      <c r="QFX754" s="3796"/>
      <c r="QFY754" s="3796"/>
      <c r="QFZ754" s="3796"/>
      <c r="QGA754" s="3796"/>
      <c r="QGB754" s="3796"/>
      <c r="QGC754" s="3796"/>
      <c r="QGD754" s="3796"/>
      <c r="QGE754" s="3796"/>
      <c r="QGF754" s="3796"/>
      <c r="QGG754" s="3796"/>
      <c r="QGH754" s="3796"/>
      <c r="QGI754" s="3796"/>
      <c r="QGJ754" s="3796"/>
      <c r="QGK754" s="3796"/>
      <c r="QGL754" s="3796"/>
      <c r="QGM754" s="3796"/>
      <c r="QGN754" s="3796"/>
      <c r="QGO754" s="3796"/>
      <c r="QGP754" s="3796"/>
      <c r="QGQ754" s="3796"/>
      <c r="QGR754" s="3796"/>
      <c r="QGS754" s="3796"/>
      <c r="QGT754" s="3796"/>
      <c r="QGU754" s="3796"/>
      <c r="QGV754" s="3796"/>
      <c r="QGW754" s="3796"/>
      <c r="QGX754" s="3796"/>
      <c r="QGY754" s="3796"/>
      <c r="QGZ754" s="3796"/>
      <c r="QHA754" s="3796"/>
      <c r="QHB754" s="3796"/>
      <c r="QHC754" s="3796"/>
      <c r="QHD754" s="3796"/>
      <c r="QHE754" s="3796"/>
      <c r="QHF754" s="3796"/>
      <c r="QHG754" s="3796"/>
      <c r="QHH754" s="3796"/>
      <c r="QHI754" s="3796"/>
      <c r="QHJ754" s="3796"/>
      <c r="QHK754" s="3796"/>
      <c r="QHL754" s="3796"/>
      <c r="QHM754" s="3796"/>
      <c r="QHN754" s="3796"/>
      <c r="QHO754" s="3796"/>
      <c r="QHP754" s="3796"/>
      <c r="QHQ754" s="3796"/>
      <c r="QHR754" s="3796"/>
      <c r="QHS754" s="3796"/>
      <c r="QHT754" s="3796"/>
      <c r="QHU754" s="3796"/>
      <c r="QHV754" s="3796"/>
      <c r="QHW754" s="3796"/>
      <c r="QHX754" s="3796"/>
      <c r="QHY754" s="3796"/>
      <c r="QHZ754" s="3796"/>
      <c r="QIA754" s="3796"/>
      <c r="QIB754" s="3796"/>
      <c r="QIC754" s="3796"/>
      <c r="QID754" s="3796"/>
      <c r="QIE754" s="3796"/>
      <c r="QIF754" s="3796"/>
      <c r="QIG754" s="3796"/>
      <c r="QIH754" s="3796"/>
      <c r="QII754" s="3796"/>
      <c r="QIJ754" s="3796"/>
      <c r="QIK754" s="3796"/>
      <c r="QIL754" s="3796"/>
      <c r="QIM754" s="3796"/>
      <c r="QIN754" s="3796"/>
      <c r="QIO754" s="3796"/>
      <c r="QIP754" s="3796"/>
      <c r="QIQ754" s="3796"/>
      <c r="QIR754" s="3796"/>
      <c r="QIS754" s="3796"/>
      <c r="QIT754" s="3796"/>
      <c r="QIU754" s="3796"/>
      <c r="QIV754" s="3796"/>
      <c r="QIW754" s="3796"/>
      <c r="QIX754" s="3796"/>
      <c r="QIY754" s="3796"/>
      <c r="QIZ754" s="3796"/>
      <c r="QJA754" s="3796"/>
      <c r="QJB754" s="3796"/>
      <c r="QJC754" s="3796"/>
      <c r="QJD754" s="3796"/>
      <c r="QJE754" s="3796"/>
      <c r="QJF754" s="3796"/>
      <c r="QJG754" s="3796"/>
      <c r="QJH754" s="3796"/>
      <c r="QJI754" s="3796"/>
      <c r="QJJ754" s="3796"/>
      <c r="QJK754" s="3796"/>
      <c r="QJL754" s="3796"/>
      <c r="QJM754" s="3796"/>
      <c r="QJN754" s="3796"/>
      <c r="QJO754" s="3796"/>
      <c r="QJP754" s="3796"/>
      <c r="QJQ754" s="3796"/>
      <c r="QJR754" s="3796"/>
      <c r="QJS754" s="3796"/>
      <c r="QJT754" s="3796"/>
      <c r="QJU754" s="3796"/>
      <c r="QJV754" s="3796"/>
      <c r="QJW754" s="3796"/>
      <c r="QJX754" s="3796"/>
      <c r="QJY754" s="3796"/>
      <c r="QKD754" s="3796"/>
      <c r="QKJ754" s="3796"/>
      <c r="QKK754" s="3796"/>
      <c r="QKL754" s="3796"/>
      <c r="QKP754" s="3796"/>
      <c r="QKW754" s="3796"/>
      <c r="QKX754" s="3796"/>
      <c r="QKY754" s="3796"/>
      <c r="QKZ754" s="3796"/>
      <c r="QLA754" s="3796"/>
      <c r="QLB754" s="3796"/>
      <c r="QLC754" s="3796"/>
      <c r="QLD754" s="3796"/>
      <c r="QLE754" s="3796"/>
      <c r="QLF754" s="3796"/>
      <c r="QLG754" s="3796"/>
      <c r="QLH754" s="3796"/>
      <c r="QLI754" s="3796"/>
      <c r="QLJ754" s="3796"/>
      <c r="QLK754" s="3796"/>
      <c r="QLL754" s="3796"/>
      <c r="QLM754" s="3796"/>
      <c r="QLN754" s="3796"/>
      <c r="QLO754" s="3796"/>
      <c r="QLP754" s="3796"/>
      <c r="QLQ754" s="3796"/>
      <c r="QLR754" s="3796"/>
      <c r="QLS754" s="3796"/>
      <c r="QLT754" s="3796"/>
      <c r="QLU754" s="3796"/>
      <c r="QLV754" s="3796"/>
      <c r="QLW754" s="3796"/>
      <c r="QLX754" s="3796"/>
      <c r="QLY754" s="3796"/>
      <c r="QLZ754" s="3796"/>
      <c r="QMA754" s="3796"/>
      <c r="QMB754" s="3796"/>
      <c r="QMC754" s="3796"/>
      <c r="QMD754" s="3796"/>
      <c r="QME754" s="3796"/>
      <c r="QMF754" s="3796"/>
      <c r="QMG754" s="3796"/>
      <c r="QMH754" s="3796"/>
      <c r="QMI754" s="3796"/>
      <c r="QMJ754" s="3796"/>
      <c r="QMK754" s="3796"/>
      <c r="QML754" s="3796"/>
      <c r="QMM754" s="3796"/>
      <c r="QMN754" s="3796"/>
      <c r="QMO754" s="3796"/>
      <c r="QMP754" s="3796"/>
      <c r="QMQ754" s="3796"/>
      <c r="QMR754" s="3796"/>
      <c r="QMS754" s="3796"/>
      <c r="QMT754" s="3796"/>
      <c r="QMU754" s="3796"/>
      <c r="QMV754" s="3796"/>
      <c r="QMW754" s="3796"/>
      <c r="QMX754" s="3796"/>
      <c r="QMY754" s="3796"/>
      <c r="QMZ754" s="3796"/>
      <c r="QNA754" s="3796"/>
      <c r="QNB754" s="3796"/>
      <c r="QNC754" s="3796"/>
      <c r="QND754" s="3796"/>
      <c r="QNE754" s="3796"/>
      <c r="QNF754" s="3796"/>
      <c r="QNG754" s="3796"/>
      <c r="QNH754" s="3796"/>
      <c r="QNI754" s="3796"/>
      <c r="QNJ754" s="3796"/>
      <c r="QNK754" s="3796"/>
      <c r="QNL754" s="3796"/>
      <c r="QNM754" s="3796"/>
      <c r="QNN754" s="3796"/>
      <c r="QNO754" s="3796"/>
      <c r="QNP754" s="3796"/>
      <c r="QNQ754" s="3796"/>
      <c r="QNR754" s="3796"/>
      <c r="QNS754" s="3796"/>
      <c r="QNT754" s="3796"/>
      <c r="QNU754" s="3796"/>
      <c r="QNV754" s="3796"/>
      <c r="QNW754" s="3796"/>
      <c r="QNX754" s="3796"/>
      <c r="QNY754" s="3796"/>
      <c r="QNZ754" s="3796"/>
      <c r="QOA754" s="3796"/>
      <c r="QOB754" s="3796"/>
      <c r="QOC754" s="3796"/>
      <c r="QOD754" s="3796"/>
      <c r="QOE754" s="3796"/>
      <c r="QOF754" s="3796"/>
      <c r="QOG754" s="3796"/>
      <c r="QOH754" s="3796"/>
      <c r="QOI754" s="3796"/>
      <c r="QOJ754" s="3796"/>
      <c r="QOK754" s="3796"/>
      <c r="QOL754" s="3796"/>
      <c r="QOM754" s="3796"/>
      <c r="QON754" s="3796"/>
      <c r="QOO754" s="3796"/>
      <c r="QOP754" s="3796"/>
      <c r="QOQ754" s="3796"/>
      <c r="QOR754" s="3796"/>
      <c r="QOS754" s="3796"/>
      <c r="QOT754" s="3796"/>
      <c r="QOU754" s="3796"/>
      <c r="QOV754" s="3796"/>
      <c r="QOW754" s="3796"/>
      <c r="QOX754" s="3796"/>
      <c r="QOY754" s="3796"/>
      <c r="QOZ754" s="3796"/>
      <c r="QPA754" s="3796"/>
      <c r="QPB754" s="3796"/>
      <c r="QPC754" s="3796"/>
      <c r="QPD754" s="3796"/>
      <c r="QPE754" s="3796"/>
      <c r="QPF754" s="3796"/>
      <c r="QPG754" s="3796"/>
      <c r="QPH754" s="3796"/>
      <c r="QPI754" s="3796"/>
      <c r="QPJ754" s="3796"/>
      <c r="QPK754" s="3796"/>
      <c r="QPL754" s="3796"/>
      <c r="QPM754" s="3796"/>
      <c r="QPN754" s="3796"/>
      <c r="QPO754" s="3796"/>
      <c r="QPP754" s="3796"/>
      <c r="QPQ754" s="3796"/>
      <c r="QPR754" s="3796"/>
      <c r="QPS754" s="3796"/>
      <c r="QPT754" s="3796"/>
      <c r="QPU754" s="3796"/>
      <c r="QPV754" s="3796"/>
      <c r="QPW754" s="3796"/>
      <c r="QPX754" s="3796"/>
      <c r="QPY754" s="3796"/>
      <c r="QPZ754" s="3796"/>
      <c r="QQA754" s="3796"/>
      <c r="QQB754" s="3796"/>
      <c r="QQC754" s="3796"/>
      <c r="QQD754" s="3796"/>
      <c r="QQE754" s="3796"/>
      <c r="QQF754" s="3796"/>
      <c r="QQG754" s="3796"/>
      <c r="QQH754" s="3796"/>
      <c r="QQI754" s="3796"/>
      <c r="QQJ754" s="3796"/>
      <c r="QQK754" s="3796"/>
      <c r="QQL754" s="3796"/>
      <c r="QQM754" s="3796"/>
      <c r="QQN754" s="3796"/>
      <c r="QQO754" s="3796"/>
      <c r="QQP754" s="3796"/>
      <c r="QQQ754" s="3796"/>
      <c r="QQR754" s="3796"/>
      <c r="QQS754" s="3796"/>
      <c r="QQT754" s="3796"/>
      <c r="QQU754" s="3796"/>
      <c r="QQV754" s="3796"/>
      <c r="QQW754" s="3796"/>
      <c r="QQX754" s="3796"/>
      <c r="QQY754" s="3796"/>
      <c r="QQZ754" s="3796"/>
      <c r="QRA754" s="3796"/>
      <c r="QRB754" s="3796"/>
      <c r="QRC754" s="3796"/>
      <c r="QRD754" s="3796"/>
      <c r="QRE754" s="3796"/>
      <c r="QRF754" s="3796"/>
      <c r="QRG754" s="3796"/>
      <c r="QRH754" s="3796"/>
      <c r="QRI754" s="3796"/>
      <c r="QRJ754" s="3796"/>
      <c r="QRK754" s="3796"/>
      <c r="QRL754" s="3796"/>
      <c r="QRM754" s="3796"/>
      <c r="QRN754" s="3796"/>
      <c r="QRO754" s="3796"/>
      <c r="QRP754" s="3796"/>
      <c r="QRQ754" s="3796"/>
      <c r="QRR754" s="3796"/>
      <c r="QRS754" s="3796"/>
      <c r="QRT754" s="3796"/>
      <c r="QRU754" s="3796"/>
      <c r="QRV754" s="3796"/>
      <c r="QRW754" s="3796"/>
      <c r="QRX754" s="3796"/>
      <c r="QRY754" s="3796"/>
      <c r="QRZ754" s="3796"/>
      <c r="QSA754" s="3796"/>
      <c r="QSB754" s="3796"/>
      <c r="QSC754" s="3796"/>
      <c r="QSD754" s="3796"/>
      <c r="QSE754" s="3796"/>
      <c r="QSF754" s="3796"/>
      <c r="QSG754" s="3796"/>
      <c r="QSH754" s="3796"/>
      <c r="QSI754" s="3796"/>
      <c r="QSJ754" s="3796"/>
      <c r="QSK754" s="3796"/>
      <c r="QSL754" s="3796"/>
      <c r="QSM754" s="3796"/>
      <c r="QSN754" s="3796"/>
      <c r="QSO754" s="3796"/>
      <c r="QSP754" s="3796"/>
      <c r="QSQ754" s="3796"/>
      <c r="QSR754" s="3796"/>
      <c r="QSS754" s="3796"/>
      <c r="QST754" s="3796"/>
      <c r="QSU754" s="3796"/>
      <c r="QSV754" s="3796"/>
      <c r="QSW754" s="3796"/>
      <c r="QSX754" s="3796"/>
      <c r="QSY754" s="3796"/>
      <c r="QSZ754" s="3796"/>
      <c r="QTA754" s="3796"/>
      <c r="QTB754" s="3796"/>
      <c r="QTC754" s="3796"/>
      <c r="QTD754" s="3796"/>
      <c r="QTE754" s="3796"/>
      <c r="QTF754" s="3796"/>
      <c r="QTG754" s="3796"/>
      <c r="QTH754" s="3796"/>
      <c r="QTI754" s="3796"/>
      <c r="QTJ754" s="3796"/>
      <c r="QTK754" s="3796"/>
      <c r="QTL754" s="3796"/>
      <c r="QTM754" s="3796"/>
      <c r="QTN754" s="3796"/>
      <c r="QTO754" s="3796"/>
      <c r="QTP754" s="3796"/>
      <c r="QTQ754" s="3796"/>
      <c r="QTR754" s="3796"/>
      <c r="QTS754" s="3796"/>
      <c r="QTT754" s="3796"/>
      <c r="QTU754" s="3796"/>
      <c r="QTZ754" s="3796"/>
      <c r="QUF754" s="3796"/>
      <c r="QUG754" s="3796"/>
      <c r="QUH754" s="3796"/>
      <c r="QUL754" s="3796"/>
      <c r="QUS754" s="3796"/>
      <c r="QUT754" s="3796"/>
      <c r="QUU754" s="3796"/>
      <c r="QUV754" s="3796"/>
      <c r="QUW754" s="3796"/>
      <c r="QUX754" s="3796"/>
      <c r="QUY754" s="3796"/>
      <c r="QUZ754" s="3796"/>
      <c r="QVA754" s="3796"/>
      <c r="QVB754" s="3796"/>
      <c r="QVC754" s="3796"/>
      <c r="QVD754" s="3796"/>
      <c r="QVE754" s="3796"/>
      <c r="QVF754" s="3796"/>
      <c r="QVG754" s="3796"/>
      <c r="QVH754" s="3796"/>
      <c r="QVI754" s="3796"/>
      <c r="QVJ754" s="3796"/>
      <c r="QVK754" s="3796"/>
      <c r="QVL754" s="3796"/>
      <c r="QVM754" s="3796"/>
      <c r="QVN754" s="3796"/>
      <c r="QVO754" s="3796"/>
      <c r="QVP754" s="3796"/>
      <c r="QVQ754" s="3796"/>
      <c r="QVR754" s="3796"/>
      <c r="QVS754" s="3796"/>
      <c r="QVT754" s="3796"/>
      <c r="QVU754" s="3796"/>
      <c r="QVV754" s="3796"/>
      <c r="QVW754" s="3796"/>
      <c r="QVX754" s="3796"/>
      <c r="QVY754" s="3796"/>
      <c r="QVZ754" s="3796"/>
      <c r="QWA754" s="3796"/>
      <c r="QWB754" s="3796"/>
      <c r="QWC754" s="3796"/>
      <c r="QWD754" s="3796"/>
      <c r="QWE754" s="3796"/>
      <c r="QWF754" s="3796"/>
      <c r="QWG754" s="3796"/>
      <c r="QWH754" s="3796"/>
      <c r="QWI754" s="3796"/>
      <c r="QWJ754" s="3796"/>
      <c r="QWK754" s="3796"/>
      <c r="QWL754" s="3796"/>
      <c r="QWM754" s="3796"/>
      <c r="QWN754" s="3796"/>
      <c r="QWO754" s="3796"/>
      <c r="QWP754" s="3796"/>
      <c r="QWQ754" s="3796"/>
      <c r="QWR754" s="3796"/>
      <c r="QWS754" s="3796"/>
      <c r="QWT754" s="3796"/>
      <c r="QWU754" s="3796"/>
      <c r="QWV754" s="3796"/>
      <c r="QWW754" s="3796"/>
      <c r="QWX754" s="3796"/>
      <c r="QWY754" s="3796"/>
      <c r="QWZ754" s="3796"/>
      <c r="QXA754" s="3796"/>
      <c r="QXB754" s="3796"/>
      <c r="QXC754" s="3796"/>
      <c r="QXD754" s="3796"/>
      <c r="QXE754" s="3796"/>
      <c r="QXF754" s="3796"/>
      <c r="QXG754" s="3796"/>
      <c r="QXH754" s="3796"/>
      <c r="QXI754" s="3796"/>
      <c r="QXJ754" s="3796"/>
      <c r="QXK754" s="3796"/>
      <c r="QXL754" s="3796"/>
      <c r="QXM754" s="3796"/>
      <c r="QXN754" s="3796"/>
      <c r="QXO754" s="3796"/>
      <c r="QXP754" s="3796"/>
      <c r="QXQ754" s="3796"/>
      <c r="QXR754" s="3796"/>
      <c r="QXS754" s="3796"/>
      <c r="QXT754" s="3796"/>
      <c r="QXU754" s="3796"/>
      <c r="QXV754" s="3796"/>
      <c r="QXW754" s="3796"/>
      <c r="QXX754" s="3796"/>
      <c r="QXY754" s="3796"/>
      <c r="QXZ754" s="3796"/>
      <c r="QYA754" s="3796"/>
      <c r="QYB754" s="3796"/>
      <c r="QYC754" s="3796"/>
      <c r="QYD754" s="3796"/>
      <c r="QYE754" s="3796"/>
      <c r="QYF754" s="3796"/>
      <c r="QYG754" s="3796"/>
      <c r="QYH754" s="3796"/>
      <c r="QYI754" s="3796"/>
      <c r="QYJ754" s="3796"/>
      <c r="QYK754" s="3796"/>
      <c r="QYL754" s="3796"/>
      <c r="QYM754" s="3796"/>
      <c r="QYN754" s="3796"/>
      <c r="QYO754" s="3796"/>
      <c r="QYP754" s="3796"/>
      <c r="QYQ754" s="3796"/>
      <c r="QYR754" s="3796"/>
      <c r="QYS754" s="3796"/>
      <c r="QYT754" s="3796"/>
      <c r="QYU754" s="3796"/>
      <c r="QYV754" s="3796"/>
      <c r="QYW754" s="3796"/>
      <c r="QYX754" s="3796"/>
      <c r="QYY754" s="3796"/>
      <c r="QYZ754" s="3796"/>
      <c r="QZA754" s="3796"/>
      <c r="QZB754" s="3796"/>
      <c r="QZC754" s="3796"/>
      <c r="QZD754" s="3796"/>
      <c r="QZE754" s="3796"/>
      <c r="QZF754" s="3796"/>
      <c r="QZG754" s="3796"/>
      <c r="QZH754" s="3796"/>
      <c r="QZI754" s="3796"/>
      <c r="QZJ754" s="3796"/>
      <c r="QZK754" s="3796"/>
      <c r="QZL754" s="3796"/>
      <c r="QZM754" s="3796"/>
      <c r="QZN754" s="3796"/>
      <c r="QZO754" s="3796"/>
      <c r="QZP754" s="3796"/>
      <c r="QZQ754" s="3796"/>
      <c r="QZR754" s="3796"/>
      <c r="QZS754" s="3796"/>
      <c r="QZT754" s="3796"/>
      <c r="QZU754" s="3796"/>
      <c r="QZV754" s="3796"/>
      <c r="QZW754" s="3796"/>
      <c r="QZX754" s="3796"/>
      <c r="QZY754" s="3796"/>
      <c r="QZZ754" s="3796"/>
      <c r="RAA754" s="3796"/>
      <c r="RAB754" s="3796"/>
      <c r="RAC754" s="3796"/>
      <c r="RAD754" s="3796"/>
      <c r="RAE754" s="3796"/>
      <c r="RAF754" s="3796"/>
      <c r="RAG754" s="3796"/>
      <c r="RAH754" s="3796"/>
      <c r="RAI754" s="3796"/>
      <c r="RAJ754" s="3796"/>
      <c r="RAK754" s="3796"/>
      <c r="RAL754" s="3796"/>
      <c r="RAM754" s="3796"/>
      <c r="RAN754" s="3796"/>
      <c r="RAO754" s="3796"/>
      <c r="RAP754" s="3796"/>
      <c r="RAQ754" s="3796"/>
      <c r="RAR754" s="3796"/>
      <c r="RAS754" s="3796"/>
      <c r="RAT754" s="3796"/>
      <c r="RAU754" s="3796"/>
      <c r="RAV754" s="3796"/>
      <c r="RAW754" s="3796"/>
      <c r="RAX754" s="3796"/>
      <c r="RAY754" s="3796"/>
      <c r="RAZ754" s="3796"/>
      <c r="RBA754" s="3796"/>
      <c r="RBB754" s="3796"/>
      <c r="RBC754" s="3796"/>
      <c r="RBD754" s="3796"/>
      <c r="RBE754" s="3796"/>
      <c r="RBF754" s="3796"/>
      <c r="RBG754" s="3796"/>
      <c r="RBH754" s="3796"/>
      <c r="RBI754" s="3796"/>
      <c r="RBJ754" s="3796"/>
      <c r="RBK754" s="3796"/>
      <c r="RBL754" s="3796"/>
      <c r="RBM754" s="3796"/>
      <c r="RBN754" s="3796"/>
      <c r="RBO754" s="3796"/>
      <c r="RBP754" s="3796"/>
      <c r="RBQ754" s="3796"/>
      <c r="RBR754" s="3796"/>
      <c r="RBS754" s="3796"/>
      <c r="RBT754" s="3796"/>
      <c r="RBU754" s="3796"/>
      <c r="RBV754" s="3796"/>
      <c r="RBW754" s="3796"/>
      <c r="RBX754" s="3796"/>
      <c r="RBY754" s="3796"/>
      <c r="RBZ754" s="3796"/>
      <c r="RCA754" s="3796"/>
      <c r="RCB754" s="3796"/>
      <c r="RCC754" s="3796"/>
      <c r="RCD754" s="3796"/>
      <c r="RCE754" s="3796"/>
      <c r="RCF754" s="3796"/>
      <c r="RCG754" s="3796"/>
      <c r="RCH754" s="3796"/>
      <c r="RCI754" s="3796"/>
      <c r="RCJ754" s="3796"/>
      <c r="RCK754" s="3796"/>
      <c r="RCL754" s="3796"/>
      <c r="RCM754" s="3796"/>
      <c r="RCN754" s="3796"/>
      <c r="RCO754" s="3796"/>
      <c r="RCP754" s="3796"/>
      <c r="RCQ754" s="3796"/>
      <c r="RCR754" s="3796"/>
      <c r="RCS754" s="3796"/>
      <c r="RCT754" s="3796"/>
      <c r="RCU754" s="3796"/>
      <c r="RCV754" s="3796"/>
      <c r="RCW754" s="3796"/>
      <c r="RCX754" s="3796"/>
      <c r="RCY754" s="3796"/>
      <c r="RCZ754" s="3796"/>
      <c r="RDA754" s="3796"/>
      <c r="RDB754" s="3796"/>
      <c r="RDC754" s="3796"/>
      <c r="RDD754" s="3796"/>
      <c r="RDE754" s="3796"/>
      <c r="RDF754" s="3796"/>
      <c r="RDG754" s="3796"/>
      <c r="RDH754" s="3796"/>
      <c r="RDI754" s="3796"/>
      <c r="RDJ754" s="3796"/>
      <c r="RDK754" s="3796"/>
      <c r="RDL754" s="3796"/>
      <c r="RDM754" s="3796"/>
      <c r="RDN754" s="3796"/>
      <c r="RDO754" s="3796"/>
      <c r="RDP754" s="3796"/>
      <c r="RDQ754" s="3796"/>
      <c r="RDV754" s="3796"/>
      <c r="REB754" s="3796"/>
      <c r="REC754" s="3796"/>
      <c r="RED754" s="3796"/>
      <c r="REH754" s="3796"/>
      <c r="REO754" s="3796"/>
      <c r="REP754" s="3796"/>
      <c r="REQ754" s="3796"/>
      <c r="RER754" s="3796"/>
      <c r="RES754" s="3796"/>
      <c r="RET754" s="3796"/>
      <c r="REU754" s="3796"/>
      <c r="REV754" s="3796"/>
      <c r="REW754" s="3796"/>
      <c r="REX754" s="3796"/>
      <c r="REY754" s="3796"/>
      <c r="REZ754" s="3796"/>
      <c r="RFA754" s="3796"/>
      <c r="RFB754" s="3796"/>
      <c r="RFC754" s="3796"/>
      <c r="RFD754" s="3796"/>
      <c r="RFE754" s="3796"/>
      <c r="RFF754" s="3796"/>
      <c r="RFG754" s="3796"/>
      <c r="RFH754" s="3796"/>
      <c r="RFI754" s="3796"/>
      <c r="RFJ754" s="3796"/>
      <c r="RFK754" s="3796"/>
      <c r="RFL754" s="3796"/>
      <c r="RFM754" s="3796"/>
      <c r="RFN754" s="3796"/>
      <c r="RFO754" s="3796"/>
      <c r="RFP754" s="3796"/>
      <c r="RFQ754" s="3796"/>
      <c r="RFR754" s="3796"/>
      <c r="RFS754" s="3796"/>
      <c r="RFT754" s="3796"/>
      <c r="RFU754" s="3796"/>
      <c r="RFV754" s="3796"/>
      <c r="RFW754" s="3796"/>
      <c r="RFX754" s="3796"/>
      <c r="RFY754" s="3796"/>
      <c r="RFZ754" s="3796"/>
      <c r="RGA754" s="3796"/>
      <c r="RGB754" s="3796"/>
      <c r="RGC754" s="3796"/>
      <c r="RGD754" s="3796"/>
      <c r="RGE754" s="3796"/>
      <c r="RGF754" s="3796"/>
      <c r="RGG754" s="3796"/>
      <c r="RGH754" s="3796"/>
      <c r="RGI754" s="3796"/>
      <c r="RGJ754" s="3796"/>
      <c r="RGK754" s="3796"/>
      <c r="RGL754" s="3796"/>
      <c r="RGM754" s="3796"/>
      <c r="RGN754" s="3796"/>
      <c r="RGO754" s="3796"/>
      <c r="RGP754" s="3796"/>
      <c r="RGQ754" s="3796"/>
      <c r="RGR754" s="3796"/>
      <c r="RGS754" s="3796"/>
      <c r="RGT754" s="3796"/>
      <c r="RGU754" s="3796"/>
      <c r="RGV754" s="3796"/>
      <c r="RGW754" s="3796"/>
      <c r="RGX754" s="3796"/>
      <c r="RGY754" s="3796"/>
      <c r="RGZ754" s="3796"/>
      <c r="RHA754" s="3796"/>
      <c r="RHB754" s="3796"/>
      <c r="RHC754" s="3796"/>
      <c r="RHD754" s="3796"/>
      <c r="RHE754" s="3796"/>
      <c r="RHF754" s="3796"/>
      <c r="RHG754" s="3796"/>
      <c r="RHH754" s="3796"/>
      <c r="RHI754" s="3796"/>
      <c r="RHJ754" s="3796"/>
      <c r="RHK754" s="3796"/>
      <c r="RHL754" s="3796"/>
      <c r="RHM754" s="3796"/>
      <c r="RHN754" s="3796"/>
      <c r="RHO754" s="3796"/>
      <c r="RHP754" s="3796"/>
      <c r="RHQ754" s="3796"/>
      <c r="RHR754" s="3796"/>
      <c r="RHS754" s="3796"/>
      <c r="RHT754" s="3796"/>
      <c r="RHU754" s="3796"/>
      <c r="RHV754" s="3796"/>
      <c r="RHW754" s="3796"/>
      <c r="RHX754" s="3796"/>
      <c r="RHY754" s="3796"/>
      <c r="RHZ754" s="3796"/>
      <c r="RIA754" s="3796"/>
      <c r="RIB754" s="3796"/>
      <c r="RIC754" s="3796"/>
      <c r="RID754" s="3796"/>
      <c r="RIE754" s="3796"/>
      <c r="RIF754" s="3796"/>
      <c r="RIG754" s="3796"/>
      <c r="RIH754" s="3796"/>
      <c r="RII754" s="3796"/>
      <c r="RIJ754" s="3796"/>
      <c r="RIK754" s="3796"/>
      <c r="RIL754" s="3796"/>
      <c r="RIM754" s="3796"/>
      <c r="RIN754" s="3796"/>
      <c r="RIO754" s="3796"/>
      <c r="RIP754" s="3796"/>
      <c r="RIQ754" s="3796"/>
      <c r="RIR754" s="3796"/>
      <c r="RIS754" s="3796"/>
      <c r="RIT754" s="3796"/>
      <c r="RIU754" s="3796"/>
      <c r="RIV754" s="3796"/>
      <c r="RIW754" s="3796"/>
      <c r="RIX754" s="3796"/>
      <c r="RIY754" s="3796"/>
      <c r="RIZ754" s="3796"/>
      <c r="RJA754" s="3796"/>
      <c r="RJB754" s="3796"/>
      <c r="RJC754" s="3796"/>
      <c r="RJD754" s="3796"/>
      <c r="RJE754" s="3796"/>
      <c r="RJF754" s="3796"/>
      <c r="RJG754" s="3796"/>
      <c r="RJH754" s="3796"/>
      <c r="RJI754" s="3796"/>
      <c r="RJJ754" s="3796"/>
      <c r="RJK754" s="3796"/>
      <c r="RJL754" s="3796"/>
      <c r="RJM754" s="3796"/>
      <c r="RJN754" s="3796"/>
      <c r="RJO754" s="3796"/>
      <c r="RJP754" s="3796"/>
      <c r="RJQ754" s="3796"/>
      <c r="RJR754" s="3796"/>
      <c r="RJS754" s="3796"/>
      <c r="RJT754" s="3796"/>
      <c r="RJU754" s="3796"/>
      <c r="RJV754" s="3796"/>
      <c r="RJW754" s="3796"/>
      <c r="RJX754" s="3796"/>
      <c r="RJY754" s="3796"/>
      <c r="RJZ754" s="3796"/>
      <c r="RKA754" s="3796"/>
      <c r="RKB754" s="3796"/>
      <c r="RKC754" s="3796"/>
      <c r="RKD754" s="3796"/>
      <c r="RKE754" s="3796"/>
      <c r="RKF754" s="3796"/>
      <c r="RKG754" s="3796"/>
      <c r="RKH754" s="3796"/>
      <c r="RKI754" s="3796"/>
      <c r="RKJ754" s="3796"/>
      <c r="RKK754" s="3796"/>
      <c r="RKL754" s="3796"/>
      <c r="RKM754" s="3796"/>
      <c r="RKN754" s="3796"/>
      <c r="RKO754" s="3796"/>
      <c r="RKP754" s="3796"/>
      <c r="RKQ754" s="3796"/>
      <c r="RKR754" s="3796"/>
      <c r="RKS754" s="3796"/>
      <c r="RKT754" s="3796"/>
      <c r="RKU754" s="3796"/>
      <c r="RKV754" s="3796"/>
      <c r="RKW754" s="3796"/>
      <c r="RKX754" s="3796"/>
      <c r="RKY754" s="3796"/>
      <c r="RKZ754" s="3796"/>
      <c r="RLA754" s="3796"/>
      <c r="RLB754" s="3796"/>
      <c r="RLC754" s="3796"/>
      <c r="RLD754" s="3796"/>
      <c r="RLE754" s="3796"/>
      <c r="RLF754" s="3796"/>
      <c r="RLG754" s="3796"/>
      <c r="RLH754" s="3796"/>
      <c r="RLI754" s="3796"/>
      <c r="RLJ754" s="3796"/>
      <c r="RLK754" s="3796"/>
      <c r="RLL754" s="3796"/>
      <c r="RLM754" s="3796"/>
      <c r="RLN754" s="3796"/>
      <c r="RLO754" s="3796"/>
      <c r="RLP754" s="3796"/>
      <c r="RLQ754" s="3796"/>
      <c r="RLR754" s="3796"/>
      <c r="RLS754" s="3796"/>
      <c r="RLT754" s="3796"/>
      <c r="RLU754" s="3796"/>
      <c r="RLV754" s="3796"/>
      <c r="RLW754" s="3796"/>
      <c r="RLX754" s="3796"/>
      <c r="RLY754" s="3796"/>
      <c r="RLZ754" s="3796"/>
      <c r="RMA754" s="3796"/>
      <c r="RMB754" s="3796"/>
      <c r="RMC754" s="3796"/>
      <c r="RMD754" s="3796"/>
      <c r="RME754" s="3796"/>
      <c r="RMF754" s="3796"/>
      <c r="RMG754" s="3796"/>
      <c r="RMH754" s="3796"/>
      <c r="RMI754" s="3796"/>
      <c r="RMJ754" s="3796"/>
      <c r="RMK754" s="3796"/>
      <c r="RML754" s="3796"/>
      <c r="RMM754" s="3796"/>
      <c r="RMN754" s="3796"/>
      <c r="RMO754" s="3796"/>
      <c r="RMP754" s="3796"/>
      <c r="RMQ754" s="3796"/>
      <c r="RMR754" s="3796"/>
      <c r="RMS754" s="3796"/>
      <c r="RMT754" s="3796"/>
      <c r="RMU754" s="3796"/>
      <c r="RMV754" s="3796"/>
      <c r="RMW754" s="3796"/>
      <c r="RMX754" s="3796"/>
      <c r="RMY754" s="3796"/>
      <c r="RMZ754" s="3796"/>
      <c r="RNA754" s="3796"/>
      <c r="RNB754" s="3796"/>
      <c r="RNC754" s="3796"/>
      <c r="RND754" s="3796"/>
      <c r="RNE754" s="3796"/>
      <c r="RNF754" s="3796"/>
      <c r="RNG754" s="3796"/>
      <c r="RNH754" s="3796"/>
      <c r="RNI754" s="3796"/>
      <c r="RNJ754" s="3796"/>
      <c r="RNK754" s="3796"/>
      <c r="RNL754" s="3796"/>
      <c r="RNM754" s="3796"/>
      <c r="RNR754" s="3796"/>
      <c r="RNX754" s="3796"/>
      <c r="RNY754" s="3796"/>
      <c r="RNZ754" s="3796"/>
      <c r="ROD754" s="3796"/>
      <c r="ROK754" s="3796"/>
      <c r="ROL754" s="3796"/>
      <c r="ROM754" s="3796"/>
      <c r="RON754" s="3796"/>
      <c r="ROO754" s="3796"/>
      <c r="ROP754" s="3796"/>
      <c r="ROQ754" s="3796"/>
      <c r="ROR754" s="3796"/>
      <c r="ROS754" s="3796"/>
      <c r="ROT754" s="3796"/>
      <c r="ROU754" s="3796"/>
      <c r="ROV754" s="3796"/>
      <c r="ROW754" s="3796"/>
      <c r="ROX754" s="3796"/>
      <c r="ROY754" s="3796"/>
      <c r="ROZ754" s="3796"/>
      <c r="RPA754" s="3796"/>
      <c r="RPB754" s="3796"/>
      <c r="RPC754" s="3796"/>
      <c r="RPD754" s="3796"/>
      <c r="RPE754" s="3796"/>
      <c r="RPF754" s="3796"/>
      <c r="RPG754" s="3796"/>
      <c r="RPH754" s="3796"/>
      <c r="RPI754" s="3796"/>
      <c r="RPJ754" s="3796"/>
      <c r="RPK754" s="3796"/>
      <c r="RPL754" s="3796"/>
      <c r="RPM754" s="3796"/>
      <c r="RPN754" s="3796"/>
      <c r="RPO754" s="3796"/>
      <c r="RPP754" s="3796"/>
      <c r="RPQ754" s="3796"/>
      <c r="RPR754" s="3796"/>
      <c r="RPS754" s="3796"/>
      <c r="RPT754" s="3796"/>
      <c r="RPU754" s="3796"/>
      <c r="RPV754" s="3796"/>
      <c r="RPW754" s="3796"/>
      <c r="RPX754" s="3796"/>
      <c r="RPY754" s="3796"/>
      <c r="RPZ754" s="3796"/>
      <c r="RQA754" s="3796"/>
      <c r="RQB754" s="3796"/>
      <c r="RQC754" s="3796"/>
      <c r="RQD754" s="3796"/>
      <c r="RQE754" s="3796"/>
      <c r="RQF754" s="3796"/>
      <c r="RQG754" s="3796"/>
      <c r="RQH754" s="3796"/>
      <c r="RQI754" s="3796"/>
      <c r="RQJ754" s="3796"/>
      <c r="RQK754" s="3796"/>
      <c r="RQL754" s="3796"/>
      <c r="RQM754" s="3796"/>
      <c r="RQN754" s="3796"/>
      <c r="RQO754" s="3796"/>
      <c r="RQP754" s="3796"/>
      <c r="RQQ754" s="3796"/>
      <c r="RQR754" s="3796"/>
      <c r="RQS754" s="3796"/>
      <c r="RQT754" s="3796"/>
      <c r="RQU754" s="3796"/>
      <c r="RQV754" s="3796"/>
      <c r="RQW754" s="3796"/>
      <c r="RQX754" s="3796"/>
      <c r="RQY754" s="3796"/>
      <c r="RQZ754" s="3796"/>
      <c r="RRA754" s="3796"/>
      <c r="RRB754" s="3796"/>
      <c r="RRC754" s="3796"/>
      <c r="RRD754" s="3796"/>
      <c r="RRE754" s="3796"/>
      <c r="RRF754" s="3796"/>
      <c r="RRG754" s="3796"/>
      <c r="RRH754" s="3796"/>
      <c r="RRI754" s="3796"/>
      <c r="RRJ754" s="3796"/>
      <c r="RRK754" s="3796"/>
      <c r="RRL754" s="3796"/>
      <c r="RRM754" s="3796"/>
      <c r="RRN754" s="3796"/>
      <c r="RRO754" s="3796"/>
      <c r="RRP754" s="3796"/>
      <c r="RRQ754" s="3796"/>
      <c r="RRR754" s="3796"/>
      <c r="RRS754" s="3796"/>
      <c r="RRT754" s="3796"/>
      <c r="RRU754" s="3796"/>
      <c r="RRV754" s="3796"/>
      <c r="RRW754" s="3796"/>
      <c r="RRX754" s="3796"/>
      <c r="RRY754" s="3796"/>
      <c r="RRZ754" s="3796"/>
      <c r="RSA754" s="3796"/>
      <c r="RSB754" s="3796"/>
      <c r="RSC754" s="3796"/>
      <c r="RSD754" s="3796"/>
      <c r="RSE754" s="3796"/>
      <c r="RSF754" s="3796"/>
      <c r="RSG754" s="3796"/>
      <c r="RSH754" s="3796"/>
      <c r="RSI754" s="3796"/>
      <c r="RSJ754" s="3796"/>
      <c r="RSK754" s="3796"/>
      <c r="RSL754" s="3796"/>
      <c r="RSM754" s="3796"/>
      <c r="RSN754" s="3796"/>
      <c r="RSO754" s="3796"/>
      <c r="RSP754" s="3796"/>
      <c r="RSQ754" s="3796"/>
      <c r="RSR754" s="3796"/>
      <c r="RSS754" s="3796"/>
      <c r="RST754" s="3796"/>
      <c r="RSU754" s="3796"/>
      <c r="RSV754" s="3796"/>
      <c r="RSW754" s="3796"/>
      <c r="RSX754" s="3796"/>
      <c r="RSY754" s="3796"/>
      <c r="RSZ754" s="3796"/>
      <c r="RTA754" s="3796"/>
      <c r="RTB754" s="3796"/>
      <c r="RTC754" s="3796"/>
      <c r="RTD754" s="3796"/>
      <c r="RTE754" s="3796"/>
      <c r="RTF754" s="3796"/>
      <c r="RTG754" s="3796"/>
      <c r="RTH754" s="3796"/>
      <c r="RTI754" s="3796"/>
      <c r="RTJ754" s="3796"/>
      <c r="RTK754" s="3796"/>
      <c r="RTL754" s="3796"/>
      <c r="RTM754" s="3796"/>
      <c r="RTN754" s="3796"/>
      <c r="RTO754" s="3796"/>
      <c r="RTP754" s="3796"/>
      <c r="RTQ754" s="3796"/>
      <c r="RTR754" s="3796"/>
      <c r="RTS754" s="3796"/>
      <c r="RTT754" s="3796"/>
      <c r="RTU754" s="3796"/>
      <c r="RTV754" s="3796"/>
      <c r="RTW754" s="3796"/>
      <c r="RTX754" s="3796"/>
      <c r="RTY754" s="3796"/>
      <c r="RTZ754" s="3796"/>
      <c r="RUA754" s="3796"/>
      <c r="RUB754" s="3796"/>
      <c r="RUC754" s="3796"/>
      <c r="RUD754" s="3796"/>
      <c r="RUE754" s="3796"/>
      <c r="RUF754" s="3796"/>
      <c r="RUG754" s="3796"/>
      <c r="RUH754" s="3796"/>
      <c r="RUI754" s="3796"/>
      <c r="RUJ754" s="3796"/>
      <c r="RUK754" s="3796"/>
      <c r="RUL754" s="3796"/>
      <c r="RUM754" s="3796"/>
      <c r="RUN754" s="3796"/>
      <c r="RUO754" s="3796"/>
      <c r="RUP754" s="3796"/>
      <c r="RUQ754" s="3796"/>
      <c r="RUR754" s="3796"/>
      <c r="RUS754" s="3796"/>
      <c r="RUT754" s="3796"/>
      <c r="RUU754" s="3796"/>
      <c r="RUV754" s="3796"/>
      <c r="RUW754" s="3796"/>
      <c r="RUX754" s="3796"/>
      <c r="RUY754" s="3796"/>
      <c r="RUZ754" s="3796"/>
      <c r="RVA754" s="3796"/>
      <c r="RVB754" s="3796"/>
      <c r="RVC754" s="3796"/>
      <c r="RVD754" s="3796"/>
      <c r="RVE754" s="3796"/>
      <c r="RVF754" s="3796"/>
      <c r="RVG754" s="3796"/>
      <c r="RVH754" s="3796"/>
      <c r="RVI754" s="3796"/>
      <c r="RVJ754" s="3796"/>
      <c r="RVK754" s="3796"/>
      <c r="RVL754" s="3796"/>
      <c r="RVM754" s="3796"/>
      <c r="RVN754" s="3796"/>
      <c r="RVO754" s="3796"/>
      <c r="RVP754" s="3796"/>
      <c r="RVQ754" s="3796"/>
      <c r="RVR754" s="3796"/>
      <c r="RVS754" s="3796"/>
      <c r="RVT754" s="3796"/>
      <c r="RVU754" s="3796"/>
      <c r="RVV754" s="3796"/>
      <c r="RVW754" s="3796"/>
      <c r="RVX754" s="3796"/>
      <c r="RVY754" s="3796"/>
      <c r="RVZ754" s="3796"/>
      <c r="RWA754" s="3796"/>
      <c r="RWB754" s="3796"/>
      <c r="RWC754" s="3796"/>
      <c r="RWD754" s="3796"/>
      <c r="RWE754" s="3796"/>
      <c r="RWF754" s="3796"/>
      <c r="RWG754" s="3796"/>
      <c r="RWH754" s="3796"/>
      <c r="RWI754" s="3796"/>
      <c r="RWJ754" s="3796"/>
      <c r="RWK754" s="3796"/>
      <c r="RWL754" s="3796"/>
      <c r="RWM754" s="3796"/>
      <c r="RWN754" s="3796"/>
      <c r="RWO754" s="3796"/>
      <c r="RWP754" s="3796"/>
      <c r="RWQ754" s="3796"/>
      <c r="RWR754" s="3796"/>
      <c r="RWS754" s="3796"/>
      <c r="RWT754" s="3796"/>
      <c r="RWU754" s="3796"/>
      <c r="RWV754" s="3796"/>
      <c r="RWW754" s="3796"/>
      <c r="RWX754" s="3796"/>
      <c r="RWY754" s="3796"/>
      <c r="RWZ754" s="3796"/>
      <c r="RXA754" s="3796"/>
      <c r="RXB754" s="3796"/>
      <c r="RXC754" s="3796"/>
      <c r="RXD754" s="3796"/>
      <c r="RXE754" s="3796"/>
      <c r="RXF754" s="3796"/>
      <c r="RXG754" s="3796"/>
      <c r="RXH754" s="3796"/>
      <c r="RXI754" s="3796"/>
      <c r="RXN754" s="3796"/>
      <c r="RXT754" s="3796"/>
      <c r="RXU754" s="3796"/>
      <c r="RXV754" s="3796"/>
      <c r="RXZ754" s="3796"/>
      <c r="RYG754" s="3796"/>
      <c r="RYH754" s="3796"/>
      <c r="RYI754" s="3796"/>
      <c r="RYJ754" s="3796"/>
      <c r="RYK754" s="3796"/>
      <c r="RYL754" s="3796"/>
      <c r="RYM754" s="3796"/>
      <c r="RYN754" s="3796"/>
      <c r="RYO754" s="3796"/>
      <c r="RYP754" s="3796"/>
      <c r="RYQ754" s="3796"/>
      <c r="RYR754" s="3796"/>
      <c r="RYS754" s="3796"/>
      <c r="RYT754" s="3796"/>
      <c r="RYU754" s="3796"/>
      <c r="RYV754" s="3796"/>
      <c r="RYW754" s="3796"/>
      <c r="RYX754" s="3796"/>
      <c r="RYY754" s="3796"/>
      <c r="RYZ754" s="3796"/>
      <c r="RZA754" s="3796"/>
      <c r="RZB754" s="3796"/>
      <c r="RZC754" s="3796"/>
      <c r="RZD754" s="3796"/>
      <c r="RZE754" s="3796"/>
      <c r="RZF754" s="3796"/>
      <c r="RZG754" s="3796"/>
      <c r="RZH754" s="3796"/>
      <c r="RZI754" s="3796"/>
      <c r="RZJ754" s="3796"/>
      <c r="RZK754" s="3796"/>
      <c r="RZL754" s="3796"/>
      <c r="RZM754" s="3796"/>
      <c r="RZN754" s="3796"/>
      <c r="RZO754" s="3796"/>
      <c r="RZP754" s="3796"/>
      <c r="RZQ754" s="3796"/>
      <c r="RZR754" s="3796"/>
      <c r="RZS754" s="3796"/>
      <c r="RZT754" s="3796"/>
      <c r="RZU754" s="3796"/>
      <c r="RZV754" s="3796"/>
      <c r="RZW754" s="3796"/>
      <c r="RZX754" s="3796"/>
      <c r="RZY754" s="3796"/>
      <c r="RZZ754" s="3796"/>
      <c r="SAA754" s="3796"/>
      <c r="SAB754" s="3796"/>
      <c r="SAC754" s="3796"/>
      <c r="SAD754" s="3796"/>
      <c r="SAE754" s="3796"/>
      <c r="SAF754" s="3796"/>
      <c r="SAG754" s="3796"/>
      <c r="SAH754" s="3796"/>
      <c r="SAI754" s="3796"/>
      <c r="SAJ754" s="3796"/>
      <c r="SAK754" s="3796"/>
      <c r="SAL754" s="3796"/>
      <c r="SAM754" s="3796"/>
      <c r="SAN754" s="3796"/>
      <c r="SAO754" s="3796"/>
      <c r="SAP754" s="3796"/>
      <c r="SAQ754" s="3796"/>
      <c r="SAR754" s="3796"/>
      <c r="SAS754" s="3796"/>
      <c r="SAT754" s="3796"/>
      <c r="SAU754" s="3796"/>
      <c r="SAV754" s="3796"/>
      <c r="SAW754" s="3796"/>
      <c r="SAX754" s="3796"/>
      <c r="SAY754" s="3796"/>
      <c r="SAZ754" s="3796"/>
      <c r="SBA754" s="3796"/>
      <c r="SBB754" s="3796"/>
      <c r="SBC754" s="3796"/>
      <c r="SBD754" s="3796"/>
      <c r="SBE754" s="3796"/>
      <c r="SBF754" s="3796"/>
      <c r="SBG754" s="3796"/>
      <c r="SBH754" s="3796"/>
      <c r="SBI754" s="3796"/>
      <c r="SBJ754" s="3796"/>
      <c r="SBK754" s="3796"/>
      <c r="SBL754" s="3796"/>
      <c r="SBM754" s="3796"/>
      <c r="SBN754" s="3796"/>
      <c r="SBO754" s="3796"/>
      <c r="SBP754" s="3796"/>
      <c r="SBQ754" s="3796"/>
      <c r="SBR754" s="3796"/>
      <c r="SBS754" s="3796"/>
      <c r="SBT754" s="3796"/>
      <c r="SBU754" s="3796"/>
      <c r="SBV754" s="3796"/>
      <c r="SBW754" s="3796"/>
      <c r="SBX754" s="3796"/>
      <c r="SBY754" s="3796"/>
      <c r="SBZ754" s="3796"/>
      <c r="SCA754" s="3796"/>
      <c r="SCB754" s="3796"/>
      <c r="SCC754" s="3796"/>
      <c r="SCD754" s="3796"/>
      <c r="SCE754" s="3796"/>
      <c r="SCF754" s="3796"/>
      <c r="SCG754" s="3796"/>
      <c r="SCH754" s="3796"/>
      <c r="SCI754" s="3796"/>
      <c r="SCJ754" s="3796"/>
      <c r="SCK754" s="3796"/>
      <c r="SCL754" s="3796"/>
      <c r="SCM754" s="3796"/>
      <c r="SCN754" s="3796"/>
      <c r="SCO754" s="3796"/>
      <c r="SCP754" s="3796"/>
      <c r="SCQ754" s="3796"/>
      <c r="SCR754" s="3796"/>
      <c r="SCS754" s="3796"/>
      <c r="SCT754" s="3796"/>
      <c r="SCU754" s="3796"/>
      <c r="SCV754" s="3796"/>
      <c r="SCW754" s="3796"/>
      <c r="SCX754" s="3796"/>
      <c r="SCY754" s="3796"/>
      <c r="SCZ754" s="3796"/>
      <c r="SDA754" s="3796"/>
      <c r="SDB754" s="3796"/>
      <c r="SDC754" s="3796"/>
      <c r="SDD754" s="3796"/>
      <c r="SDE754" s="3796"/>
      <c r="SDF754" s="3796"/>
      <c r="SDG754" s="3796"/>
      <c r="SDH754" s="3796"/>
      <c r="SDI754" s="3796"/>
      <c r="SDJ754" s="3796"/>
      <c r="SDK754" s="3796"/>
      <c r="SDL754" s="3796"/>
      <c r="SDM754" s="3796"/>
      <c r="SDN754" s="3796"/>
      <c r="SDO754" s="3796"/>
      <c r="SDP754" s="3796"/>
      <c r="SDQ754" s="3796"/>
      <c r="SDR754" s="3796"/>
      <c r="SDS754" s="3796"/>
      <c r="SDT754" s="3796"/>
      <c r="SDU754" s="3796"/>
      <c r="SDV754" s="3796"/>
      <c r="SDW754" s="3796"/>
      <c r="SDX754" s="3796"/>
      <c r="SDY754" s="3796"/>
      <c r="SDZ754" s="3796"/>
      <c r="SEA754" s="3796"/>
      <c r="SEB754" s="3796"/>
      <c r="SEC754" s="3796"/>
      <c r="SED754" s="3796"/>
      <c r="SEE754" s="3796"/>
      <c r="SEF754" s="3796"/>
      <c r="SEG754" s="3796"/>
      <c r="SEH754" s="3796"/>
      <c r="SEI754" s="3796"/>
      <c r="SEJ754" s="3796"/>
      <c r="SEK754" s="3796"/>
      <c r="SEL754" s="3796"/>
      <c r="SEM754" s="3796"/>
      <c r="SEN754" s="3796"/>
      <c r="SEO754" s="3796"/>
      <c r="SEP754" s="3796"/>
      <c r="SEQ754" s="3796"/>
      <c r="SER754" s="3796"/>
      <c r="SES754" s="3796"/>
      <c r="SET754" s="3796"/>
      <c r="SEU754" s="3796"/>
      <c r="SEV754" s="3796"/>
      <c r="SEW754" s="3796"/>
      <c r="SEX754" s="3796"/>
      <c r="SEY754" s="3796"/>
      <c r="SEZ754" s="3796"/>
      <c r="SFA754" s="3796"/>
      <c r="SFB754" s="3796"/>
      <c r="SFC754" s="3796"/>
      <c r="SFD754" s="3796"/>
      <c r="SFE754" s="3796"/>
      <c r="SFF754" s="3796"/>
      <c r="SFG754" s="3796"/>
      <c r="SFH754" s="3796"/>
      <c r="SFI754" s="3796"/>
      <c r="SFJ754" s="3796"/>
      <c r="SFK754" s="3796"/>
      <c r="SFL754" s="3796"/>
      <c r="SFM754" s="3796"/>
      <c r="SFN754" s="3796"/>
      <c r="SFO754" s="3796"/>
      <c r="SFP754" s="3796"/>
      <c r="SFQ754" s="3796"/>
      <c r="SFR754" s="3796"/>
      <c r="SFS754" s="3796"/>
      <c r="SFT754" s="3796"/>
      <c r="SFU754" s="3796"/>
      <c r="SFV754" s="3796"/>
      <c r="SFW754" s="3796"/>
      <c r="SFX754" s="3796"/>
      <c r="SFY754" s="3796"/>
      <c r="SFZ754" s="3796"/>
      <c r="SGA754" s="3796"/>
      <c r="SGB754" s="3796"/>
      <c r="SGC754" s="3796"/>
      <c r="SGD754" s="3796"/>
      <c r="SGE754" s="3796"/>
      <c r="SGF754" s="3796"/>
      <c r="SGG754" s="3796"/>
      <c r="SGH754" s="3796"/>
      <c r="SGI754" s="3796"/>
      <c r="SGJ754" s="3796"/>
      <c r="SGK754" s="3796"/>
      <c r="SGL754" s="3796"/>
      <c r="SGM754" s="3796"/>
      <c r="SGN754" s="3796"/>
      <c r="SGO754" s="3796"/>
      <c r="SGP754" s="3796"/>
      <c r="SGQ754" s="3796"/>
      <c r="SGR754" s="3796"/>
      <c r="SGS754" s="3796"/>
      <c r="SGT754" s="3796"/>
      <c r="SGU754" s="3796"/>
      <c r="SGV754" s="3796"/>
      <c r="SGW754" s="3796"/>
      <c r="SGX754" s="3796"/>
      <c r="SGY754" s="3796"/>
      <c r="SGZ754" s="3796"/>
      <c r="SHA754" s="3796"/>
      <c r="SHB754" s="3796"/>
      <c r="SHC754" s="3796"/>
      <c r="SHD754" s="3796"/>
      <c r="SHE754" s="3796"/>
      <c r="SHJ754" s="3796"/>
      <c r="SHP754" s="3796"/>
      <c r="SHQ754" s="3796"/>
      <c r="SHR754" s="3796"/>
      <c r="SHV754" s="3796"/>
      <c r="SIC754" s="3796"/>
      <c r="SID754" s="3796"/>
      <c r="SIE754" s="3796"/>
      <c r="SIF754" s="3796"/>
      <c r="SIG754" s="3796"/>
      <c r="SIH754" s="3796"/>
      <c r="SII754" s="3796"/>
      <c r="SIJ754" s="3796"/>
      <c r="SIK754" s="3796"/>
      <c r="SIL754" s="3796"/>
      <c r="SIM754" s="3796"/>
      <c r="SIN754" s="3796"/>
      <c r="SIO754" s="3796"/>
      <c r="SIP754" s="3796"/>
      <c r="SIQ754" s="3796"/>
      <c r="SIR754" s="3796"/>
      <c r="SIS754" s="3796"/>
      <c r="SIT754" s="3796"/>
      <c r="SIU754" s="3796"/>
      <c r="SIV754" s="3796"/>
      <c r="SIW754" s="3796"/>
      <c r="SIX754" s="3796"/>
      <c r="SIY754" s="3796"/>
      <c r="SIZ754" s="3796"/>
      <c r="SJA754" s="3796"/>
      <c r="SJB754" s="3796"/>
      <c r="SJC754" s="3796"/>
      <c r="SJD754" s="3796"/>
      <c r="SJE754" s="3796"/>
      <c r="SJF754" s="3796"/>
      <c r="SJG754" s="3796"/>
      <c r="SJH754" s="3796"/>
      <c r="SJI754" s="3796"/>
      <c r="SJJ754" s="3796"/>
      <c r="SJK754" s="3796"/>
      <c r="SJL754" s="3796"/>
      <c r="SJM754" s="3796"/>
      <c r="SJN754" s="3796"/>
      <c r="SJO754" s="3796"/>
      <c r="SJP754" s="3796"/>
      <c r="SJQ754" s="3796"/>
      <c r="SJR754" s="3796"/>
      <c r="SJS754" s="3796"/>
      <c r="SJT754" s="3796"/>
      <c r="SJU754" s="3796"/>
      <c r="SJV754" s="3796"/>
      <c r="SJW754" s="3796"/>
      <c r="SJX754" s="3796"/>
      <c r="SJY754" s="3796"/>
      <c r="SJZ754" s="3796"/>
      <c r="SKA754" s="3796"/>
      <c r="SKB754" s="3796"/>
      <c r="SKC754" s="3796"/>
      <c r="SKD754" s="3796"/>
      <c r="SKE754" s="3796"/>
      <c r="SKF754" s="3796"/>
      <c r="SKG754" s="3796"/>
      <c r="SKH754" s="3796"/>
      <c r="SKI754" s="3796"/>
      <c r="SKJ754" s="3796"/>
      <c r="SKK754" s="3796"/>
      <c r="SKL754" s="3796"/>
      <c r="SKM754" s="3796"/>
      <c r="SKN754" s="3796"/>
      <c r="SKO754" s="3796"/>
      <c r="SKP754" s="3796"/>
      <c r="SKQ754" s="3796"/>
      <c r="SKR754" s="3796"/>
      <c r="SKS754" s="3796"/>
      <c r="SKT754" s="3796"/>
      <c r="SKU754" s="3796"/>
      <c r="SKV754" s="3796"/>
      <c r="SKW754" s="3796"/>
      <c r="SKX754" s="3796"/>
      <c r="SKY754" s="3796"/>
      <c r="SKZ754" s="3796"/>
      <c r="SLA754" s="3796"/>
      <c r="SLB754" s="3796"/>
      <c r="SLC754" s="3796"/>
      <c r="SLD754" s="3796"/>
      <c r="SLE754" s="3796"/>
      <c r="SLF754" s="3796"/>
      <c r="SLG754" s="3796"/>
      <c r="SLH754" s="3796"/>
      <c r="SLI754" s="3796"/>
      <c r="SLJ754" s="3796"/>
      <c r="SLK754" s="3796"/>
      <c r="SLL754" s="3796"/>
      <c r="SLM754" s="3796"/>
      <c r="SLN754" s="3796"/>
      <c r="SLO754" s="3796"/>
      <c r="SLP754" s="3796"/>
      <c r="SLQ754" s="3796"/>
      <c r="SLR754" s="3796"/>
      <c r="SLS754" s="3796"/>
      <c r="SLT754" s="3796"/>
      <c r="SLU754" s="3796"/>
      <c r="SLV754" s="3796"/>
      <c r="SLW754" s="3796"/>
      <c r="SLX754" s="3796"/>
      <c r="SLY754" s="3796"/>
      <c r="SLZ754" s="3796"/>
      <c r="SMA754" s="3796"/>
      <c r="SMB754" s="3796"/>
      <c r="SMC754" s="3796"/>
      <c r="SMD754" s="3796"/>
      <c r="SME754" s="3796"/>
      <c r="SMF754" s="3796"/>
      <c r="SMG754" s="3796"/>
      <c r="SMH754" s="3796"/>
      <c r="SMI754" s="3796"/>
      <c r="SMJ754" s="3796"/>
      <c r="SMK754" s="3796"/>
      <c r="SML754" s="3796"/>
      <c r="SMM754" s="3796"/>
      <c r="SMN754" s="3796"/>
      <c r="SMO754" s="3796"/>
      <c r="SMP754" s="3796"/>
      <c r="SMQ754" s="3796"/>
      <c r="SMR754" s="3796"/>
      <c r="SMS754" s="3796"/>
      <c r="SMT754" s="3796"/>
      <c r="SMU754" s="3796"/>
      <c r="SMV754" s="3796"/>
      <c r="SMW754" s="3796"/>
      <c r="SMX754" s="3796"/>
      <c r="SMY754" s="3796"/>
      <c r="SMZ754" s="3796"/>
      <c r="SNA754" s="3796"/>
      <c r="SNB754" s="3796"/>
      <c r="SNC754" s="3796"/>
      <c r="SND754" s="3796"/>
      <c r="SNE754" s="3796"/>
      <c r="SNF754" s="3796"/>
      <c r="SNG754" s="3796"/>
      <c r="SNH754" s="3796"/>
      <c r="SNI754" s="3796"/>
      <c r="SNJ754" s="3796"/>
      <c r="SNK754" s="3796"/>
      <c r="SNL754" s="3796"/>
      <c r="SNM754" s="3796"/>
      <c r="SNN754" s="3796"/>
      <c r="SNO754" s="3796"/>
      <c r="SNP754" s="3796"/>
      <c r="SNQ754" s="3796"/>
      <c r="SNR754" s="3796"/>
      <c r="SNS754" s="3796"/>
      <c r="SNT754" s="3796"/>
      <c r="SNU754" s="3796"/>
      <c r="SNV754" s="3796"/>
      <c r="SNW754" s="3796"/>
      <c r="SNX754" s="3796"/>
      <c r="SNY754" s="3796"/>
      <c r="SNZ754" s="3796"/>
      <c r="SOA754" s="3796"/>
      <c r="SOB754" s="3796"/>
      <c r="SOC754" s="3796"/>
      <c r="SOD754" s="3796"/>
      <c r="SOE754" s="3796"/>
      <c r="SOF754" s="3796"/>
      <c r="SOG754" s="3796"/>
      <c r="SOH754" s="3796"/>
      <c r="SOI754" s="3796"/>
      <c r="SOJ754" s="3796"/>
      <c r="SOK754" s="3796"/>
      <c r="SOL754" s="3796"/>
      <c r="SOM754" s="3796"/>
      <c r="SON754" s="3796"/>
      <c r="SOO754" s="3796"/>
      <c r="SOP754" s="3796"/>
      <c r="SOQ754" s="3796"/>
      <c r="SOR754" s="3796"/>
      <c r="SOS754" s="3796"/>
      <c r="SOT754" s="3796"/>
      <c r="SOU754" s="3796"/>
      <c r="SOV754" s="3796"/>
      <c r="SOW754" s="3796"/>
      <c r="SOX754" s="3796"/>
      <c r="SOY754" s="3796"/>
      <c r="SOZ754" s="3796"/>
      <c r="SPA754" s="3796"/>
      <c r="SPB754" s="3796"/>
      <c r="SPC754" s="3796"/>
      <c r="SPD754" s="3796"/>
      <c r="SPE754" s="3796"/>
      <c r="SPF754" s="3796"/>
      <c r="SPG754" s="3796"/>
      <c r="SPH754" s="3796"/>
      <c r="SPI754" s="3796"/>
      <c r="SPJ754" s="3796"/>
      <c r="SPK754" s="3796"/>
      <c r="SPL754" s="3796"/>
      <c r="SPM754" s="3796"/>
      <c r="SPN754" s="3796"/>
      <c r="SPO754" s="3796"/>
      <c r="SPP754" s="3796"/>
      <c r="SPQ754" s="3796"/>
      <c r="SPR754" s="3796"/>
      <c r="SPS754" s="3796"/>
      <c r="SPT754" s="3796"/>
      <c r="SPU754" s="3796"/>
      <c r="SPV754" s="3796"/>
      <c r="SPW754" s="3796"/>
      <c r="SPX754" s="3796"/>
      <c r="SPY754" s="3796"/>
      <c r="SPZ754" s="3796"/>
      <c r="SQA754" s="3796"/>
      <c r="SQB754" s="3796"/>
      <c r="SQC754" s="3796"/>
      <c r="SQD754" s="3796"/>
      <c r="SQE754" s="3796"/>
      <c r="SQF754" s="3796"/>
      <c r="SQG754" s="3796"/>
      <c r="SQH754" s="3796"/>
      <c r="SQI754" s="3796"/>
      <c r="SQJ754" s="3796"/>
      <c r="SQK754" s="3796"/>
      <c r="SQL754" s="3796"/>
      <c r="SQM754" s="3796"/>
      <c r="SQN754" s="3796"/>
      <c r="SQO754" s="3796"/>
      <c r="SQP754" s="3796"/>
      <c r="SQQ754" s="3796"/>
      <c r="SQR754" s="3796"/>
      <c r="SQS754" s="3796"/>
      <c r="SQT754" s="3796"/>
      <c r="SQU754" s="3796"/>
      <c r="SQV754" s="3796"/>
      <c r="SQW754" s="3796"/>
      <c r="SQX754" s="3796"/>
      <c r="SQY754" s="3796"/>
      <c r="SQZ754" s="3796"/>
      <c r="SRA754" s="3796"/>
      <c r="SRF754" s="3796"/>
      <c r="SRL754" s="3796"/>
      <c r="SRM754" s="3796"/>
      <c r="SRN754" s="3796"/>
      <c r="SRR754" s="3796"/>
      <c r="SRY754" s="3796"/>
      <c r="SRZ754" s="3796"/>
      <c r="SSA754" s="3796"/>
      <c r="SSB754" s="3796"/>
      <c r="SSC754" s="3796"/>
      <c r="SSD754" s="3796"/>
      <c r="SSE754" s="3796"/>
      <c r="SSF754" s="3796"/>
      <c r="SSG754" s="3796"/>
      <c r="SSH754" s="3796"/>
      <c r="SSI754" s="3796"/>
      <c r="SSJ754" s="3796"/>
      <c r="SSK754" s="3796"/>
      <c r="SSL754" s="3796"/>
      <c r="SSM754" s="3796"/>
      <c r="SSN754" s="3796"/>
      <c r="SSO754" s="3796"/>
      <c r="SSP754" s="3796"/>
      <c r="SSQ754" s="3796"/>
      <c r="SSR754" s="3796"/>
      <c r="SSS754" s="3796"/>
      <c r="SST754" s="3796"/>
      <c r="SSU754" s="3796"/>
      <c r="SSV754" s="3796"/>
      <c r="SSW754" s="3796"/>
      <c r="SSX754" s="3796"/>
      <c r="SSY754" s="3796"/>
      <c r="SSZ754" s="3796"/>
      <c r="STA754" s="3796"/>
      <c r="STB754" s="3796"/>
      <c r="STC754" s="3796"/>
      <c r="STD754" s="3796"/>
      <c r="STE754" s="3796"/>
      <c r="STF754" s="3796"/>
      <c r="STG754" s="3796"/>
      <c r="STH754" s="3796"/>
      <c r="STI754" s="3796"/>
      <c r="STJ754" s="3796"/>
      <c r="STK754" s="3796"/>
      <c r="STL754" s="3796"/>
      <c r="STM754" s="3796"/>
      <c r="STN754" s="3796"/>
      <c r="STO754" s="3796"/>
      <c r="STP754" s="3796"/>
      <c r="STQ754" s="3796"/>
      <c r="STR754" s="3796"/>
      <c r="STS754" s="3796"/>
      <c r="STT754" s="3796"/>
      <c r="STU754" s="3796"/>
      <c r="STV754" s="3796"/>
      <c r="STW754" s="3796"/>
      <c r="STX754" s="3796"/>
      <c r="STY754" s="3796"/>
      <c r="STZ754" s="3796"/>
      <c r="SUA754" s="3796"/>
      <c r="SUB754" s="3796"/>
      <c r="SUC754" s="3796"/>
      <c r="SUD754" s="3796"/>
      <c r="SUE754" s="3796"/>
      <c r="SUF754" s="3796"/>
      <c r="SUG754" s="3796"/>
      <c r="SUH754" s="3796"/>
      <c r="SUI754" s="3796"/>
      <c r="SUJ754" s="3796"/>
      <c r="SUK754" s="3796"/>
      <c r="SUL754" s="3796"/>
      <c r="SUM754" s="3796"/>
      <c r="SUN754" s="3796"/>
      <c r="SUO754" s="3796"/>
      <c r="SUP754" s="3796"/>
      <c r="SUQ754" s="3796"/>
      <c r="SUR754" s="3796"/>
      <c r="SUS754" s="3796"/>
      <c r="SUT754" s="3796"/>
      <c r="SUU754" s="3796"/>
      <c r="SUV754" s="3796"/>
      <c r="SUW754" s="3796"/>
      <c r="SUX754" s="3796"/>
      <c r="SUY754" s="3796"/>
      <c r="SUZ754" s="3796"/>
      <c r="SVA754" s="3796"/>
      <c r="SVB754" s="3796"/>
      <c r="SVC754" s="3796"/>
      <c r="SVD754" s="3796"/>
      <c r="SVE754" s="3796"/>
      <c r="SVF754" s="3796"/>
      <c r="SVG754" s="3796"/>
      <c r="SVH754" s="3796"/>
      <c r="SVI754" s="3796"/>
      <c r="SVJ754" s="3796"/>
      <c r="SVK754" s="3796"/>
      <c r="SVL754" s="3796"/>
      <c r="SVM754" s="3796"/>
      <c r="SVN754" s="3796"/>
      <c r="SVO754" s="3796"/>
      <c r="SVP754" s="3796"/>
      <c r="SVQ754" s="3796"/>
      <c r="SVR754" s="3796"/>
      <c r="SVS754" s="3796"/>
      <c r="SVT754" s="3796"/>
      <c r="SVU754" s="3796"/>
      <c r="SVV754" s="3796"/>
      <c r="SVW754" s="3796"/>
      <c r="SVX754" s="3796"/>
      <c r="SVY754" s="3796"/>
      <c r="SVZ754" s="3796"/>
      <c r="SWA754" s="3796"/>
      <c r="SWB754" s="3796"/>
      <c r="SWC754" s="3796"/>
      <c r="SWD754" s="3796"/>
      <c r="SWE754" s="3796"/>
      <c r="SWF754" s="3796"/>
      <c r="SWG754" s="3796"/>
      <c r="SWH754" s="3796"/>
      <c r="SWI754" s="3796"/>
      <c r="SWJ754" s="3796"/>
      <c r="SWK754" s="3796"/>
      <c r="SWL754" s="3796"/>
      <c r="SWM754" s="3796"/>
      <c r="SWN754" s="3796"/>
      <c r="SWO754" s="3796"/>
      <c r="SWP754" s="3796"/>
      <c r="SWQ754" s="3796"/>
      <c r="SWR754" s="3796"/>
      <c r="SWS754" s="3796"/>
      <c r="SWT754" s="3796"/>
      <c r="SWU754" s="3796"/>
      <c r="SWV754" s="3796"/>
      <c r="SWW754" s="3796"/>
      <c r="SWX754" s="3796"/>
      <c r="SWY754" s="3796"/>
      <c r="SWZ754" s="3796"/>
      <c r="SXA754" s="3796"/>
      <c r="SXB754" s="3796"/>
      <c r="SXC754" s="3796"/>
      <c r="SXD754" s="3796"/>
      <c r="SXE754" s="3796"/>
      <c r="SXF754" s="3796"/>
      <c r="SXG754" s="3796"/>
      <c r="SXH754" s="3796"/>
      <c r="SXI754" s="3796"/>
      <c r="SXJ754" s="3796"/>
      <c r="SXK754" s="3796"/>
      <c r="SXL754" s="3796"/>
      <c r="SXM754" s="3796"/>
      <c r="SXN754" s="3796"/>
      <c r="SXO754" s="3796"/>
      <c r="SXP754" s="3796"/>
      <c r="SXQ754" s="3796"/>
      <c r="SXR754" s="3796"/>
      <c r="SXS754" s="3796"/>
      <c r="SXT754" s="3796"/>
      <c r="SXU754" s="3796"/>
      <c r="SXV754" s="3796"/>
      <c r="SXW754" s="3796"/>
      <c r="SXX754" s="3796"/>
      <c r="SXY754" s="3796"/>
      <c r="SXZ754" s="3796"/>
      <c r="SYA754" s="3796"/>
      <c r="SYB754" s="3796"/>
      <c r="SYC754" s="3796"/>
      <c r="SYD754" s="3796"/>
      <c r="SYE754" s="3796"/>
      <c r="SYF754" s="3796"/>
      <c r="SYG754" s="3796"/>
      <c r="SYH754" s="3796"/>
      <c r="SYI754" s="3796"/>
      <c r="SYJ754" s="3796"/>
      <c r="SYK754" s="3796"/>
      <c r="SYL754" s="3796"/>
      <c r="SYM754" s="3796"/>
      <c r="SYN754" s="3796"/>
      <c r="SYO754" s="3796"/>
      <c r="SYP754" s="3796"/>
      <c r="SYQ754" s="3796"/>
      <c r="SYR754" s="3796"/>
      <c r="SYS754" s="3796"/>
      <c r="SYT754" s="3796"/>
      <c r="SYU754" s="3796"/>
      <c r="SYV754" s="3796"/>
      <c r="SYW754" s="3796"/>
      <c r="SYX754" s="3796"/>
      <c r="SYY754" s="3796"/>
      <c r="SYZ754" s="3796"/>
      <c r="SZA754" s="3796"/>
      <c r="SZB754" s="3796"/>
      <c r="SZC754" s="3796"/>
      <c r="SZD754" s="3796"/>
      <c r="SZE754" s="3796"/>
      <c r="SZF754" s="3796"/>
      <c r="SZG754" s="3796"/>
      <c r="SZH754" s="3796"/>
      <c r="SZI754" s="3796"/>
      <c r="SZJ754" s="3796"/>
      <c r="SZK754" s="3796"/>
      <c r="SZL754" s="3796"/>
      <c r="SZM754" s="3796"/>
      <c r="SZN754" s="3796"/>
      <c r="SZO754" s="3796"/>
      <c r="SZP754" s="3796"/>
      <c r="SZQ754" s="3796"/>
      <c r="SZR754" s="3796"/>
      <c r="SZS754" s="3796"/>
      <c r="SZT754" s="3796"/>
      <c r="SZU754" s="3796"/>
      <c r="SZV754" s="3796"/>
      <c r="SZW754" s="3796"/>
      <c r="SZX754" s="3796"/>
      <c r="SZY754" s="3796"/>
      <c r="SZZ754" s="3796"/>
      <c r="TAA754" s="3796"/>
      <c r="TAB754" s="3796"/>
      <c r="TAC754" s="3796"/>
      <c r="TAD754" s="3796"/>
      <c r="TAE754" s="3796"/>
      <c r="TAF754" s="3796"/>
      <c r="TAG754" s="3796"/>
      <c r="TAH754" s="3796"/>
      <c r="TAI754" s="3796"/>
      <c r="TAJ754" s="3796"/>
      <c r="TAK754" s="3796"/>
      <c r="TAL754" s="3796"/>
      <c r="TAM754" s="3796"/>
      <c r="TAN754" s="3796"/>
      <c r="TAO754" s="3796"/>
      <c r="TAP754" s="3796"/>
      <c r="TAQ754" s="3796"/>
      <c r="TAR754" s="3796"/>
      <c r="TAS754" s="3796"/>
      <c r="TAT754" s="3796"/>
      <c r="TAU754" s="3796"/>
      <c r="TAV754" s="3796"/>
      <c r="TAW754" s="3796"/>
      <c r="TBB754" s="3796"/>
      <c r="TBH754" s="3796"/>
      <c r="TBI754" s="3796"/>
      <c r="TBJ754" s="3796"/>
      <c r="TBN754" s="3796"/>
      <c r="TBU754" s="3796"/>
      <c r="TBV754" s="3796"/>
      <c r="TBW754" s="3796"/>
      <c r="TBX754" s="3796"/>
      <c r="TBY754" s="3796"/>
      <c r="TBZ754" s="3796"/>
      <c r="TCA754" s="3796"/>
      <c r="TCB754" s="3796"/>
      <c r="TCC754" s="3796"/>
      <c r="TCD754" s="3796"/>
      <c r="TCE754" s="3796"/>
      <c r="TCF754" s="3796"/>
      <c r="TCG754" s="3796"/>
      <c r="TCH754" s="3796"/>
      <c r="TCI754" s="3796"/>
      <c r="TCJ754" s="3796"/>
      <c r="TCK754" s="3796"/>
      <c r="TCL754" s="3796"/>
      <c r="TCM754" s="3796"/>
      <c r="TCN754" s="3796"/>
      <c r="TCO754" s="3796"/>
      <c r="TCP754" s="3796"/>
      <c r="TCQ754" s="3796"/>
      <c r="TCR754" s="3796"/>
      <c r="TCS754" s="3796"/>
      <c r="TCT754" s="3796"/>
      <c r="TCU754" s="3796"/>
      <c r="TCV754" s="3796"/>
      <c r="TCW754" s="3796"/>
      <c r="TCX754" s="3796"/>
      <c r="TCY754" s="3796"/>
      <c r="TCZ754" s="3796"/>
      <c r="TDA754" s="3796"/>
      <c r="TDB754" s="3796"/>
      <c r="TDC754" s="3796"/>
      <c r="TDD754" s="3796"/>
      <c r="TDE754" s="3796"/>
      <c r="TDF754" s="3796"/>
      <c r="TDG754" s="3796"/>
      <c r="TDH754" s="3796"/>
      <c r="TDI754" s="3796"/>
      <c r="TDJ754" s="3796"/>
      <c r="TDK754" s="3796"/>
      <c r="TDL754" s="3796"/>
      <c r="TDM754" s="3796"/>
      <c r="TDN754" s="3796"/>
      <c r="TDO754" s="3796"/>
      <c r="TDP754" s="3796"/>
      <c r="TDQ754" s="3796"/>
      <c r="TDR754" s="3796"/>
      <c r="TDS754" s="3796"/>
      <c r="TDT754" s="3796"/>
      <c r="TDU754" s="3796"/>
      <c r="TDV754" s="3796"/>
      <c r="TDW754" s="3796"/>
      <c r="TDX754" s="3796"/>
      <c r="TDY754" s="3796"/>
      <c r="TDZ754" s="3796"/>
      <c r="TEA754" s="3796"/>
      <c r="TEB754" s="3796"/>
      <c r="TEC754" s="3796"/>
      <c r="TED754" s="3796"/>
      <c r="TEE754" s="3796"/>
      <c r="TEF754" s="3796"/>
      <c r="TEG754" s="3796"/>
      <c r="TEH754" s="3796"/>
      <c r="TEI754" s="3796"/>
      <c r="TEJ754" s="3796"/>
      <c r="TEK754" s="3796"/>
      <c r="TEL754" s="3796"/>
      <c r="TEM754" s="3796"/>
      <c r="TEN754" s="3796"/>
      <c r="TEO754" s="3796"/>
      <c r="TEP754" s="3796"/>
      <c r="TEQ754" s="3796"/>
      <c r="TER754" s="3796"/>
      <c r="TES754" s="3796"/>
      <c r="TET754" s="3796"/>
      <c r="TEU754" s="3796"/>
      <c r="TEV754" s="3796"/>
      <c r="TEW754" s="3796"/>
      <c r="TEX754" s="3796"/>
      <c r="TEY754" s="3796"/>
      <c r="TEZ754" s="3796"/>
      <c r="TFA754" s="3796"/>
      <c r="TFB754" s="3796"/>
      <c r="TFC754" s="3796"/>
      <c r="TFD754" s="3796"/>
      <c r="TFE754" s="3796"/>
      <c r="TFF754" s="3796"/>
      <c r="TFG754" s="3796"/>
      <c r="TFH754" s="3796"/>
      <c r="TFI754" s="3796"/>
      <c r="TFJ754" s="3796"/>
      <c r="TFK754" s="3796"/>
      <c r="TFL754" s="3796"/>
      <c r="TFM754" s="3796"/>
      <c r="TFN754" s="3796"/>
      <c r="TFO754" s="3796"/>
      <c r="TFP754" s="3796"/>
      <c r="TFQ754" s="3796"/>
      <c r="TFR754" s="3796"/>
      <c r="TFS754" s="3796"/>
      <c r="TFT754" s="3796"/>
      <c r="TFU754" s="3796"/>
      <c r="TFV754" s="3796"/>
      <c r="TFW754" s="3796"/>
      <c r="TFX754" s="3796"/>
      <c r="TFY754" s="3796"/>
      <c r="TFZ754" s="3796"/>
      <c r="TGA754" s="3796"/>
      <c r="TGB754" s="3796"/>
      <c r="TGC754" s="3796"/>
      <c r="TGD754" s="3796"/>
      <c r="TGE754" s="3796"/>
      <c r="TGF754" s="3796"/>
      <c r="TGG754" s="3796"/>
      <c r="TGH754" s="3796"/>
      <c r="TGI754" s="3796"/>
      <c r="TGJ754" s="3796"/>
      <c r="TGK754" s="3796"/>
      <c r="TGL754" s="3796"/>
      <c r="TGM754" s="3796"/>
      <c r="TGN754" s="3796"/>
      <c r="TGO754" s="3796"/>
      <c r="TGP754" s="3796"/>
      <c r="TGQ754" s="3796"/>
      <c r="TGR754" s="3796"/>
      <c r="TGS754" s="3796"/>
      <c r="TGT754" s="3796"/>
      <c r="TGU754" s="3796"/>
      <c r="TGV754" s="3796"/>
      <c r="TGW754" s="3796"/>
      <c r="TGX754" s="3796"/>
      <c r="TGY754" s="3796"/>
      <c r="TGZ754" s="3796"/>
      <c r="THA754" s="3796"/>
      <c r="THB754" s="3796"/>
      <c r="THC754" s="3796"/>
      <c r="THD754" s="3796"/>
      <c r="THE754" s="3796"/>
      <c r="THF754" s="3796"/>
      <c r="THG754" s="3796"/>
      <c r="THH754" s="3796"/>
      <c r="THI754" s="3796"/>
      <c r="THJ754" s="3796"/>
      <c r="THK754" s="3796"/>
      <c r="THL754" s="3796"/>
      <c r="THM754" s="3796"/>
      <c r="THN754" s="3796"/>
      <c r="THO754" s="3796"/>
      <c r="THP754" s="3796"/>
      <c r="THQ754" s="3796"/>
      <c r="THR754" s="3796"/>
      <c r="THS754" s="3796"/>
      <c r="THT754" s="3796"/>
      <c r="THU754" s="3796"/>
      <c r="THV754" s="3796"/>
      <c r="THW754" s="3796"/>
      <c r="THX754" s="3796"/>
      <c r="THY754" s="3796"/>
      <c r="THZ754" s="3796"/>
      <c r="TIA754" s="3796"/>
      <c r="TIB754" s="3796"/>
      <c r="TIC754" s="3796"/>
      <c r="TID754" s="3796"/>
      <c r="TIE754" s="3796"/>
      <c r="TIF754" s="3796"/>
      <c r="TIG754" s="3796"/>
      <c r="TIH754" s="3796"/>
      <c r="TII754" s="3796"/>
      <c r="TIJ754" s="3796"/>
      <c r="TIK754" s="3796"/>
      <c r="TIL754" s="3796"/>
      <c r="TIM754" s="3796"/>
      <c r="TIN754" s="3796"/>
      <c r="TIO754" s="3796"/>
      <c r="TIP754" s="3796"/>
      <c r="TIQ754" s="3796"/>
      <c r="TIR754" s="3796"/>
      <c r="TIS754" s="3796"/>
      <c r="TIT754" s="3796"/>
      <c r="TIU754" s="3796"/>
      <c r="TIV754" s="3796"/>
      <c r="TIW754" s="3796"/>
      <c r="TIX754" s="3796"/>
      <c r="TIY754" s="3796"/>
      <c r="TIZ754" s="3796"/>
      <c r="TJA754" s="3796"/>
      <c r="TJB754" s="3796"/>
      <c r="TJC754" s="3796"/>
      <c r="TJD754" s="3796"/>
      <c r="TJE754" s="3796"/>
      <c r="TJF754" s="3796"/>
      <c r="TJG754" s="3796"/>
      <c r="TJH754" s="3796"/>
      <c r="TJI754" s="3796"/>
      <c r="TJJ754" s="3796"/>
      <c r="TJK754" s="3796"/>
      <c r="TJL754" s="3796"/>
      <c r="TJM754" s="3796"/>
      <c r="TJN754" s="3796"/>
      <c r="TJO754" s="3796"/>
      <c r="TJP754" s="3796"/>
      <c r="TJQ754" s="3796"/>
      <c r="TJR754" s="3796"/>
      <c r="TJS754" s="3796"/>
      <c r="TJT754" s="3796"/>
      <c r="TJU754" s="3796"/>
      <c r="TJV754" s="3796"/>
      <c r="TJW754" s="3796"/>
      <c r="TJX754" s="3796"/>
      <c r="TJY754" s="3796"/>
      <c r="TJZ754" s="3796"/>
      <c r="TKA754" s="3796"/>
      <c r="TKB754" s="3796"/>
      <c r="TKC754" s="3796"/>
      <c r="TKD754" s="3796"/>
      <c r="TKE754" s="3796"/>
      <c r="TKF754" s="3796"/>
      <c r="TKG754" s="3796"/>
      <c r="TKH754" s="3796"/>
      <c r="TKI754" s="3796"/>
      <c r="TKJ754" s="3796"/>
      <c r="TKK754" s="3796"/>
      <c r="TKL754" s="3796"/>
      <c r="TKM754" s="3796"/>
      <c r="TKN754" s="3796"/>
      <c r="TKO754" s="3796"/>
      <c r="TKP754" s="3796"/>
      <c r="TKQ754" s="3796"/>
      <c r="TKR754" s="3796"/>
      <c r="TKS754" s="3796"/>
      <c r="TKX754" s="3796"/>
      <c r="TLD754" s="3796"/>
      <c r="TLE754" s="3796"/>
      <c r="TLF754" s="3796"/>
      <c r="TLJ754" s="3796"/>
      <c r="TLQ754" s="3796"/>
      <c r="TLR754" s="3796"/>
      <c r="TLS754" s="3796"/>
      <c r="TLT754" s="3796"/>
      <c r="TLU754" s="3796"/>
      <c r="TLV754" s="3796"/>
      <c r="TLW754" s="3796"/>
      <c r="TLX754" s="3796"/>
      <c r="TLY754" s="3796"/>
      <c r="TLZ754" s="3796"/>
      <c r="TMA754" s="3796"/>
      <c r="TMB754" s="3796"/>
      <c r="TMC754" s="3796"/>
      <c r="TMD754" s="3796"/>
      <c r="TME754" s="3796"/>
      <c r="TMF754" s="3796"/>
      <c r="TMG754" s="3796"/>
      <c r="TMH754" s="3796"/>
      <c r="TMI754" s="3796"/>
      <c r="TMJ754" s="3796"/>
      <c r="TMK754" s="3796"/>
      <c r="TML754" s="3796"/>
      <c r="TMM754" s="3796"/>
      <c r="TMN754" s="3796"/>
      <c r="TMO754" s="3796"/>
      <c r="TMP754" s="3796"/>
      <c r="TMQ754" s="3796"/>
      <c r="TMR754" s="3796"/>
      <c r="TMS754" s="3796"/>
      <c r="TMT754" s="3796"/>
      <c r="TMU754" s="3796"/>
      <c r="TMV754" s="3796"/>
      <c r="TMW754" s="3796"/>
      <c r="TMX754" s="3796"/>
      <c r="TMY754" s="3796"/>
      <c r="TMZ754" s="3796"/>
      <c r="TNA754" s="3796"/>
      <c r="TNB754" s="3796"/>
      <c r="TNC754" s="3796"/>
      <c r="TND754" s="3796"/>
      <c r="TNE754" s="3796"/>
      <c r="TNF754" s="3796"/>
      <c r="TNG754" s="3796"/>
      <c r="TNH754" s="3796"/>
      <c r="TNI754" s="3796"/>
      <c r="TNJ754" s="3796"/>
      <c r="TNK754" s="3796"/>
      <c r="TNL754" s="3796"/>
      <c r="TNM754" s="3796"/>
      <c r="TNN754" s="3796"/>
      <c r="TNO754" s="3796"/>
      <c r="TNP754" s="3796"/>
      <c r="TNQ754" s="3796"/>
      <c r="TNR754" s="3796"/>
      <c r="TNS754" s="3796"/>
      <c r="TNT754" s="3796"/>
      <c r="TNU754" s="3796"/>
      <c r="TNV754" s="3796"/>
      <c r="TNW754" s="3796"/>
      <c r="TNX754" s="3796"/>
      <c r="TNY754" s="3796"/>
      <c r="TNZ754" s="3796"/>
      <c r="TOA754" s="3796"/>
      <c r="TOB754" s="3796"/>
      <c r="TOC754" s="3796"/>
      <c r="TOD754" s="3796"/>
      <c r="TOE754" s="3796"/>
      <c r="TOF754" s="3796"/>
      <c r="TOG754" s="3796"/>
      <c r="TOH754" s="3796"/>
      <c r="TOI754" s="3796"/>
      <c r="TOJ754" s="3796"/>
      <c r="TOK754" s="3796"/>
      <c r="TOL754" s="3796"/>
      <c r="TOM754" s="3796"/>
      <c r="TON754" s="3796"/>
      <c r="TOO754" s="3796"/>
      <c r="TOP754" s="3796"/>
      <c r="TOQ754" s="3796"/>
      <c r="TOR754" s="3796"/>
      <c r="TOS754" s="3796"/>
      <c r="TOT754" s="3796"/>
      <c r="TOU754" s="3796"/>
      <c r="TOV754" s="3796"/>
      <c r="TOW754" s="3796"/>
      <c r="TOX754" s="3796"/>
      <c r="TOY754" s="3796"/>
      <c r="TOZ754" s="3796"/>
      <c r="TPA754" s="3796"/>
      <c r="TPB754" s="3796"/>
      <c r="TPC754" s="3796"/>
      <c r="TPD754" s="3796"/>
      <c r="TPE754" s="3796"/>
      <c r="TPF754" s="3796"/>
      <c r="TPG754" s="3796"/>
      <c r="TPH754" s="3796"/>
      <c r="TPI754" s="3796"/>
      <c r="TPJ754" s="3796"/>
      <c r="TPK754" s="3796"/>
      <c r="TPL754" s="3796"/>
      <c r="TPM754" s="3796"/>
      <c r="TPN754" s="3796"/>
      <c r="TPO754" s="3796"/>
      <c r="TPP754" s="3796"/>
      <c r="TPQ754" s="3796"/>
      <c r="TPR754" s="3796"/>
      <c r="TPS754" s="3796"/>
      <c r="TPT754" s="3796"/>
      <c r="TPU754" s="3796"/>
      <c r="TPV754" s="3796"/>
      <c r="TPW754" s="3796"/>
      <c r="TPX754" s="3796"/>
      <c r="TPY754" s="3796"/>
      <c r="TPZ754" s="3796"/>
      <c r="TQA754" s="3796"/>
      <c r="TQB754" s="3796"/>
      <c r="TQC754" s="3796"/>
      <c r="TQD754" s="3796"/>
      <c r="TQE754" s="3796"/>
      <c r="TQF754" s="3796"/>
      <c r="TQG754" s="3796"/>
      <c r="TQH754" s="3796"/>
      <c r="TQI754" s="3796"/>
      <c r="TQJ754" s="3796"/>
      <c r="TQK754" s="3796"/>
      <c r="TQL754" s="3796"/>
      <c r="TQM754" s="3796"/>
      <c r="TQN754" s="3796"/>
      <c r="TQO754" s="3796"/>
      <c r="TQP754" s="3796"/>
      <c r="TQQ754" s="3796"/>
      <c r="TQR754" s="3796"/>
      <c r="TQS754" s="3796"/>
      <c r="TQT754" s="3796"/>
      <c r="TQU754" s="3796"/>
      <c r="TQV754" s="3796"/>
      <c r="TQW754" s="3796"/>
      <c r="TQX754" s="3796"/>
      <c r="TQY754" s="3796"/>
      <c r="TQZ754" s="3796"/>
      <c r="TRA754" s="3796"/>
      <c r="TRB754" s="3796"/>
      <c r="TRC754" s="3796"/>
      <c r="TRD754" s="3796"/>
      <c r="TRE754" s="3796"/>
      <c r="TRF754" s="3796"/>
      <c r="TRG754" s="3796"/>
      <c r="TRH754" s="3796"/>
      <c r="TRI754" s="3796"/>
      <c r="TRJ754" s="3796"/>
      <c r="TRK754" s="3796"/>
      <c r="TRL754" s="3796"/>
      <c r="TRM754" s="3796"/>
      <c r="TRN754" s="3796"/>
      <c r="TRO754" s="3796"/>
      <c r="TRP754" s="3796"/>
      <c r="TRQ754" s="3796"/>
      <c r="TRR754" s="3796"/>
      <c r="TRS754" s="3796"/>
      <c r="TRT754" s="3796"/>
      <c r="TRU754" s="3796"/>
      <c r="TRV754" s="3796"/>
      <c r="TRW754" s="3796"/>
      <c r="TRX754" s="3796"/>
      <c r="TRY754" s="3796"/>
      <c r="TRZ754" s="3796"/>
      <c r="TSA754" s="3796"/>
      <c r="TSB754" s="3796"/>
      <c r="TSC754" s="3796"/>
      <c r="TSD754" s="3796"/>
      <c r="TSE754" s="3796"/>
      <c r="TSF754" s="3796"/>
      <c r="TSG754" s="3796"/>
      <c r="TSH754" s="3796"/>
      <c r="TSI754" s="3796"/>
      <c r="TSJ754" s="3796"/>
      <c r="TSK754" s="3796"/>
      <c r="TSL754" s="3796"/>
      <c r="TSM754" s="3796"/>
      <c r="TSN754" s="3796"/>
      <c r="TSO754" s="3796"/>
      <c r="TSP754" s="3796"/>
      <c r="TSQ754" s="3796"/>
      <c r="TSR754" s="3796"/>
      <c r="TSS754" s="3796"/>
      <c r="TST754" s="3796"/>
      <c r="TSU754" s="3796"/>
      <c r="TSV754" s="3796"/>
      <c r="TSW754" s="3796"/>
      <c r="TSX754" s="3796"/>
      <c r="TSY754" s="3796"/>
      <c r="TSZ754" s="3796"/>
      <c r="TTA754" s="3796"/>
      <c r="TTB754" s="3796"/>
      <c r="TTC754" s="3796"/>
      <c r="TTD754" s="3796"/>
      <c r="TTE754" s="3796"/>
      <c r="TTF754" s="3796"/>
      <c r="TTG754" s="3796"/>
      <c r="TTH754" s="3796"/>
      <c r="TTI754" s="3796"/>
      <c r="TTJ754" s="3796"/>
      <c r="TTK754" s="3796"/>
      <c r="TTL754" s="3796"/>
      <c r="TTM754" s="3796"/>
      <c r="TTN754" s="3796"/>
      <c r="TTO754" s="3796"/>
      <c r="TTP754" s="3796"/>
      <c r="TTQ754" s="3796"/>
      <c r="TTR754" s="3796"/>
      <c r="TTS754" s="3796"/>
      <c r="TTT754" s="3796"/>
      <c r="TTU754" s="3796"/>
      <c r="TTV754" s="3796"/>
      <c r="TTW754" s="3796"/>
      <c r="TTX754" s="3796"/>
      <c r="TTY754" s="3796"/>
      <c r="TTZ754" s="3796"/>
      <c r="TUA754" s="3796"/>
      <c r="TUB754" s="3796"/>
      <c r="TUC754" s="3796"/>
      <c r="TUD754" s="3796"/>
      <c r="TUE754" s="3796"/>
      <c r="TUF754" s="3796"/>
      <c r="TUG754" s="3796"/>
      <c r="TUH754" s="3796"/>
      <c r="TUI754" s="3796"/>
      <c r="TUJ754" s="3796"/>
      <c r="TUK754" s="3796"/>
      <c r="TUL754" s="3796"/>
      <c r="TUM754" s="3796"/>
      <c r="TUN754" s="3796"/>
      <c r="TUO754" s="3796"/>
      <c r="TUT754" s="3796"/>
      <c r="TUZ754" s="3796"/>
      <c r="TVA754" s="3796"/>
      <c r="TVB754" s="3796"/>
      <c r="TVF754" s="3796"/>
      <c r="TVM754" s="3796"/>
      <c r="TVN754" s="3796"/>
      <c r="TVO754" s="3796"/>
      <c r="TVP754" s="3796"/>
      <c r="TVQ754" s="3796"/>
      <c r="TVR754" s="3796"/>
      <c r="TVS754" s="3796"/>
      <c r="TVT754" s="3796"/>
      <c r="TVU754" s="3796"/>
      <c r="TVV754" s="3796"/>
      <c r="TVW754" s="3796"/>
      <c r="TVX754" s="3796"/>
      <c r="TVY754" s="3796"/>
      <c r="TVZ754" s="3796"/>
      <c r="TWA754" s="3796"/>
      <c r="TWB754" s="3796"/>
      <c r="TWC754" s="3796"/>
      <c r="TWD754" s="3796"/>
      <c r="TWE754" s="3796"/>
      <c r="TWF754" s="3796"/>
      <c r="TWG754" s="3796"/>
      <c r="TWH754" s="3796"/>
      <c r="TWI754" s="3796"/>
      <c r="TWJ754" s="3796"/>
      <c r="TWK754" s="3796"/>
      <c r="TWL754" s="3796"/>
      <c r="TWM754" s="3796"/>
      <c r="TWN754" s="3796"/>
      <c r="TWO754" s="3796"/>
      <c r="TWP754" s="3796"/>
      <c r="TWQ754" s="3796"/>
      <c r="TWR754" s="3796"/>
      <c r="TWS754" s="3796"/>
      <c r="TWT754" s="3796"/>
      <c r="TWU754" s="3796"/>
      <c r="TWV754" s="3796"/>
      <c r="TWW754" s="3796"/>
      <c r="TWX754" s="3796"/>
      <c r="TWY754" s="3796"/>
      <c r="TWZ754" s="3796"/>
      <c r="TXA754" s="3796"/>
      <c r="TXB754" s="3796"/>
      <c r="TXC754" s="3796"/>
      <c r="TXD754" s="3796"/>
      <c r="TXE754" s="3796"/>
      <c r="TXF754" s="3796"/>
      <c r="TXG754" s="3796"/>
      <c r="TXH754" s="3796"/>
      <c r="TXI754" s="3796"/>
      <c r="TXJ754" s="3796"/>
      <c r="TXK754" s="3796"/>
      <c r="TXL754" s="3796"/>
      <c r="TXM754" s="3796"/>
      <c r="TXN754" s="3796"/>
      <c r="TXO754" s="3796"/>
      <c r="TXP754" s="3796"/>
      <c r="TXQ754" s="3796"/>
      <c r="TXR754" s="3796"/>
      <c r="TXS754" s="3796"/>
      <c r="TXT754" s="3796"/>
      <c r="TXU754" s="3796"/>
      <c r="TXV754" s="3796"/>
      <c r="TXW754" s="3796"/>
      <c r="TXX754" s="3796"/>
      <c r="TXY754" s="3796"/>
      <c r="TXZ754" s="3796"/>
      <c r="TYA754" s="3796"/>
      <c r="TYB754" s="3796"/>
      <c r="TYC754" s="3796"/>
      <c r="TYD754" s="3796"/>
      <c r="TYE754" s="3796"/>
      <c r="TYF754" s="3796"/>
      <c r="TYG754" s="3796"/>
      <c r="TYH754" s="3796"/>
      <c r="TYI754" s="3796"/>
      <c r="TYJ754" s="3796"/>
      <c r="TYK754" s="3796"/>
      <c r="TYL754" s="3796"/>
      <c r="TYM754" s="3796"/>
      <c r="TYN754" s="3796"/>
      <c r="TYO754" s="3796"/>
      <c r="TYP754" s="3796"/>
      <c r="TYQ754" s="3796"/>
      <c r="TYR754" s="3796"/>
      <c r="TYS754" s="3796"/>
      <c r="TYT754" s="3796"/>
      <c r="TYU754" s="3796"/>
      <c r="TYV754" s="3796"/>
      <c r="TYW754" s="3796"/>
      <c r="TYX754" s="3796"/>
      <c r="TYY754" s="3796"/>
      <c r="TYZ754" s="3796"/>
      <c r="TZA754" s="3796"/>
      <c r="TZB754" s="3796"/>
      <c r="TZC754" s="3796"/>
      <c r="TZD754" s="3796"/>
      <c r="TZE754" s="3796"/>
      <c r="TZF754" s="3796"/>
      <c r="TZG754" s="3796"/>
      <c r="TZH754" s="3796"/>
      <c r="TZI754" s="3796"/>
      <c r="TZJ754" s="3796"/>
      <c r="TZK754" s="3796"/>
      <c r="TZL754" s="3796"/>
      <c r="TZM754" s="3796"/>
      <c r="TZN754" s="3796"/>
      <c r="TZO754" s="3796"/>
      <c r="TZP754" s="3796"/>
      <c r="TZQ754" s="3796"/>
      <c r="TZR754" s="3796"/>
      <c r="TZS754" s="3796"/>
      <c r="TZT754" s="3796"/>
      <c r="TZU754" s="3796"/>
      <c r="TZV754" s="3796"/>
      <c r="TZW754" s="3796"/>
      <c r="TZX754" s="3796"/>
      <c r="TZY754" s="3796"/>
      <c r="TZZ754" s="3796"/>
      <c r="UAA754" s="3796"/>
      <c r="UAB754" s="3796"/>
      <c r="UAC754" s="3796"/>
      <c r="UAD754" s="3796"/>
      <c r="UAE754" s="3796"/>
      <c r="UAF754" s="3796"/>
      <c r="UAG754" s="3796"/>
      <c r="UAH754" s="3796"/>
      <c r="UAI754" s="3796"/>
      <c r="UAJ754" s="3796"/>
      <c r="UAK754" s="3796"/>
      <c r="UAL754" s="3796"/>
      <c r="UAM754" s="3796"/>
      <c r="UAN754" s="3796"/>
      <c r="UAO754" s="3796"/>
      <c r="UAP754" s="3796"/>
      <c r="UAQ754" s="3796"/>
      <c r="UAR754" s="3796"/>
      <c r="UAS754" s="3796"/>
      <c r="UAT754" s="3796"/>
      <c r="UAU754" s="3796"/>
      <c r="UAV754" s="3796"/>
      <c r="UAW754" s="3796"/>
      <c r="UAX754" s="3796"/>
      <c r="UAY754" s="3796"/>
      <c r="UAZ754" s="3796"/>
      <c r="UBA754" s="3796"/>
      <c r="UBB754" s="3796"/>
      <c r="UBC754" s="3796"/>
      <c r="UBD754" s="3796"/>
      <c r="UBE754" s="3796"/>
      <c r="UBF754" s="3796"/>
      <c r="UBG754" s="3796"/>
      <c r="UBH754" s="3796"/>
      <c r="UBI754" s="3796"/>
      <c r="UBJ754" s="3796"/>
      <c r="UBK754" s="3796"/>
      <c r="UBL754" s="3796"/>
      <c r="UBM754" s="3796"/>
      <c r="UBN754" s="3796"/>
      <c r="UBO754" s="3796"/>
      <c r="UBP754" s="3796"/>
      <c r="UBQ754" s="3796"/>
      <c r="UBR754" s="3796"/>
      <c r="UBS754" s="3796"/>
      <c r="UBT754" s="3796"/>
      <c r="UBU754" s="3796"/>
      <c r="UBV754" s="3796"/>
      <c r="UBW754" s="3796"/>
      <c r="UBX754" s="3796"/>
      <c r="UBY754" s="3796"/>
      <c r="UBZ754" s="3796"/>
      <c r="UCA754" s="3796"/>
      <c r="UCB754" s="3796"/>
      <c r="UCC754" s="3796"/>
      <c r="UCD754" s="3796"/>
      <c r="UCE754" s="3796"/>
      <c r="UCF754" s="3796"/>
      <c r="UCG754" s="3796"/>
      <c r="UCH754" s="3796"/>
      <c r="UCI754" s="3796"/>
      <c r="UCJ754" s="3796"/>
      <c r="UCK754" s="3796"/>
      <c r="UCL754" s="3796"/>
      <c r="UCM754" s="3796"/>
      <c r="UCN754" s="3796"/>
      <c r="UCO754" s="3796"/>
      <c r="UCP754" s="3796"/>
      <c r="UCQ754" s="3796"/>
      <c r="UCR754" s="3796"/>
      <c r="UCS754" s="3796"/>
      <c r="UCT754" s="3796"/>
      <c r="UCU754" s="3796"/>
      <c r="UCV754" s="3796"/>
      <c r="UCW754" s="3796"/>
      <c r="UCX754" s="3796"/>
      <c r="UCY754" s="3796"/>
      <c r="UCZ754" s="3796"/>
      <c r="UDA754" s="3796"/>
      <c r="UDB754" s="3796"/>
      <c r="UDC754" s="3796"/>
      <c r="UDD754" s="3796"/>
      <c r="UDE754" s="3796"/>
      <c r="UDF754" s="3796"/>
      <c r="UDG754" s="3796"/>
      <c r="UDH754" s="3796"/>
      <c r="UDI754" s="3796"/>
      <c r="UDJ754" s="3796"/>
      <c r="UDK754" s="3796"/>
      <c r="UDL754" s="3796"/>
      <c r="UDM754" s="3796"/>
      <c r="UDN754" s="3796"/>
      <c r="UDO754" s="3796"/>
      <c r="UDP754" s="3796"/>
      <c r="UDQ754" s="3796"/>
      <c r="UDR754" s="3796"/>
      <c r="UDS754" s="3796"/>
      <c r="UDT754" s="3796"/>
      <c r="UDU754" s="3796"/>
      <c r="UDV754" s="3796"/>
      <c r="UDW754" s="3796"/>
      <c r="UDX754" s="3796"/>
      <c r="UDY754" s="3796"/>
      <c r="UDZ754" s="3796"/>
      <c r="UEA754" s="3796"/>
      <c r="UEB754" s="3796"/>
      <c r="UEC754" s="3796"/>
      <c r="UED754" s="3796"/>
      <c r="UEE754" s="3796"/>
      <c r="UEF754" s="3796"/>
      <c r="UEG754" s="3796"/>
      <c r="UEH754" s="3796"/>
      <c r="UEI754" s="3796"/>
      <c r="UEJ754" s="3796"/>
      <c r="UEK754" s="3796"/>
      <c r="UEP754" s="3796"/>
      <c r="UEV754" s="3796"/>
      <c r="UEW754" s="3796"/>
      <c r="UEX754" s="3796"/>
      <c r="UFB754" s="3796"/>
      <c r="UFI754" s="3796"/>
      <c r="UFJ754" s="3796"/>
      <c r="UFK754" s="3796"/>
      <c r="UFL754" s="3796"/>
      <c r="UFM754" s="3796"/>
      <c r="UFN754" s="3796"/>
      <c r="UFO754" s="3796"/>
      <c r="UFP754" s="3796"/>
      <c r="UFQ754" s="3796"/>
      <c r="UFR754" s="3796"/>
      <c r="UFS754" s="3796"/>
      <c r="UFT754" s="3796"/>
      <c r="UFU754" s="3796"/>
      <c r="UFV754" s="3796"/>
      <c r="UFW754" s="3796"/>
      <c r="UFX754" s="3796"/>
      <c r="UFY754" s="3796"/>
      <c r="UFZ754" s="3796"/>
      <c r="UGA754" s="3796"/>
      <c r="UGB754" s="3796"/>
      <c r="UGC754" s="3796"/>
      <c r="UGD754" s="3796"/>
      <c r="UGE754" s="3796"/>
      <c r="UGF754" s="3796"/>
      <c r="UGG754" s="3796"/>
      <c r="UGH754" s="3796"/>
      <c r="UGI754" s="3796"/>
      <c r="UGJ754" s="3796"/>
      <c r="UGK754" s="3796"/>
      <c r="UGL754" s="3796"/>
      <c r="UGM754" s="3796"/>
      <c r="UGN754" s="3796"/>
      <c r="UGO754" s="3796"/>
      <c r="UGP754" s="3796"/>
      <c r="UGQ754" s="3796"/>
      <c r="UGR754" s="3796"/>
      <c r="UGS754" s="3796"/>
      <c r="UGT754" s="3796"/>
      <c r="UGU754" s="3796"/>
      <c r="UGV754" s="3796"/>
      <c r="UGW754" s="3796"/>
      <c r="UGX754" s="3796"/>
      <c r="UGY754" s="3796"/>
      <c r="UGZ754" s="3796"/>
      <c r="UHA754" s="3796"/>
      <c r="UHB754" s="3796"/>
      <c r="UHC754" s="3796"/>
      <c r="UHD754" s="3796"/>
      <c r="UHE754" s="3796"/>
      <c r="UHF754" s="3796"/>
      <c r="UHG754" s="3796"/>
      <c r="UHH754" s="3796"/>
      <c r="UHI754" s="3796"/>
      <c r="UHJ754" s="3796"/>
      <c r="UHK754" s="3796"/>
      <c r="UHL754" s="3796"/>
      <c r="UHM754" s="3796"/>
      <c r="UHN754" s="3796"/>
      <c r="UHO754" s="3796"/>
      <c r="UHP754" s="3796"/>
      <c r="UHQ754" s="3796"/>
      <c r="UHR754" s="3796"/>
      <c r="UHS754" s="3796"/>
      <c r="UHT754" s="3796"/>
      <c r="UHU754" s="3796"/>
      <c r="UHV754" s="3796"/>
      <c r="UHW754" s="3796"/>
      <c r="UHX754" s="3796"/>
      <c r="UHY754" s="3796"/>
      <c r="UHZ754" s="3796"/>
      <c r="UIA754" s="3796"/>
      <c r="UIB754" s="3796"/>
      <c r="UIC754" s="3796"/>
      <c r="UID754" s="3796"/>
      <c r="UIE754" s="3796"/>
      <c r="UIF754" s="3796"/>
      <c r="UIG754" s="3796"/>
      <c r="UIH754" s="3796"/>
      <c r="UII754" s="3796"/>
      <c r="UIJ754" s="3796"/>
      <c r="UIK754" s="3796"/>
      <c r="UIL754" s="3796"/>
      <c r="UIM754" s="3796"/>
      <c r="UIN754" s="3796"/>
      <c r="UIO754" s="3796"/>
      <c r="UIP754" s="3796"/>
      <c r="UIQ754" s="3796"/>
      <c r="UIR754" s="3796"/>
      <c r="UIS754" s="3796"/>
      <c r="UIT754" s="3796"/>
      <c r="UIU754" s="3796"/>
      <c r="UIV754" s="3796"/>
      <c r="UIW754" s="3796"/>
      <c r="UIX754" s="3796"/>
      <c r="UIY754" s="3796"/>
      <c r="UIZ754" s="3796"/>
      <c r="UJA754" s="3796"/>
      <c r="UJB754" s="3796"/>
      <c r="UJC754" s="3796"/>
      <c r="UJD754" s="3796"/>
      <c r="UJE754" s="3796"/>
      <c r="UJF754" s="3796"/>
      <c r="UJG754" s="3796"/>
      <c r="UJH754" s="3796"/>
      <c r="UJI754" s="3796"/>
      <c r="UJJ754" s="3796"/>
      <c r="UJK754" s="3796"/>
      <c r="UJL754" s="3796"/>
      <c r="UJM754" s="3796"/>
      <c r="UJN754" s="3796"/>
      <c r="UJO754" s="3796"/>
      <c r="UJP754" s="3796"/>
      <c r="UJQ754" s="3796"/>
      <c r="UJR754" s="3796"/>
      <c r="UJS754" s="3796"/>
      <c r="UJT754" s="3796"/>
      <c r="UJU754" s="3796"/>
      <c r="UJV754" s="3796"/>
      <c r="UJW754" s="3796"/>
      <c r="UJX754" s="3796"/>
      <c r="UJY754" s="3796"/>
      <c r="UJZ754" s="3796"/>
      <c r="UKA754" s="3796"/>
      <c r="UKB754" s="3796"/>
      <c r="UKC754" s="3796"/>
      <c r="UKD754" s="3796"/>
      <c r="UKE754" s="3796"/>
      <c r="UKF754" s="3796"/>
      <c r="UKG754" s="3796"/>
      <c r="UKH754" s="3796"/>
      <c r="UKI754" s="3796"/>
      <c r="UKJ754" s="3796"/>
      <c r="UKK754" s="3796"/>
      <c r="UKL754" s="3796"/>
      <c r="UKM754" s="3796"/>
      <c r="UKN754" s="3796"/>
      <c r="UKO754" s="3796"/>
      <c r="UKP754" s="3796"/>
      <c r="UKQ754" s="3796"/>
      <c r="UKR754" s="3796"/>
      <c r="UKS754" s="3796"/>
      <c r="UKT754" s="3796"/>
      <c r="UKU754" s="3796"/>
      <c r="UKV754" s="3796"/>
      <c r="UKW754" s="3796"/>
      <c r="UKX754" s="3796"/>
      <c r="UKY754" s="3796"/>
      <c r="UKZ754" s="3796"/>
      <c r="ULA754" s="3796"/>
      <c r="ULB754" s="3796"/>
      <c r="ULC754" s="3796"/>
      <c r="ULD754" s="3796"/>
      <c r="ULE754" s="3796"/>
      <c r="ULF754" s="3796"/>
      <c r="ULG754" s="3796"/>
      <c r="ULH754" s="3796"/>
      <c r="ULI754" s="3796"/>
      <c r="ULJ754" s="3796"/>
      <c r="ULK754" s="3796"/>
      <c r="ULL754" s="3796"/>
      <c r="ULM754" s="3796"/>
      <c r="ULN754" s="3796"/>
      <c r="ULO754" s="3796"/>
      <c r="ULP754" s="3796"/>
      <c r="ULQ754" s="3796"/>
      <c r="ULR754" s="3796"/>
      <c r="ULS754" s="3796"/>
      <c r="ULT754" s="3796"/>
      <c r="ULU754" s="3796"/>
      <c r="ULV754" s="3796"/>
      <c r="ULW754" s="3796"/>
      <c r="ULX754" s="3796"/>
      <c r="ULY754" s="3796"/>
      <c r="ULZ754" s="3796"/>
      <c r="UMA754" s="3796"/>
      <c r="UMB754" s="3796"/>
      <c r="UMC754" s="3796"/>
      <c r="UMD754" s="3796"/>
      <c r="UME754" s="3796"/>
      <c r="UMF754" s="3796"/>
      <c r="UMG754" s="3796"/>
      <c r="UMH754" s="3796"/>
      <c r="UMI754" s="3796"/>
      <c r="UMJ754" s="3796"/>
      <c r="UMK754" s="3796"/>
      <c r="UML754" s="3796"/>
      <c r="UMM754" s="3796"/>
      <c r="UMN754" s="3796"/>
      <c r="UMO754" s="3796"/>
      <c r="UMP754" s="3796"/>
      <c r="UMQ754" s="3796"/>
      <c r="UMR754" s="3796"/>
      <c r="UMS754" s="3796"/>
      <c r="UMT754" s="3796"/>
      <c r="UMU754" s="3796"/>
      <c r="UMV754" s="3796"/>
      <c r="UMW754" s="3796"/>
      <c r="UMX754" s="3796"/>
      <c r="UMY754" s="3796"/>
      <c r="UMZ754" s="3796"/>
      <c r="UNA754" s="3796"/>
      <c r="UNB754" s="3796"/>
      <c r="UNC754" s="3796"/>
      <c r="UND754" s="3796"/>
      <c r="UNE754" s="3796"/>
      <c r="UNF754" s="3796"/>
      <c r="UNG754" s="3796"/>
      <c r="UNH754" s="3796"/>
      <c r="UNI754" s="3796"/>
      <c r="UNJ754" s="3796"/>
      <c r="UNK754" s="3796"/>
      <c r="UNL754" s="3796"/>
      <c r="UNM754" s="3796"/>
      <c r="UNN754" s="3796"/>
      <c r="UNO754" s="3796"/>
      <c r="UNP754" s="3796"/>
      <c r="UNQ754" s="3796"/>
      <c r="UNR754" s="3796"/>
      <c r="UNS754" s="3796"/>
      <c r="UNT754" s="3796"/>
      <c r="UNU754" s="3796"/>
      <c r="UNV754" s="3796"/>
      <c r="UNW754" s="3796"/>
      <c r="UNX754" s="3796"/>
      <c r="UNY754" s="3796"/>
      <c r="UNZ754" s="3796"/>
      <c r="UOA754" s="3796"/>
      <c r="UOB754" s="3796"/>
      <c r="UOC754" s="3796"/>
      <c r="UOD754" s="3796"/>
      <c r="UOE754" s="3796"/>
      <c r="UOF754" s="3796"/>
      <c r="UOG754" s="3796"/>
      <c r="UOL754" s="3796"/>
      <c r="UOR754" s="3796"/>
      <c r="UOS754" s="3796"/>
      <c r="UOT754" s="3796"/>
      <c r="UOX754" s="3796"/>
      <c r="UPE754" s="3796"/>
      <c r="UPF754" s="3796"/>
      <c r="UPG754" s="3796"/>
      <c r="UPH754" s="3796"/>
      <c r="UPI754" s="3796"/>
      <c r="UPJ754" s="3796"/>
      <c r="UPK754" s="3796"/>
      <c r="UPL754" s="3796"/>
      <c r="UPM754" s="3796"/>
      <c r="UPN754" s="3796"/>
      <c r="UPO754" s="3796"/>
      <c r="UPP754" s="3796"/>
      <c r="UPQ754" s="3796"/>
      <c r="UPR754" s="3796"/>
      <c r="UPS754" s="3796"/>
      <c r="UPT754" s="3796"/>
      <c r="UPU754" s="3796"/>
      <c r="UPV754" s="3796"/>
      <c r="UPW754" s="3796"/>
      <c r="UPX754" s="3796"/>
      <c r="UPY754" s="3796"/>
      <c r="UPZ754" s="3796"/>
      <c r="UQA754" s="3796"/>
      <c r="UQB754" s="3796"/>
      <c r="UQC754" s="3796"/>
      <c r="UQD754" s="3796"/>
      <c r="UQE754" s="3796"/>
      <c r="UQF754" s="3796"/>
      <c r="UQG754" s="3796"/>
      <c r="UQH754" s="3796"/>
      <c r="UQI754" s="3796"/>
      <c r="UQJ754" s="3796"/>
      <c r="UQK754" s="3796"/>
      <c r="UQL754" s="3796"/>
      <c r="UQM754" s="3796"/>
      <c r="UQN754" s="3796"/>
      <c r="UQO754" s="3796"/>
      <c r="UQP754" s="3796"/>
      <c r="UQQ754" s="3796"/>
      <c r="UQR754" s="3796"/>
      <c r="UQS754" s="3796"/>
      <c r="UQT754" s="3796"/>
      <c r="UQU754" s="3796"/>
      <c r="UQV754" s="3796"/>
      <c r="UQW754" s="3796"/>
      <c r="UQX754" s="3796"/>
      <c r="UQY754" s="3796"/>
      <c r="UQZ754" s="3796"/>
      <c r="URA754" s="3796"/>
      <c r="URB754" s="3796"/>
      <c r="URC754" s="3796"/>
      <c r="URD754" s="3796"/>
      <c r="URE754" s="3796"/>
      <c r="URF754" s="3796"/>
      <c r="URG754" s="3796"/>
      <c r="URH754" s="3796"/>
      <c r="URI754" s="3796"/>
      <c r="URJ754" s="3796"/>
      <c r="URK754" s="3796"/>
      <c r="URL754" s="3796"/>
      <c r="URM754" s="3796"/>
      <c r="URN754" s="3796"/>
      <c r="URO754" s="3796"/>
      <c r="URP754" s="3796"/>
      <c r="URQ754" s="3796"/>
      <c r="URR754" s="3796"/>
      <c r="URS754" s="3796"/>
      <c r="URT754" s="3796"/>
      <c r="URU754" s="3796"/>
      <c r="URV754" s="3796"/>
      <c r="URW754" s="3796"/>
      <c r="URX754" s="3796"/>
      <c r="URY754" s="3796"/>
      <c r="URZ754" s="3796"/>
      <c r="USA754" s="3796"/>
      <c r="USB754" s="3796"/>
      <c r="USC754" s="3796"/>
      <c r="USD754" s="3796"/>
      <c r="USE754" s="3796"/>
      <c r="USF754" s="3796"/>
      <c r="USG754" s="3796"/>
      <c r="USH754" s="3796"/>
      <c r="USI754" s="3796"/>
      <c r="USJ754" s="3796"/>
      <c r="USK754" s="3796"/>
      <c r="USL754" s="3796"/>
      <c r="USM754" s="3796"/>
      <c r="USN754" s="3796"/>
      <c r="USO754" s="3796"/>
      <c r="USP754" s="3796"/>
      <c r="USQ754" s="3796"/>
      <c r="USR754" s="3796"/>
      <c r="USS754" s="3796"/>
      <c r="UST754" s="3796"/>
      <c r="USU754" s="3796"/>
      <c r="USV754" s="3796"/>
      <c r="USW754" s="3796"/>
      <c r="USX754" s="3796"/>
      <c r="USY754" s="3796"/>
      <c r="USZ754" s="3796"/>
      <c r="UTA754" s="3796"/>
      <c r="UTB754" s="3796"/>
      <c r="UTC754" s="3796"/>
      <c r="UTD754" s="3796"/>
      <c r="UTE754" s="3796"/>
      <c r="UTF754" s="3796"/>
      <c r="UTG754" s="3796"/>
      <c r="UTH754" s="3796"/>
      <c r="UTI754" s="3796"/>
      <c r="UTJ754" s="3796"/>
      <c r="UTK754" s="3796"/>
      <c r="UTL754" s="3796"/>
      <c r="UTM754" s="3796"/>
      <c r="UTN754" s="3796"/>
      <c r="UTO754" s="3796"/>
      <c r="UTP754" s="3796"/>
      <c r="UTQ754" s="3796"/>
      <c r="UTR754" s="3796"/>
      <c r="UTS754" s="3796"/>
      <c r="UTT754" s="3796"/>
      <c r="UTU754" s="3796"/>
      <c r="UTV754" s="3796"/>
      <c r="UTW754" s="3796"/>
      <c r="UTX754" s="3796"/>
      <c r="UTY754" s="3796"/>
      <c r="UTZ754" s="3796"/>
      <c r="UUA754" s="3796"/>
      <c r="UUB754" s="3796"/>
      <c r="UUC754" s="3796"/>
      <c r="UUD754" s="3796"/>
      <c r="UUE754" s="3796"/>
      <c r="UUF754" s="3796"/>
      <c r="UUG754" s="3796"/>
      <c r="UUH754" s="3796"/>
      <c r="UUI754" s="3796"/>
      <c r="UUJ754" s="3796"/>
      <c r="UUK754" s="3796"/>
      <c r="UUL754" s="3796"/>
      <c r="UUM754" s="3796"/>
      <c r="UUN754" s="3796"/>
      <c r="UUO754" s="3796"/>
      <c r="UUP754" s="3796"/>
      <c r="UUQ754" s="3796"/>
      <c r="UUR754" s="3796"/>
      <c r="UUS754" s="3796"/>
      <c r="UUT754" s="3796"/>
      <c r="UUU754" s="3796"/>
      <c r="UUV754" s="3796"/>
      <c r="UUW754" s="3796"/>
      <c r="UUX754" s="3796"/>
      <c r="UUY754" s="3796"/>
      <c r="UUZ754" s="3796"/>
      <c r="UVA754" s="3796"/>
      <c r="UVB754" s="3796"/>
      <c r="UVC754" s="3796"/>
      <c r="UVD754" s="3796"/>
      <c r="UVE754" s="3796"/>
      <c r="UVF754" s="3796"/>
      <c r="UVG754" s="3796"/>
      <c r="UVH754" s="3796"/>
      <c r="UVI754" s="3796"/>
      <c r="UVJ754" s="3796"/>
      <c r="UVK754" s="3796"/>
      <c r="UVL754" s="3796"/>
      <c r="UVM754" s="3796"/>
      <c r="UVN754" s="3796"/>
      <c r="UVO754" s="3796"/>
      <c r="UVP754" s="3796"/>
      <c r="UVQ754" s="3796"/>
      <c r="UVR754" s="3796"/>
      <c r="UVS754" s="3796"/>
      <c r="UVT754" s="3796"/>
      <c r="UVU754" s="3796"/>
      <c r="UVV754" s="3796"/>
      <c r="UVW754" s="3796"/>
      <c r="UVX754" s="3796"/>
      <c r="UVY754" s="3796"/>
      <c r="UVZ754" s="3796"/>
      <c r="UWA754" s="3796"/>
      <c r="UWB754" s="3796"/>
      <c r="UWC754" s="3796"/>
      <c r="UWD754" s="3796"/>
      <c r="UWE754" s="3796"/>
      <c r="UWF754" s="3796"/>
      <c r="UWG754" s="3796"/>
      <c r="UWH754" s="3796"/>
      <c r="UWI754" s="3796"/>
      <c r="UWJ754" s="3796"/>
      <c r="UWK754" s="3796"/>
      <c r="UWL754" s="3796"/>
      <c r="UWM754" s="3796"/>
      <c r="UWN754" s="3796"/>
      <c r="UWO754" s="3796"/>
      <c r="UWP754" s="3796"/>
      <c r="UWQ754" s="3796"/>
      <c r="UWR754" s="3796"/>
      <c r="UWS754" s="3796"/>
      <c r="UWT754" s="3796"/>
      <c r="UWU754" s="3796"/>
      <c r="UWV754" s="3796"/>
      <c r="UWW754" s="3796"/>
      <c r="UWX754" s="3796"/>
      <c r="UWY754" s="3796"/>
      <c r="UWZ754" s="3796"/>
      <c r="UXA754" s="3796"/>
      <c r="UXB754" s="3796"/>
      <c r="UXC754" s="3796"/>
      <c r="UXD754" s="3796"/>
      <c r="UXE754" s="3796"/>
      <c r="UXF754" s="3796"/>
      <c r="UXG754" s="3796"/>
      <c r="UXH754" s="3796"/>
      <c r="UXI754" s="3796"/>
      <c r="UXJ754" s="3796"/>
      <c r="UXK754" s="3796"/>
      <c r="UXL754" s="3796"/>
      <c r="UXM754" s="3796"/>
      <c r="UXN754" s="3796"/>
      <c r="UXO754" s="3796"/>
      <c r="UXP754" s="3796"/>
      <c r="UXQ754" s="3796"/>
      <c r="UXR754" s="3796"/>
      <c r="UXS754" s="3796"/>
      <c r="UXT754" s="3796"/>
      <c r="UXU754" s="3796"/>
      <c r="UXV754" s="3796"/>
      <c r="UXW754" s="3796"/>
      <c r="UXX754" s="3796"/>
      <c r="UXY754" s="3796"/>
      <c r="UXZ754" s="3796"/>
      <c r="UYA754" s="3796"/>
      <c r="UYB754" s="3796"/>
      <c r="UYC754" s="3796"/>
      <c r="UYH754" s="3796"/>
      <c r="UYN754" s="3796"/>
      <c r="UYO754" s="3796"/>
      <c r="UYP754" s="3796"/>
      <c r="UYT754" s="3796"/>
      <c r="UZA754" s="3796"/>
      <c r="UZB754" s="3796"/>
      <c r="UZC754" s="3796"/>
      <c r="UZD754" s="3796"/>
      <c r="UZE754" s="3796"/>
      <c r="UZF754" s="3796"/>
      <c r="UZG754" s="3796"/>
      <c r="UZH754" s="3796"/>
      <c r="UZI754" s="3796"/>
      <c r="UZJ754" s="3796"/>
      <c r="UZK754" s="3796"/>
      <c r="UZL754" s="3796"/>
      <c r="UZM754" s="3796"/>
      <c r="UZN754" s="3796"/>
      <c r="UZO754" s="3796"/>
      <c r="UZP754" s="3796"/>
      <c r="UZQ754" s="3796"/>
      <c r="UZR754" s="3796"/>
      <c r="UZS754" s="3796"/>
      <c r="UZT754" s="3796"/>
      <c r="UZU754" s="3796"/>
      <c r="UZV754" s="3796"/>
      <c r="UZW754" s="3796"/>
      <c r="UZX754" s="3796"/>
      <c r="UZY754" s="3796"/>
      <c r="UZZ754" s="3796"/>
      <c r="VAA754" s="3796"/>
      <c r="VAB754" s="3796"/>
      <c r="VAC754" s="3796"/>
      <c r="VAD754" s="3796"/>
      <c r="VAE754" s="3796"/>
      <c r="VAF754" s="3796"/>
      <c r="VAG754" s="3796"/>
      <c r="VAH754" s="3796"/>
      <c r="VAI754" s="3796"/>
      <c r="VAJ754" s="3796"/>
      <c r="VAK754" s="3796"/>
      <c r="VAL754" s="3796"/>
      <c r="VAM754" s="3796"/>
      <c r="VAN754" s="3796"/>
      <c r="VAO754" s="3796"/>
      <c r="VAP754" s="3796"/>
      <c r="VAQ754" s="3796"/>
      <c r="VAR754" s="3796"/>
      <c r="VAS754" s="3796"/>
      <c r="VAT754" s="3796"/>
      <c r="VAU754" s="3796"/>
      <c r="VAV754" s="3796"/>
      <c r="VAW754" s="3796"/>
      <c r="VAX754" s="3796"/>
      <c r="VAY754" s="3796"/>
      <c r="VAZ754" s="3796"/>
      <c r="VBA754" s="3796"/>
      <c r="VBB754" s="3796"/>
      <c r="VBC754" s="3796"/>
      <c r="VBD754" s="3796"/>
      <c r="VBE754" s="3796"/>
      <c r="VBF754" s="3796"/>
      <c r="VBG754" s="3796"/>
      <c r="VBH754" s="3796"/>
      <c r="VBI754" s="3796"/>
      <c r="VBJ754" s="3796"/>
      <c r="VBK754" s="3796"/>
      <c r="VBL754" s="3796"/>
      <c r="VBM754" s="3796"/>
      <c r="VBN754" s="3796"/>
      <c r="VBO754" s="3796"/>
      <c r="VBP754" s="3796"/>
      <c r="VBQ754" s="3796"/>
      <c r="VBR754" s="3796"/>
      <c r="VBS754" s="3796"/>
      <c r="VBT754" s="3796"/>
      <c r="VBU754" s="3796"/>
      <c r="VBV754" s="3796"/>
      <c r="VBW754" s="3796"/>
      <c r="VBX754" s="3796"/>
      <c r="VBY754" s="3796"/>
      <c r="VBZ754" s="3796"/>
      <c r="VCA754" s="3796"/>
      <c r="VCB754" s="3796"/>
      <c r="VCC754" s="3796"/>
      <c r="VCD754" s="3796"/>
      <c r="VCE754" s="3796"/>
      <c r="VCF754" s="3796"/>
      <c r="VCG754" s="3796"/>
      <c r="VCH754" s="3796"/>
      <c r="VCI754" s="3796"/>
      <c r="VCJ754" s="3796"/>
      <c r="VCK754" s="3796"/>
      <c r="VCL754" s="3796"/>
      <c r="VCM754" s="3796"/>
      <c r="VCN754" s="3796"/>
      <c r="VCO754" s="3796"/>
      <c r="VCP754" s="3796"/>
      <c r="VCQ754" s="3796"/>
      <c r="VCR754" s="3796"/>
      <c r="VCS754" s="3796"/>
      <c r="VCT754" s="3796"/>
      <c r="VCU754" s="3796"/>
      <c r="VCV754" s="3796"/>
      <c r="VCW754" s="3796"/>
      <c r="VCX754" s="3796"/>
      <c r="VCY754" s="3796"/>
      <c r="VCZ754" s="3796"/>
      <c r="VDA754" s="3796"/>
      <c r="VDB754" s="3796"/>
      <c r="VDC754" s="3796"/>
      <c r="VDD754" s="3796"/>
      <c r="VDE754" s="3796"/>
      <c r="VDF754" s="3796"/>
      <c r="VDG754" s="3796"/>
      <c r="VDH754" s="3796"/>
      <c r="VDI754" s="3796"/>
      <c r="VDJ754" s="3796"/>
      <c r="VDK754" s="3796"/>
      <c r="VDL754" s="3796"/>
      <c r="VDM754" s="3796"/>
      <c r="VDN754" s="3796"/>
      <c r="VDO754" s="3796"/>
      <c r="VDP754" s="3796"/>
      <c r="VDQ754" s="3796"/>
      <c r="VDR754" s="3796"/>
      <c r="VDS754" s="3796"/>
      <c r="VDT754" s="3796"/>
      <c r="VDU754" s="3796"/>
      <c r="VDV754" s="3796"/>
      <c r="VDW754" s="3796"/>
      <c r="VDX754" s="3796"/>
      <c r="VDY754" s="3796"/>
      <c r="VDZ754" s="3796"/>
      <c r="VEA754" s="3796"/>
      <c r="VEB754" s="3796"/>
      <c r="VEC754" s="3796"/>
      <c r="VED754" s="3796"/>
      <c r="VEE754" s="3796"/>
      <c r="VEF754" s="3796"/>
      <c r="VEG754" s="3796"/>
      <c r="VEH754" s="3796"/>
      <c r="VEI754" s="3796"/>
      <c r="VEJ754" s="3796"/>
      <c r="VEK754" s="3796"/>
      <c r="VEL754" s="3796"/>
      <c r="VEM754" s="3796"/>
      <c r="VEN754" s="3796"/>
      <c r="VEO754" s="3796"/>
      <c r="VEP754" s="3796"/>
      <c r="VEQ754" s="3796"/>
      <c r="VER754" s="3796"/>
      <c r="VES754" s="3796"/>
      <c r="VET754" s="3796"/>
      <c r="VEU754" s="3796"/>
      <c r="VEV754" s="3796"/>
      <c r="VEW754" s="3796"/>
      <c r="VEX754" s="3796"/>
      <c r="VEY754" s="3796"/>
      <c r="VEZ754" s="3796"/>
      <c r="VFA754" s="3796"/>
      <c r="VFB754" s="3796"/>
      <c r="VFC754" s="3796"/>
      <c r="VFD754" s="3796"/>
      <c r="VFE754" s="3796"/>
      <c r="VFF754" s="3796"/>
      <c r="VFG754" s="3796"/>
      <c r="VFH754" s="3796"/>
      <c r="VFI754" s="3796"/>
      <c r="VFJ754" s="3796"/>
      <c r="VFK754" s="3796"/>
      <c r="VFL754" s="3796"/>
      <c r="VFM754" s="3796"/>
      <c r="VFN754" s="3796"/>
      <c r="VFO754" s="3796"/>
      <c r="VFP754" s="3796"/>
      <c r="VFQ754" s="3796"/>
      <c r="VFR754" s="3796"/>
      <c r="VFS754" s="3796"/>
      <c r="VFT754" s="3796"/>
      <c r="VFU754" s="3796"/>
      <c r="VFV754" s="3796"/>
      <c r="VFW754" s="3796"/>
      <c r="VFX754" s="3796"/>
      <c r="VFY754" s="3796"/>
      <c r="VFZ754" s="3796"/>
      <c r="VGA754" s="3796"/>
      <c r="VGB754" s="3796"/>
      <c r="VGC754" s="3796"/>
      <c r="VGD754" s="3796"/>
      <c r="VGE754" s="3796"/>
      <c r="VGF754" s="3796"/>
      <c r="VGG754" s="3796"/>
      <c r="VGH754" s="3796"/>
      <c r="VGI754" s="3796"/>
      <c r="VGJ754" s="3796"/>
      <c r="VGK754" s="3796"/>
      <c r="VGL754" s="3796"/>
      <c r="VGM754" s="3796"/>
      <c r="VGN754" s="3796"/>
      <c r="VGO754" s="3796"/>
      <c r="VGP754" s="3796"/>
      <c r="VGQ754" s="3796"/>
      <c r="VGR754" s="3796"/>
      <c r="VGS754" s="3796"/>
      <c r="VGT754" s="3796"/>
      <c r="VGU754" s="3796"/>
      <c r="VGV754" s="3796"/>
      <c r="VGW754" s="3796"/>
      <c r="VGX754" s="3796"/>
      <c r="VGY754" s="3796"/>
      <c r="VGZ754" s="3796"/>
      <c r="VHA754" s="3796"/>
      <c r="VHB754" s="3796"/>
      <c r="VHC754" s="3796"/>
      <c r="VHD754" s="3796"/>
      <c r="VHE754" s="3796"/>
      <c r="VHF754" s="3796"/>
      <c r="VHG754" s="3796"/>
      <c r="VHH754" s="3796"/>
      <c r="VHI754" s="3796"/>
      <c r="VHJ754" s="3796"/>
      <c r="VHK754" s="3796"/>
      <c r="VHL754" s="3796"/>
      <c r="VHM754" s="3796"/>
      <c r="VHN754" s="3796"/>
      <c r="VHO754" s="3796"/>
      <c r="VHP754" s="3796"/>
      <c r="VHQ754" s="3796"/>
      <c r="VHR754" s="3796"/>
      <c r="VHS754" s="3796"/>
      <c r="VHT754" s="3796"/>
      <c r="VHU754" s="3796"/>
      <c r="VHV754" s="3796"/>
      <c r="VHW754" s="3796"/>
      <c r="VHX754" s="3796"/>
      <c r="VHY754" s="3796"/>
      <c r="VID754" s="3796"/>
      <c r="VIJ754" s="3796"/>
      <c r="VIK754" s="3796"/>
      <c r="VIL754" s="3796"/>
      <c r="VIP754" s="3796"/>
      <c r="VIW754" s="3796"/>
      <c r="VIX754" s="3796"/>
      <c r="VIY754" s="3796"/>
      <c r="VIZ754" s="3796"/>
      <c r="VJA754" s="3796"/>
      <c r="VJB754" s="3796"/>
      <c r="VJC754" s="3796"/>
      <c r="VJD754" s="3796"/>
      <c r="VJE754" s="3796"/>
      <c r="VJF754" s="3796"/>
      <c r="VJG754" s="3796"/>
      <c r="VJH754" s="3796"/>
      <c r="VJI754" s="3796"/>
      <c r="VJJ754" s="3796"/>
      <c r="VJK754" s="3796"/>
      <c r="VJL754" s="3796"/>
      <c r="VJM754" s="3796"/>
      <c r="VJN754" s="3796"/>
      <c r="VJO754" s="3796"/>
      <c r="VJP754" s="3796"/>
      <c r="VJQ754" s="3796"/>
      <c r="VJR754" s="3796"/>
      <c r="VJS754" s="3796"/>
      <c r="VJT754" s="3796"/>
      <c r="VJU754" s="3796"/>
      <c r="VJV754" s="3796"/>
      <c r="VJW754" s="3796"/>
      <c r="VJX754" s="3796"/>
      <c r="VJY754" s="3796"/>
      <c r="VJZ754" s="3796"/>
      <c r="VKA754" s="3796"/>
      <c r="VKB754" s="3796"/>
      <c r="VKC754" s="3796"/>
      <c r="VKD754" s="3796"/>
      <c r="VKE754" s="3796"/>
      <c r="VKF754" s="3796"/>
      <c r="VKG754" s="3796"/>
      <c r="VKH754" s="3796"/>
      <c r="VKI754" s="3796"/>
      <c r="VKJ754" s="3796"/>
      <c r="VKK754" s="3796"/>
      <c r="VKL754" s="3796"/>
      <c r="VKM754" s="3796"/>
      <c r="VKN754" s="3796"/>
      <c r="VKO754" s="3796"/>
      <c r="VKP754" s="3796"/>
      <c r="VKQ754" s="3796"/>
      <c r="VKR754" s="3796"/>
      <c r="VKS754" s="3796"/>
      <c r="VKT754" s="3796"/>
      <c r="VKU754" s="3796"/>
      <c r="VKV754" s="3796"/>
      <c r="VKW754" s="3796"/>
      <c r="VKX754" s="3796"/>
      <c r="VKY754" s="3796"/>
      <c r="VKZ754" s="3796"/>
      <c r="VLA754" s="3796"/>
      <c r="VLB754" s="3796"/>
      <c r="VLC754" s="3796"/>
      <c r="VLD754" s="3796"/>
      <c r="VLE754" s="3796"/>
      <c r="VLF754" s="3796"/>
      <c r="VLG754" s="3796"/>
      <c r="VLH754" s="3796"/>
      <c r="VLI754" s="3796"/>
      <c r="VLJ754" s="3796"/>
      <c r="VLK754" s="3796"/>
      <c r="VLL754" s="3796"/>
      <c r="VLM754" s="3796"/>
      <c r="VLN754" s="3796"/>
      <c r="VLO754" s="3796"/>
      <c r="VLP754" s="3796"/>
      <c r="VLQ754" s="3796"/>
      <c r="VLR754" s="3796"/>
      <c r="VLS754" s="3796"/>
      <c r="VLT754" s="3796"/>
      <c r="VLU754" s="3796"/>
      <c r="VLV754" s="3796"/>
      <c r="VLW754" s="3796"/>
      <c r="VLX754" s="3796"/>
      <c r="VLY754" s="3796"/>
      <c r="VLZ754" s="3796"/>
      <c r="VMA754" s="3796"/>
      <c r="VMB754" s="3796"/>
      <c r="VMC754" s="3796"/>
      <c r="VMD754" s="3796"/>
      <c r="VME754" s="3796"/>
      <c r="VMF754" s="3796"/>
      <c r="VMG754" s="3796"/>
      <c r="VMH754" s="3796"/>
      <c r="VMI754" s="3796"/>
      <c r="VMJ754" s="3796"/>
      <c r="VMK754" s="3796"/>
      <c r="VML754" s="3796"/>
      <c r="VMM754" s="3796"/>
      <c r="VMN754" s="3796"/>
      <c r="VMO754" s="3796"/>
      <c r="VMP754" s="3796"/>
      <c r="VMQ754" s="3796"/>
      <c r="VMR754" s="3796"/>
      <c r="VMS754" s="3796"/>
      <c r="VMT754" s="3796"/>
      <c r="VMU754" s="3796"/>
      <c r="VMV754" s="3796"/>
      <c r="VMW754" s="3796"/>
      <c r="VMX754" s="3796"/>
      <c r="VMY754" s="3796"/>
      <c r="VMZ754" s="3796"/>
      <c r="VNA754" s="3796"/>
      <c r="VNB754" s="3796"/>
      <c r="VNC754" s="3796"/>
      <c r="VND754" s="3796"/>
      <c r="VNE754" s="3796"/>
      <c r="VNF754" s="3796"/>
      <c r="VNG754" s="3796"/>
      <c r="VNH754" s="3796"/>
      <c r="VNI754" s="3796"/>
      <c r="VNJ754" s="3796"/>
      <c r="VNK754" s="3796"/>
      <c r="VNL754" s="3796"/>
      <c r="VNM754" s="3796"/>
      <c r="VNN754" s="3796"/>
      <c r="VNO754" s="3796"/>
      <c r="VNP754" s="3796"/>
      <c r="VNQ754" s="3796"/>
      <c r="VNR754" s="3796"/>
      <c r="VNS754" s="3796"/>
      <c r="VNT754" s="3796"/>
      <c r="VNU754" s="3796"/>
      <c r="VNV754" s="3796"/>
      <c r="VNW754" s="3796"/>
      <c r="VNX754" s="3796"/>
      <c r="VNY754" s="3796"/>
      <c r="VNZ754" s="3796"/>
      <c r="VOA754" s="3796"/>
      <c r="VOB754" s="3796"/>
      <c r="VOC754" s="3796"/>
      <c r="VOD754" s="3796"/>
      <c r="VOE754" s="3796"/>
      <c r="VOF754" s="3796"/>
      <c r="VOG754" s="3796"/>
      <c r="VOH754" s="3796"/>
      <c r="VOI754" s="3796"/>
      <c r="VOJ754" s="3796"/>
      <c r="VOK754" s="3796"/>
      <c r="VOL754" s="3796"/>
      <c r="VOM754" s="3796"/>
      <c r="VON754" s="3796"/>
      <c r="VOO754" s="3796"/>
      <c r="VOP754" s="3796"/>
      <c r="VOQ754" s="3796"/>
      <c r="VOR754" s="3796"/>
      <c r="VOS754" s="3796"/>
      <c r="VOT754" s="3796"/>
      <c r="VOU754" s="3796"/>
      <c r="VOV754" s="3796"/>
      <c r="VOW754" s="3796"/>
      <c r="VOX754" s="3796"/>
      <c r="VOY754" s="3796"/>
      <c r="VOZ754" s="3796"/>
      <c r="VPA754" s="3796"/>
      <c r="VPB754" s="3796"/>
      <c r="VPC754" s="3796"/>
      <c r="VPD754" s="3796"/>
      <c r="VPE754" s="3796"/>
      <c r="VPF754" s="3796"/>
      <c r="VPG754" s="3796"/>
      <c r="VPH754" s="3796"/>
      <c r="VPI754" s="3796"/>
      <c r="VPJ754" s="3796"/>
      <c r="VPK754" s="3796"/>
      <c r="VPL754" s="3796"/>
      <c r="VPM754" s="3796"/>
      <c r="VPN754" s="3796"/>
      <c r="VPO754" s="3796"/>
      <c r="VPP754" s="3796"/>
      <c r="VPQ754" s="3796"/>
      <c r="VPR754" s="3796"/>
      <c r="VPS754" s="3796"/>
      <c r="VPT754" s="3796"/>
      <c r="VPU754" s="3796"/>
      <c r="VPV754" s="3796"/>
      <c r="VPW754" s="3796"/>
      <c r="VPX754" s="3796"/>
      <c r="VPY754" s="3796"/>
      <c r="VPZ754" s="3796"/>
      <c r="VQA754" s="3796"/>
      <c r="VQB754" s="3796"/>
      <c r="VQC754" s="3796"/>
      <c r="VQD754" s="3796"/>
      <c r="VQE754" s="3796"/>
      <c r="VQF754" s="3796"/>
      <c r="VQG754" s="3796"/>
      <c r="VQH754" s="3796"/>
      <c r="VQI754" s="3796"/>
      <c r="VQJ754" s="3796"/>
      <c r="VQK754" s="3796"/>
      <c r="VQL754" s="3796"/>
      <c r="VQM754" s="3796"/>
      <c r="VQN754" s="3796"/>
      <c r="VQO754" s="3796"/>
      <c r="VQP754" s="3796"/>
      <c r="VQQ754" s="3796"/>
      <c r="VQR754" s="3796"/>
      <c r="VQS754" s="3796"/>
      <c r="VQT754" s="3796"/>
      <c r="VQU754" s="3796"/>
      <c r="VQV754" s="3796"/>
      <c r="VQW754" s="3796"/>
      <c r="VQX754" s="3796"/>
      <c r="VQY754" s="3796"/>
      <c r="VQZ754" s="3796"/>
      <c r="VRA754" s="3796"/>
      <c r="VRB754" s="3796"/>
      <c r="VRC754" s="3796"/>
      <c r="VRD754" s="3796"/>
      <c r="VRE754" s="3796"/>
      <c r="VRF754" s="3796"/>
      <c r="VRG754" s="3796"/>
      <c r="VRH754" s="3796"/>
      <c r="VRI754" s="3796"/>
      <c r="VRJ754" s="3796"/>
      <c r="VRK754" s="3796"/>
      <c r="VRL754" s="3796"/>
      <c r="VRM754" s="3796"/>
      <c r="VRN754" s="3796"/>
      <c r="VRO754" s="3796"/>
      <c r="VRP754" s="3796"/>
      <c r="VRQ754" s="3796"/>
      <c r="VRR754" s="3796"/>
      <c r="VRS754" s="3796"/>
      <c r="VRT754" s="3796"/>
      <c r="VRU754" s="3796"/>
      <c r="VRZ754" s="3796"/>
      <c r="VSF754" s="3796"/>
      <c r="VSG754" s="3796"/>
      <c r="VSH754" s="3796"/>
      <c r="VSL754" s="3796"/>
      <c r="VSS754" s="3796"/>
      <c r="VST754" s="3796"/>
      <c r="VSU754" s="3796"/>
      <c r="VSV754" s="3796"/>
      <c r="VSW754" s="3796"/>
      <c r="VSX754" s="3796"/>
      <c r="VSY754" s="3796"/>
      <c r="VSZ754" s="3796"/>
      <c r="VTA754" s="3796"/>
      <c r="VTB754" s="3796"/>
      <c r="VTC754" s="3796"/>
      <c r="VTD754" s="3796"/>
      <c r="VTE754" s="3796"/>
      <c r="VTF754" s="3796"/>
      <c r="VTG754" s="3796"/>
      <c r="VTH754" s="3796"/>
      <c r="VTI754" s="3796"/>
      <c r="VTJ754" s="3796"/>
      <c r="VTK754" s="3796"/>
      <c r="VTL754" s="3796"/>
      <c r="VTM754" s="3796"/>
      <c r="VTN754" s="3796"/>
      <c r="VTO754" s="3796"/>
      <c r="VTP754" s="3796"/>
      <c r="VTQ754" s="3796"/>
      <c r="VTR754" s="3796"/>
      <c r="VTS754" s="3796"/>
      <c r="VTT754" s="3796"/>
      <c r="VTU754" s="3796"/>
      <c r="VTV754" s="3796"/>
      <c r="VTW754" s="3796"/>
      <c r="VTX754" s="3796"/>
      <c r="VTY754" s="3796"/>
      <c r="VTZ754" s="3796"/>
      <c r="VUA754" s="3796"/>
      <c r="VUB754" s="3796"/>
      <c r="VUC754" s="3796"/>
      <c r="VUD754" s="3796"/>
      <c r="VUE754" s="3796"/>
      <c r="VUF754" s="3796"/>
      <c r="VUG754" s="3796"/>
      <c r="VUH754" s="3796"/>
      <c r="VUI754" s="3796"/>
      <c r="VUJ754" s="3796"/>
      <c r="VUK754" s="3796"/>
      <c r="VUL754" s="3796"/>
      <c r="VUM754" s="3796"/>
      <c r="VUN754" s="3796"/>
      <c r="VUO754" s="3796"/>
      <c r="VUP754" s="3796"/>
      <c r="VUQ754" s="3796"/>
      <c r="VUR754" s="3796"/>
      <c r="VUS754" s="3796"/>
      <c r="VUT754" s="3796"/>
      <c r="VUU754" s="3796"/>
      <c r="VUV754" s="3796"/>
      <c r="VUW754" s="3796"/>
      <c r="VUX754" s="3796"/>
      <c r="VUY754" s="3796"/>
      <c r="VUZ754" s="3796"/>
      <c r="VVA754" s="3796"/>
      <c r="VVB754" s="3796"/>
      <c r="VVC754" s="3796"/>
      <c r="VVD754" s="3796"/>
      <c r="VVE754" s="3796"/>
      <c r="VVF754" s="3796"/>
      <c r="VVG754" s="3796"/>
      <c r="VVH754" s="3796"/>
      <c r="VVI754" s="3796"/>
      <c r="VVJ754" s="3796"/>
      <c r="VVK754" s="3796"/>
      <c r="VVL754" s="3796"/>
      <c r="VVM754" s="3796"/>
      <c r="VVN754" s="3796"/>
      <c r="VVO754" s="3796"/>
      <c r="VVP754" s="3796"/>
      <c r="VVQ754" s="3796"/>
      <c r="VVR754" s="3796"/>
      <c r="VVS754" s="3796"/>
      <c r="VVT754" s="3796"/>
      <c r="VVU754" s="3796"/>
      <c r="VVV754" s="3796"/>
      <c r="VVW754" s="3796"/>
      <c r="VVX754" s="3796"/>
      <c r="VVY754" s="3796"/>
      <c r="VVZ754" s="3796"/>
      <c r="VWA754" s="3796"/>
      <c r="VWB754" s="3796"/>
      <c r="VWC754" s="3796"/>
      <c r="VWD754" s="3796"/>
      <c r="VWE754" s="3796"/>
      <c r="VWF754" s="3796"/>
      <c r="VWG754" s="3796"/>
      <c r="VWH754" s="3796"/>
      <c r="VWI754" s="3796"/>
      <c r="VWJ754" s="3796"/>
      <c r="VWK754" s="3796"/>
      <c r="VWL754" s="3796"/>
      <c r="VWM754" s="3796"/>
      <c r="VWN754" s="3796"/>
      <c r="VWO754" s="3796"/>
      <c r="VWP754" s="3796"/>
      <c r="VWQ754" s="3796"/>
      <c r="VWR754" s="3796"/>
      <c r="VWS754" s="3796"/>
      <c r="VWT754" s="3796"/>
      <c r="VWU754" s="3796"/>
      <c r="VWV754" s="3796"/>
      <c r="VWW754" s="3796"/>
      <c r="VWX754" s="3796"/>
      <c r="VWY754" s="3796"/>
      <c r="VWZ754" s="3796"/>
      <c r="VXA754" s="3796"/>
      <c r="VXB754" s="3796"/>
      <c r="VXC754" s="3796"/>
      <c r="VXD754" s="3796"/>
      <c r="VXE754" s="3796"/>
      <c r="VXF754" s="3796"/>
      <c r="VXG754" s="3796"/>
      <c r="VXH754" s="3796"/>
      <c r="VXI754" s="3796"/>
      <c r="VXJ754" s="3796"/>
      <c r="VXK754" s="3796"/>
      <c r="VXL754" s="3796"/>
      <c r="VXM754" s="3796"/>
      <c r="VXN754" s="3796"/>
      <c r="VXO754" s="3796"/>
      <c r="VXP754" s="3796"/>
      <c r="VXQ754" s="3796"/>
      <c r="VXR754" s="3796"/>
      <c r="VXS754" s="3796"/>
      <c r="VXT754" s="3796"/>
      <c r="VXU754" s="3796"/>
      <c r="VXV754" s="3796"/>
      <c r="VXW754" s="3796"/>
      <c r="VXX754" s="3796"/>
      <c r="VXY754" s="3796"/>
      <c r="VXZ754" s="3796"/>
      <c r="VYA754" s="3796"/>
      <c r="VYB754" s="3796"/>
      <c r="VYC754" s="3796"/>
      <c r="VYD754" s="3796"/>
      <c r="VYE754" s="3796"/>
      <c r="VYF754" s="3796"/>
      <c r="VYG754" s="3796"/>
      <c r="VYH754" s="3796"/>
      <c r="VYI754" s="3796"/>
      <c r="VYJ754" s="3796"/>
      <c r="VYK754" s="3796"/>
      <c r="VYL754" s="3796"/>
      <c r="VYM754" s="3796"/>
      <c r="VYN754" s="3796"/>
      <c r="VYO754" s="3796"/>
      <c r="VYP754" s="3796"/>
      <c r="VYQ754" s="3796"/>
      <c r="VYR754" s="3796"/>
      <c r="VYS754" s="3796"/>
      <c r="VYT754" s="3796"/>
      <c r="VYU754" s="3796"/>
      <c r="VYV754" s="3796"/>
      <c r="VYW754" s="3796"/>
      <c r="VYX754" s="3796"/>
      <c r="VYY754" s="3796"/>
      <c r="VYZ754" s="3796"/>
      <c r="VZA754" s="3796"/>
      <c r="VZB754" s="3796"/>
      <c r="VZC754" s="3796"/>
      <c r="VZD754" s="3796"/>
      <c r="VZE754" s="3796"/>
      <c r="VZF754" s="3796"/>
      <c r="VZG754" s="3796"/>
      <c r="VZH754" s="3796"/>
      <c r="VZI754" s="3796"/>
      <c r="VZJ754" s="3796"/>
      <c r="VZK754" s="3796"/>
      <c r="VZL754" s="3796"/>
      <c r="VZM754" s="3796"/>
      <c r="VZN754" s="3796"/>
      <c r="VZO754" s="3796"/>
      <c r="VZP754" s="3796"/>
      <c r="VZQ754" s="3796"/>
      <c r="VZR754" s="3796"/>
      <c r="VZS754" s="3796"/>
      <c r="VZT754" s="3796"/>
      <c r="VZU754" s="3796"/>
      <c r="VZV754" s="3796"/>
      <c r="VZW754" s="3796"/>
      <c r="VZX754" s="3796"/>
      <c r="VZY754" s="3796"/>
      <c r="VZZ754" s="3796"/>
      <c r="WAA754" s="3796"/>
      <c r="WAB754" s="3796"/>
      <c r="WAC754" s="3796"/>
      <c r="WAD754" s="3796"/>
      <c r="WAE754" s="3796"/>
      <c r="WAF754" s="3796"/>
      <c r="WAG754" s="3796"/>
      <c r="WAH754" s="3796"/>
      <c r="WAI754" s="3796"/>
      <c r="WAJ754" s="3796"/>
      <c r="WAK754" s="3796"/>
      <c r="WAL754" s="3796"/>
      <c r="WAM754" s="3796"/>
      <c r="WAN754" s="3796"/>
      <c r="WAO754" s="3796"/>
      <c r="WAP754" s="3796"/>
      <c r="WAQ754" s="3796"/>
      <c r="WAR754" s="3796"/>
      <c r="WAS754" s="3796"/>
      <c r="WAT754" s="3796"/>
      <c r="WAU754" s="3796"/>
      <c r="WAV754" s="3796"/>
      <c r="WAW754" s="3796"/>
      <c r="WAX754" s="3796"/>
      <c r="WAY754" s="3796"/>
      <c r="WAZ754" s="3796"/>
      <c r="WBA754" s="3796"/>
      <c r="WBB754" s="3796"/>
      <c r="WBC754" s="3796"/>
      <c r="WBD754" s="3796"/>
      <c r="WBE754" s="3796"/>
      <c r="WBF754" s="3796"/>
      <c r="WBG754" s="3796"/>
      <c r="WBH754" s="3796"/>
      <c r="WBI754" s="3796"/>
      <c r="WBJ754" s="3796"/>
      <c r="WBK754" s="3796"/>
      <c r="WBL754" s="3796"/>
      <c r="WBM754" s="3796"/>
      <c r="WBN754" s="3796"/>
      <c r="WBO754" s="3796"/>
      <c r="WBP754" s="3796"/>
      <c r="WBQ754" s="3796"/>
      <c r="WBV754" s="3796"/>
      <c r="WCB754" s="3796"/>
      <c r="WCC754" s="3796"/>
      <c r="WCD754" s="3796"/>
      <c r="WCH754" s="3796"/>
      <c r="WCO754" s="3796"/>
      <c r="WCP754" s="3796"/>
      <c r="WCQ754" s="3796"/>
      <c r="WCR754" s="3796"/>
      <c r="WCS754" s="3796"/>
      <c r="WCT754" s="3796"/>
      <c r="WCU754" s="3796"/>
      <c r="WCV754" s="3796"/>
      <c r="WCW754" s="3796"/>
      <c r="WCX754" s="3796"/>
      <c r="WCY754" s="3796"/>
      <c r="WCZ754" s="3796"/>
      <c r="WDA754" s="3796"/>
      <c r="WDB754" s="3796"/>
      <c r="WDC754" s="3796"/>
      <c r="WDD754" s="3796"/>
      <c r="WDE754" s="3796"/>
      <c r="WDF754" s="3796"/>
      <c r="WDG754" s="3796"/>
      <c r="WDH754" s="3796"/>
      <c r="WDI754" s="3796"/>
      <c r="WDJ754" s="3796"/>
      <c r="WDK754" s="3796"/>
      <c r="WDL754" s="3796"/>
      <c r="WDM754" s="3796"/>
      <c r="WDN754" s="3796"/>
      <c r="WDO754" s="3796"/>
      <c r="WDP754" s="3796"/>
      <c r="WDQ754" s="3796"/>
      <c r="WDR754" s="3796"/>
      <c r="WDS754" s="3796"/>
      <c r="WDT754" s="3796"/>
      <c r="WDU754" s="3796"/>
      <c r="WDV754" s="3796"/>
      <c r="WDW754" s="3796"/>
      <c r="WDX754" s="3796"/>
      <c r="WDY754" s="3796"/>
      <c r="WDZ754" s="3796"/>
      <c r="WEA754" s="3796"/>
      <c r="WEB754" s="3796"/>
      <c r="WEC754" s="3796"/>
      <c r="WED754" s="3796"/>
      <c r="WEE754" s="3796"/>
      <c r="WEF754" s="3796"/>
      <c r="WEG754" s="3796"/>
      <c r="WEH754" s="3796"/>
      <c r="WEI754" s="3796"/>
      <c r="WEJ754" s="3796"/>
      <c r="WEK754" s="3796"/>
      <c r="WEL754" s="3796"/>
      <c r="WEM754" s="3796"/>
      <c r="WEN754" s="3796"/>
      <c r="WEO754" s="3796"/>
      <c r="WEP754" s="3796"/>
      <c r="WEQ754" s="3796"/>
      <c r="WER754" s="3796"/>
      <c r="WES754" s="3796"/>
      <c r="WET754" s="3796"/>
      <c r="WEU754" s="3796"/>
      <c r="WEV754" s="3796"/>
      <c r="WEW754" s="3796"/>
      <c r="WEX754" s="3796"/>
      <c r="WEY754" s="3796"/>
      <c r="WEZ754" s="3796"/>
      <c r="WFA754" s="3796"/>
      <c r="WFB754" s="3796"/>
      <c r="WFC754" s="3796"/>
      <c r="WFD754" s="3796"/>
      <c r="WFE754" s="3796"/>
      <c r="WFF754" s="3796"/>
      <c r="WFG754" s="3796"/>
      <c r="WFH754" s="3796"/>
      <c r="WFI754" s="3796"/>
      <c r="WFJ754" s="3796"/>
      <c r="WFK754" s="3796"/>
      <c r="WFL754" s="3796"/>
      <c r="WFM754" s="3796"/>
      <c r="WFN754" s="3796"/>
      <c r="WFO754" s="3796"/>
      <c r="WFP754" s="3796"/>
      <c r="WFQ754" s="3796"/>
      <c r="WFR754" s="3796"/>
      <c r="WFS754" s="3796"/>
      <c r="WFT754" s="3796"/>
      <c r="WFU754" s="3796"/>
      <c r="WFV754" s="3796"/>
      <c r="WFW754" s="3796"/>
      <c r="WFX754" s="3796"/>
      <c r="WFY754" s="3796"/>
      <c r="WFZ754" s="3796"/>
      <c r="WGA754" s="3796"/>
      <c r="WGB754" s="3796"/>
      <c r="WGC754" s="3796"/>
      <c r="WGD754" s="3796"/>
      <c r="WGE754" s="3796"/>
      <c r="WGF754" s="3796"/>
      <c r="WGG754" s="3796"/>
      <c r="WGH754" s="3796"/>
      <c r="WGI754" s="3796"/>
      <c r="WGJ754" s="3796"/>
      <c r="WGK754" s="3796"/>
      <c r="WGL754" s="3796"/>
      <c r="WGM754" s="3796"/>
      <c r="WGN754" s="3796"/>
      <c r="WGO754" s="3796"/>
      <c r="WGP754" s="3796"/>
      <c r="WGQ754" s="3796"/>
      <c r="WGR754" s="3796"/>
      <c r="WGS754" s="3796"/>
      <c r="WGT754" s="3796"/>
      <c r="WGU754" s="3796"/>
      <c r="WGV754" s="3796"/>
      <c r="WGW754" s="3796"/>
      <c r="WGX754" s="3796"/>
      <c r="WGY754" s="3796"/>
      <c r="WGZ754" s="3796"/>
      <c r="WHA754" s="3796"/>
      <c r="WHB754" s="3796"/>
      <c r="WHC754" s="3796"/>
      <c r="WHD754" s="3796"/>
      <c r="WHE754" s="3796"/>
      <c r="WHF754" s="3796"/>
      <c r="WHG754" s="3796"/>
      <c r="WHH754" s="3796"/>
      <c r="WHI754" s="3796"/>
      <c r="WHJ754" s="3796"/>
      <c r="WHK754" s="3796"/>
      <c r="WHL754" s="3796"/>
      <c r="WHM754" s="3796"/>
      <c r="WHN754" s="3796"/>
      <c r="WHO754" s="3796"/>
      <c r="WHP754" s="3796"/>
      <c r="WHQ754" s="3796"/>
      <c r="WHR754" s="3796"/>
      <c r="WHS754" s="3796"/>
      <c r="WHT754" s="3796"/>
      <c r="WHU754" s="3796"/>
      <c r="WHV754" s="3796"/>
      <c r="WHW754" s="3796"/>
      <c r="WHX754" s="3796"/>
      <c r="WHY754" s="3796"/>
      <c r="WHZ754" s="3796"/>
      <c r="WIA754" s="3796"/>
      <c r="WIB754" s="3796"/>
      <c r="WIC754" s="3796"/>
      <c r="WID754" s="3796"/>
      <c r="WIE754" s="3796"/>
      <c r="WIF754" s="3796"/>
      <c r="WIG754" s="3796"/>
      <c r="WIH754" s="3796"/>
      <c r="WII754" s="3796"/>
      <c r="WIJ754" s="3796"/>
      <c r="WIK754" s="3796"/>
      <c r="WIL754" s="3796"/>
      <c r="WIM754" s="3796"/>
      <c r="WIN754" s="3796"/>
      <c r="WIO754" s="3796"/>
      <c r="WIP754" s="3796"/>
      <c r="WIQ754" s="3796"/>
      <c r="WIR754" s="3796"/>
      <c r="WIS754" s="3796"/>
      <c r="WIT754" s="3796"/>
      <c r="WIU754" s="3796"/>
      <c r="WIV754" s="3796"/>
      <c r="WIW754" s="3796"/>
      <c r="WIX754" s="3796"/>
      <c r="WIY754" s="3796"/>
      <c r="WIZ754" s="3796"/>
      <c r="WJA754" s="3796"/>
      <c r="WJB754" s="3796"/>
      <c r="WJC754" s="3796"/>
      <c r="WJD754" s="3796"/>
      <c r="WJE754" s="3796"/>
      <c r="WJF754" s="3796"/>
      <c r="WJG754" s="3796"/>
      <c r="WJH754" s="3796"/>
      <c r="WJI754" s="3796"/>
      <c r="WJJ754" s="3796"/>
      <c r="WJK754" s="3796"/>
      <c r="WJL754" s="3796"/>
      <c r="WJM754" s="3796"/>
      <c r="WJN754" s="3796"/>
      <c r="WJO754" s="3796"/>
      <c r="WJP754" s="3796"/>
      <c r="WJQ754" s="3796"/>
      <c r="WJR754" s="3796"/>
      <c r="WJS754" s="3796"/>
      <c r="WJT754" s="3796"/>
      <c r="WJU754" s="3796"/>
      <c r="WJV754" s="3796"/>
      <c r="WJW754" s="3796"/>
      <c r="WJX754" s="3796"/>
      <c r="WJY754" s="3796"/>
      <c r="WJZ754" s="3796"/>
      <c r="WKA754" s="3796"/>
      <c r="WKB754" s="3796"/>
      <c r="WKC754" s="3796"/>
      <c r="WKD754" s="3796"/>
      <c r="WKE754" s="3796"/>
      <c r="WKF754" s="3796"/>
      <c r="WKG754" s="3796"/>
      <c r="WKH754" s="3796"/>
      <c r="WKI754" s="3796"/>
      <c r="WKJ754" s="3796"/>
      <c r="WKK754" s="3796"/>
      <c r="WKL754" s="3796"/>
      <c r="WKM754" s="3796"/>
      <c r="WKN754" s="3796"/>
      <c r="WKO754" s="3796"/>
      <c r="WKP754" s="3796"/>
      <c r="WKQ754" s="3796"/>
      <c r="WKR754" s="3796"/>
      <c r="WKS754" s="3796"/>
      <c r="WKT754" s="3796"/>
      <c r="WKU754" s="3796"/>
      <c r="WKV754" s="3796"/>
      <c r="WKW754" s="3796"/>
      <c r="WKX754" s="3796"/>
      <c r="WKY754" s="3796"/>
      <c r="WKZ754" s="3796"/>
      <c r="WLA754" s="3796"/>
      <c r="WLB754" s="3796"/>
      <c r="WLC754" s="3796"/>
      <c r="WLD754" s="3796"/>
      <c r="WLE754" s="3796"/>
      <c r="WLF754" s="3796"/>
      <c r="WLG754" s="3796"/>
      <c r="WLH754" s="3796"/>
      <c r="WLI754" s="3796"/>
      <c r="WLJ754" s="3796"/>
      <c r="WLK754" s="3796"/>
      <c r="WLL754" s="3796"/>
      <c r="WLM754" s="3796"/>
      <c r="WLR754" s="3796"/>
      <c r="WLX754" s="3796"/>
      <c r="WLY754" s="3796"/>
      <c r="WLZ754" s="3796"/>
      <c r="WMD754" s="3796"/>
      <c r="WMK754" s="3796"/>
      <c r="WML754" s="3796"/>
      <c r="WMM754" s="3796"/>
      <c r="WMN754" s="3796"/>
      <c r="WMO754" s="3796"/>
      <c r="WMP754" s="3796"/>
      <c r="WMQ754" s="3796"/>
      <c r="WMR754" s="3796"/>
      <c r="WMS754" s="3796"/>
      <c r="WMT754" s="3796"/>
      <c r="WMU754" s="3796"/>
      <c r="WMV754" s="3796"/>
      <c r="WMW754" s="3796"/>
      <c r="WMX754" s="3796"/>
      <c r="WMY754" s="3796"/>
      <c r="WMZ754" s="3796"/>
      <c r="WNA754" s="3796"/>
      <c r="WNB754" s="3796"/>
      <c r="WNC754" s="3796"/>
      <c r="WND754" s="3796"/>
      <c r="WNE754" s="3796"/>
      <c r="WNF754" s="3796"/>
      <c r="WNG754" s="3796"/>
      <c r="WNH754" s="3796"/>
      <c r="WNI754" s="3796"/>
      <c r="WNJ754" s="3796"/>
      <c r="WNK754" s="3796"/>
      <c r="WNL754" s="3796"/>
      <c r="WNM754" s="3796"/>
      <c r="WNN754" s="3796"/>
      <c r="WNO754" s="3796"/>
      <c r="WNP754" s="3796"/>
      <c r="WNQ754" s="3796"/>
      <c r="WNR754" s="3796"/>
      <c r="WNS754" s="3796"/>
      <c r="WNT754" s="3796"/>
      <c r="WNU754" s="3796"/>
      <c r="WNV754" s="3796"/>
      <c r="WNW754" s="3796"/>
      <c r="WNX754" s="3796"/>
      <c r="WNY754" s="3796"/>
      <c r="WNZ754" s="3796"/>
      <c r="WOA754" s="3796"/>
      <c r="WOB754" s="3796"/>
      <c r="WOC754" s="3796"/>
      <c r="WOD754" s="3796"/>
      <c r="WOE754" s="3796"/>
      <c r="WOF754" s="3796"/>
      <c r="WOG754" s="3796"/>
      <c r="WOH754" s="3796"/>
      <c r="WOI754" s="3796"/>
      <c r="WOJ754" s="3796"/>
      <c r="WOK754" s="3796"/>
      <c r="WOL754" s="3796"/>
      <c r="WOM754" s="3796"/>
      <c r="WON754" s="3796"/>
      <c r="WOO754" s="3796"/>
      <c r="WOP754" s="3796"/>
      <c r="WOQ754" s="3796"/>
      <c r="WOR754" s="3796"/>
      <c r="WOS754" s="3796"/>
      <c r="WOT754" s="3796"/>
      <c r="WOU754" s="3796"/>
      <c r="WOV754" s="3796"/>
      <c r="WOW754" s="3796"/>
      <c r="WOX754" s="3796"/>
      <c r="WOY754" s="3796"/>
      <c r="WOZ754" s="3796"/>
      <c r="WPA754" s="3796"/>
      <c r="WPB754" s="3796"/>
      <c r="WPC754" s="3796"/>
      <c r="WPD754" s="3796"/>
      <c r="WPE754" s="3796"/>
      <c r="WPF754" s="3796"/>
      <c r="WPG754" s="3796"/>
      <c r="WPH754" s="3796"/>
      <c r="WPI754" s="3796"/>
      <c r="WPJ754" s="3796"/>
      <c r="WPK754" s="3796"/>
      <c r="WPL754" s="3796"/>
      <c r="WPM754" s="3796"/>
      <c r="WPN754" s="3796"/>
      <c r="WPO754" s="3796"/>
      <c r="WPP754" s="3796"/>
      <c r="WPQ754" s="3796"/>
      <c r="WPR754" s="3796"/>
      <c r="WPS754" s="3796"/>
      <c r="WPT754" s="3796"/>
      <c r="WPU754" s="3796"/>
      <c r="WPV754" s="3796"/>
      <c r="WPW754" s="3796"/>
      <c r="WPX754" s="3796"/>
      <c r="WPY754" s="3796"/>
      <c r="WPZ754" s="3796"/>
      <c r="WQA754" s="3796"/>
      <c r="WQB754" s="3796"/>
      <c r="WQC754" s="3796"/>
      <c r="WQD754" s="3796"/>
      <c r="WQE754" s="3796"/>
      <c r="WQF754" s="3796"/>
      <c r="WQG754" s="3796"/>
      <c r="WQH754" s="3796"/>
      <c r="WQI754" s="3796"/>
      <c r="WQJ754" s="3796"/>
      <c r="WQK754" s="3796"/>
      <c r="WQL754" s="3796"/>
      <c r="WQM754" s="3796"/>
      <c r="WQN754" s="3796"/>
      <c r="WQO754" s="3796"/>
      <c r="WQP754" s="3796"/>
      <c r="WQQ754" s="3796"/>
      <c r="WQR754" s="3796"/>
      <c r="WQS754" s="3796"/>
      <c r="WQT754" s="3796"/>
      <c r="WQU754" s="3796"/>
      <c r="WQV754" s="3796"/>
      <c r="WQW754" s="3796"/>
      <c r="WQX754" s="3796"/>
      <c r="WQY754" s="3796"/>
      <c r="WQZ754" s="3796"/>
      <c r="WRA754" s="3796"/>
      <c r="WRB754" s="3796"/>
      <c r="WRC754" s="3796"/>
      <c r="WRD754" s="3796"/>
      <c r="WRE754" s="3796"/>
      <c r="WRF754" s="3796"/>
      <c r="WRG754" s="3796"/>
      <c r="WRH754" s="3796"/>
      <c r="WRI754" s="3796"/>
      <c r="WRJ754" s="3796"/>
      <c r="WRK754" s="3796"/>
      <c r="WRL754" s="3796"/>
      <c r="WRM754" s="3796"/>
      <c r="WRN754" s="3796"/>
      <c r="WRO754" s="3796"/>
      <c r="WRP754" s="3796"/>
      <c r="WRQ754" s="3796"/>
      <c r="WRR754" s="3796"/>
      <c r="WRS754" s="3796"/>
      <c r="WRT754" s="3796"/>
      <c r="WRU754" s="3796"/>
      <c r="WRV754" s="3796"/>
      <c r="WRW754" s="3796"/>
      <c r="WRX754" s="3796"/>
      <c r="WRY754" s="3796"/>
      <c r="WRZ754" s="3796"/>
      <c r="WSA754" s="3796"/>
      <c r="WSB754" s="3796"/>
      <c r="WSC754" s="3796"/>
      <c r="WSD754" s="3796"/>
      <c r="WSE754" s="3796"/>
      <c r="WSF754" s="3796"/>
      <c r="WSG754" s="3796"/>
      <c r="WSH754" s="3796"/>
      <c r="WSI754" s="3796"/>
      <c r="WSJ754" s="3796"/>
      <c r="WSK754" s="3796"/>
      <c r="WSL754" s="3796"/>
      <c r="WSM754" s="3796"/>
      <c r="WSN754" s="3796"/>
      <c r="WSO754" s="3796"/>
      <c r="WSP754" s="3796"/>
      <c r="WSQ754" s="3796"/>
      <c r="WSR754" s="3796"/>
      <c r="WSS754" s="3796"/>
      <c r="WST754" s="3796"/>
      <c r="WSU754" s="3796"/>
      <c r="WSV754" s="3796"/>
      <c r="WSW754" s="3796"/>
      <c r="WSX754" s="3796"/>
      <c r="WSY754" s="3796"/>
      <c r="WSZ754" s="3796"/>
      <c r="WTA754" s="3796"/>
      <c r="WTB754" s="3796"/>
      <c r="WTC754" s="3796"/>
      <c r="WTD754" s="3796"/>
      <c r="WTE754" s="3796"/>
      <c r="WTF754" s="3796"/>
      <c r="WTG754" s="3796"/>
      <c r="WTH754" s="3796"/>
      <c r="WTI754" s="3796"/>
      <c r="WTJ754" s="3796"/>
      <c r="WTK754" s="3796"/>
      <c r="WTL754" s="3796"/>
      <c r="WTM754" s="3796"/>
      <c r="WTN754" s="3796"/>
      <c r="WTO754" s="3796"/>
      <c r="WTP754" s="3796"/>
      <c r="WTQ754" s="3796"/>
      <c r="WTR754" s="3796"/>
      <c r="WTS754" s="3796"/>
      <c r="WTT754" s="3796"/>
      <c r="WTU754" s="3796"/>
      <c r="WTV754" s="3796"/>
      <c r="WTW754" s="3796"/>
      <c r="WTX754" s="3796"/>
      <c r="WTY754" s="3796"/>
      <c r="WTZ754" s="3796"/>
      <c r="WUA754" s="3796"/>
      <c r="WUB754" s="3796"/>
      <c r="WUC754" s="3796"/>
      <c r="WUD754" s="3796"/>
      <c r="WUE754" s="3796"/>
      <c r="WUF754" s="3796"/>
      <c r="WUG754" s="3796"/>
      <c r="WUH754" s="3796"/>
      <c r="WUI754" s="3796"/>
      <c r="WUJ754" s="3796"/>
      <c r="WUK754" s="3796"/>
      <c r="WUL754" s="3796"/>
      <c r="WUM754" s="3796"/>
      <c r="WUN754" s="3796"/>
      <c r="WUO754" s="3796"/>
      <c r="WUP754" s="3796"/>
      <c r="WUQ754" s="3796"/>
      <c r="WUR754" s="3796"/>
      <c r="WUS754" s="3796"/>
      <c r="WUT754" s="3796"/>
      <c r="WUU754" s="3796"/>
      <c r="WUV754" s="3796"/>
      <c r="WUW754" s="3796"/>
      <c r="WUX754" s="3796"/>
      <c r="WUY754" s="3796"/>
      <c r="WUZ754" s="3796"/>
      <c r="WVA754" s="3796"/>
      <c r="WVB754" s="3796"/>
      <c r="WVC754" s="3796"/>
      <c r="WVD754" s="3796"/>
      <c r="WVE754" s="3796"/>
      <c r="WVF754" s="3796"/>
      <c r="WVG754" s="3796"/>
      <c r="WVH754" s="3796"/>
      <c r="WVI754" s="3796"/>
      <c r="WVN754" s="3796"/>
      <c r="WVT754" s="3796"/>
      <c r="WVU754" s="3796"/>
      <c r="WVV754" s="3796"/>
      <c r="WVZ754" s="3796"/>
      <c r="WWG754" s="3796"/>
      <c r="WWH754" s="3796"/>
      <c r="WWI754" s="3796"/>
      <c r="WWJ754" s="3796"/>
      <c r="WWK754" s="3796"/>
      <c r="WWL754" s="3796"/>
      <c r="WWM754" s="3796"/>
      <c r="WWN754" s="3796"/>
      <c r="WWO754" s="3796"/>
      <c r="WWP754" s="3796"/>
      <c r="WWQ754" s="3796"/>
      <c r="WWR754" s="3796"/>
      <c r="WWS754" s="3796"/>
      <c r="WWT754" s="3796"/>
      <c r="WWU754" s="3796"/>
      <c r="WWV754" s="3796"/>
      <c r="WWW754" s="3796"/>
      <c r="WWX754" s="3796"/>
      <c r="WWY754" s="3796"/>
      <c r="WWZ754" s="3796"/>
      <c r="WXA754" s="3796"/>
      <c r="WXB754" s="3796"/>
      <c r="WXC754" s="3796"/>
      <c r="WXD754" s="3796"/>
      <c r="WXE754" s="3796"/>
      <c r="WXF754" s="3796"/>
      <c r="WXG754" s="3796"/>
      <c r="WXH754" s="3796"/>
      <c r="WXI754" s="3796"/>
      <c r="WXJ754" s="3796"/>
      <c r="WXK754" s="3796"/>
      <c r="WXL754" s="3796"/>
      <c r="WXM754" s="3796"/>
      <c r="WXN754" s="3796"/>
      <c r="WXO754" s="3796"/>
      <c r="WXP754" s="3796"/>
      <c r="WXQ754" s="3796"/>
      <c r="WXR754" s="3796"/>
      <c r="WXS754" s="3796"/>
      <c r="WXT754" s="3796"/>
      <c r="WXU754" s="3796"/>
      <c r="WXV754" s="3796"/>
      <c r="WXW754" s="3796"/>
      <c r="WXX754" s="3796"/>
      <c r="WXY754" s="3796"/>
      <c r="WXZ754" s="3796"/>
      <c r="WYA754" s="3796"/>
      <c r="WYB754" s="3796"/>
      <c r="WYC754" s="3796"/>
      <c r="WYD754" s="3796"/>
      <c r="WYE754" s="3796"/>
      <c r="WYF754" s="3796"/>
      <c r="WYG754" s="3796"/>
      <c r="WYH754" s="3796"/>
      <c r="WYI754" s="3796"/>
      <c r="WYJ754" s="3796"/>
      <c r="WYK754" s="3796"/>
      <c r="WYL754" s="3796"/>
      <c r="WYM754" s="3796"/>
      <c r="WYN754" s="3796"/>
      <c r="WYO754" s="3796"/>
      <c r="WYP754" s="3796"/>
      <c r="WYQ754" s="3796"/>
      <c r="WYR754" s="3796"/>
      <c r="WYS754" s="3796"/>
      <c r="WYT754" s="3796"/>
      <c r="WYU754" s="3796"/>
      <c r="WYV754" s="3796"/>
      <c r="WYW754" s="3796"/>
      <c r="WYX754" s="3796"/>
      <c r="WYY754" s="3796"/>
      <c r="WYZ754" s="3796"/>
      <c r="WZA754" s="3796"/>
      <c r="WZB754" s="3796"/>
      <c r="WZC754" s="3796"/>
      <c r="WZD754" s="3796"/>
      <c r="WZE754" s="3796"/>
      <c r="WZF754" s="3796"/>
      <c r="WZG754" s="3796"/>
      <c r="WZH754" s="3796"/>
      <c r="WZI754" s="3796"/>
      <c r="WZJ754" s="3796"/>
      <c r="WZK754" s="3796"/>
      <c r="WZL754" s="3796"/>
      <c r="WZM754" s="3796"/>
      <c r="WZN754" s="3796"/>
      <c r="WZO754" s="3796"/>
      <c r="WZP754" s="3796"/>
      <c r="WZQ754" s="3796"/>
      <c r="WZR754" s="3796"/>
      <c r="WZS754" s="3796"/>
      <c r="WZT754" s="3796"/>
      <c r="WZU754" s="3796"/>
      <c r="WZV754" s="3796"/>
      <c r="WZW754" s="3796"/>
      <c r="WZX754" s="3796"/>
      <c r="WZY754" s="3796"/>
      <c r="WZZ754" s="3796"/>
      <c r="XAA754" s="3796"/>
      <c r="XAB754" s="3796"/>
      <c r="XAC754" s="3796"/>
      <c r="XAD754" s="3796"/>
      <c r="XAE754" s="3796"/>
      <c r="XAF754" s="3796"/>
      <c r="XAG754" s="3796"/>
      <c r="XAH754" s="3796"/>
      <c r="XAI754" s="3796"/>
      <c r="XAJ754" s="3796"/>
      <c r="XAK754" s="3796"/>
      <c r="XAL754" s="3796"/>
      <c r="XAM754" s="3796"/>
      <c r="XAN754" s="3796"/>
      <c r="XAO754" s="3796"/>
      <c r="XAP754" s="3796"/>
      <c r="XAQ754" s="3796"/>
      <c r="XAR754" s="3796"/>
      <c r="XAS754" s="3796"/>
      <c r="XAT754" s="3796"/>
      <c r="XAU754" s="3796"/>
      <c r="XAV754" s="3796"/>
      <c r="XAW754" s="3796"/>
      <c r="XAX754" s="3796"/>
      <c r="XAY754" s="3796"/>
      <c r="XAZ754" s="3796"/>
      <c r="XBA754" s="3796"/>
      <c r="XBB754" s="3796"/>
      <c r="XBC754" s="3796"/>
      <c r="XBD754" s="3796"/>
      <c r="XBE754" s="3796"/>
      <c r="XBF754" s="3796"/>
      <c r="XBG754" s="3796"/>
      <c r="XBH754" s="3796"/>
      <c r="XBI754" s="3796"/>
      <c r="XBJ754" s="3796"/>
      <c r="XBK754" s="3796"/>
      <c r="XBL754" s="3796"/>
      <c r="XBM754" s="3796"/>
      <c r="XBN754" s="3796"/>
      <c r="XBO754" s="3796"/>
      <c r="XBP754" s="3796"/>
      <c r="XBQ754" s="3796"/>
      <c r="XBR754" s="3796"/>
      <c r="XBS754" s="3796"/>
      <c r="XBT754" s="3796"/>
      <c r="XBU754" s="3796"/>
      <c r="XBV754" s="3796"/>
      <c r="XBW754" s="3796"/>
      <c r="XBX754" s="3796"/>
      <c r="XBY754" s="3796"/>
      <c r="XBZ754" s="3796"/>
      <c r="XCA754" s="3796"/>
      <c r="XCB754" s="3796"/>
      <c r="XCC754" s="3796"/>
      <c r="XCD754" s="3796"/>
      <c r="XCE754" s="3796"/>
      <c r="XCF754" s="3796"/>
      <c r="XCG754" s="3796"/>
      <c r="XCH754" s="3796"/>
      <c r="XCI754" s="3796"/>
      <c r="XCJ754" s="3796"/>
      <c r="XCK754" s="3796"/>
      <c r="XCL754" s="3796"/>
      <c r="XCM754" s="3796"/>
      <c r="XCN754" s="3796"/>
      <c r="XCO754" s="3796"/>
      <c r="XCP754" s="3796"/>
      <c r="XCQ754" s="3796"/>
      <c r="XCR754" s="3796"/>
      <c r="XCS754" s="3796"/>
      <c r="XCT754" s="3796"/>
      <c r="XCU754" s="3796"/>
      <c r="XCV754" s="3796"/>
      <c r="XCW754" s="3796"/>
      <c r="XCX754" s="3796"/>
      <c r="XCY754" s="3796"/>
      <c r="XCZ754" s="3796"/>
      <c r="XDA754" s="3796"/>
      <c r="XDB754" s="3796"/>
      <c r="XDC754" s="3796"/>
      <c r="XDD754" s="3796"/>
      <c r="XDE754" s="3796"/>
      <c r="XDF754" s="3796"/>
      <c r="XDG754" s="3796"/>
      <c r="XDH754" s="3796"/>
      <c r="XDI754" s="3796"/>
      <c r="XDJ754" s="3796"/>
      <c r="XDK754" s="3796"/>
      <c r="XDL754" s="3796"/>
      <c r="XDM754" s="3796"/>
      <c r="XDN754" s="3796"/>
      <c r="XDO754" s="3796"/>
      <c r="XDP754" s="3796"/>
      <c r="XDQ754" s="3796"/>
      <c r="XDR754" s="3796"/>
      <c r="XDS754" s="3796"/>
      <c r="XDT754" s="3796"/>
      <c r="XDU754" s="3796"/>
      <c r="XDV754" s="3796"/>
      <c r="XDW754" s="3796"/>
      <c r="XDX754" s="3796"/>
      <c r="XDY754" s="3796"/>
      <c r="XDZ754" s="3796"/>
      <c r="XEA754" s="3796"/>
      <c r="XEB754" s="3796"/>
      <c r="XEC754" s="3796"/>
      <c r="XED754" s="3796"/>
      <c r="XEE754" s="3796"/>
      <c r="XEF754" s="3796"/>
      <c r="XEG754" s="3796"/>
      <c r="XEH754" s="3796"/>
      <c r="XEI754" s="3796"/>
      <c r="XEJ754" s="3796"/>
      <c r="XEK754" s="3796"/>
      <c r="XEL754" s="3796"/>
      <c r="XEM754" s="3796"/>
      <c r="XEN754" s="3796"/>
      <c r="XEO754" s="3796"/>
      <c r="XEP754" s="3796"/>
      <c r="XEQ754" s="3796"/>
      <c r="XER754" s="3796"/>
      <c r="XES754" s="3796"/>
      <c r="XET754" s="3796"/>
      <c r="XEU754" s="3796"/>
      <c r="XEV754" s="3796"/>
      <c r="XEW754" s="3796"/>
      <c r="XEX754" s="3796"/>
      <c r="XEY754" s="3796"/>
      <c r="XEZ754" s="3796"/>
      <c r="XFA754" s="3796"/>
      <c r="XFB754" s="3796"/>
      <c r="XFC754" s="3796"/>
      <c r="XFD754" s="3796"/>
    </row>
    <row r="755" spans="1:16384" hidden="1">
      <c r="A755" s="3267" t="s">
        <v>8272</v>
      </c>
      <c r="B755" s="3267" t="s">
        <v>8273</v>
      </c>
      <c r="C755" s="3269" t="s">
        <v>8274</v>
      </c>
      <c r="D755" s="3269" t="s">
        <v>8275</v>
      </c>
      <c r="E755" s="3268" t="s">
        <v>2985</v>
      </c>
      <c r="F755" s="3268" t="s">
        <v>5468</v>
      </c>
      <c r="G755" s="3267"/>
      <c r="H755" s="3267" t="s">
        <v>3182</v>
      </c>
      <c r="I755" s="3268" t="s">
        <v>3188</v>
      </c>
      <c r="J755" s="3267" t="s">
        <v>6094</v>
      </c>
      <c r="K755" s="3267" t="s">
        <v>8273</v>
      </c>
      <c r="L755" s="3267">
        <v>64.64</v>
      </c>
      <c r="M755" s="3269" t="s">
        <v>3266</v>
      </c>
      <c r="N755" s="3267" t="s">
        <v>3152</v>
      </c>
      <c r="O755" s="3267">
        <v>51.19</v>
      </c>
      <c r="P755" s="3267" t="s">
        <v>2963</v>
      </c>
      <c r="Q755" s="3271">
        <v>520000</v>
      </c>
      <c r="R755" s="3267">
        <v>8045</v>
      </c>
      <c r="S755" s="3272">
        <v>43.95</v>
      </c>
      <c r="T755" s="3273">
        <v>439500</v>
      </c>
      <c r="U755" s="3267">
        <v>6800</v>
      </c>
      <c r="V755" s="3289">
        <v>0.2</v>
      </c>
      <c r="W755" s="3272">
        <v>35.159999999999997</v>
      </c>
      <c r="X755" s="3275">
        <v>351600</v>
      </c>
      <c r="Y755" s="3267">
        <v>2006</v>
      </c>
      <c r="Z755" s="3276">
        <v>9</v>
      </c>
      <c r="AA755" s="3276">
        <v>11</v>
      </c>
      <c r="AB755" s="3267">
        <v>1315</v>
      </c>
      <c r="AC755" s="3267" t="s">
        <v>2980</v>
      </c>
      <c r="AD755" s="3269" t="s">
        <v>8276</v>
      </c>
      <c r="AE755" s="3279" t="s">
        <v>3245</v>
      </c>
      <c r="AF755" s="3268" t="s">
        <v>2966</v>
      </c>
      <c r="AG755" s="3279" t="s">
        <v>2967</v>
      </c>
      <c r="AH755" s="3267"/>
      <c r="AI755" s="3279" t="s">
        <v>2992</v>
      </c>
      <c r="AJ755" s="3284"/>
      <c r="AK755" s="3278">
        <v>9</v>
      </c>
      <c r="AL755" s="3276">
        <v>57</v>
      </c>
      <c r="AM755" s="3267" t="s">
        <v>8277</v>
      </c>
      <c r="AN755" s="3279" t="s">
        <v>3114</v>
      </c>
      <c r="AO755" s="3267"/>
      <c r="AP755" s="3279" t="s">
        <v>4230</v>
      </c>
      <c r="AQ755" s="3267" t="s">
        <v>3228</v>
      </c>
      <c r="AR755" s="3276"/>
      <c r="AS755" s="3276"/>
      <c r="AT755" s="3276"/>
      <c r="AU755" s="3276"/>
      <c r="AV755" s="3276" t="s">
        <v>2968</v>
      </c>
      <c r="AW755" s="3276" t="s">
        <v>3119</v>
      </c>
      <c r="AX755" s="3276" t="s">
        <v>2968</v>
      </c>
      <c r="AY755" s="3291"/>
      <c r="AZ755" s="3267" t="s">
        <v>8278</v>
      </c>
      <c r="BA755" s="3296"/>
      <c r="BB755" s="3297"/>
      <c r="BC755" s="3296"/>
      <c r="BD755" s="3298"/>
      <c r="BE755" s="3276">
        <v>13011297084</v>
      </c>
      <c r="BF755" s="3281"/>
      <c r="BG755" s="3293">
        <v>38957</v>
      </c>
      <c r="BH755" s="3354" t="s">
        <v>2998</v>
      </c>
      <c r="BI755" s="3314" t="s">
        <v>4230</v>
      </c>
      <c r="BJ755" s="3283">
        <v>38957</v>
      </c>
      <c r="BK755" s="3283"/>
      <c r="BL755" s="3267" t="s">
        <v>3249</v>
      </c>
      <c r="BM755" s="3276" t="s">
        <v>2879</v>
      </c>
      <c r="BN755" s="3276" t="s">
        <v>2999</v>
      </c>
      <c r="BO755" s="3276" t="s">
        <v>3000</v>
      </c>
      <c r="BP755" s="3276"/>
      <c r="BQ755" s="3276">
        <v>8586</v>
      </c>
      <c r="BR755" s="3276">
        <v>10158</v>
      </c>
      <c r="BS755" s="3285"/>
      <c r="BT755" s="3285"/>
      <c r="BU755" s="3285"/>
    </row>
    <row r="756" spans="1:16384" hidden="1">
      <c r="A756" s="3267" t="s">
        <v>8279</v>
      </c>
      <c r="B756" s="3267" t="s">
        <v>8280</v>
      </c>
      <c r="C756" s="3269" t="s">
        <v>8281</v>
      </c>
      <c r="D756" s="3269" t="s">
        <v>8282</v>
      </c>
      <c r="E756" s="3268" t="s">
        <v>2985</v>
      </c>
      <c r="F756" s="3268" t="s">
        <v>3279</v>
      </c>
      <c r="G756" s="3267"/>
      <c r="H756" s="3267" t="s">
        <v>8283</v>
      </c>
      <c r="I756" s="3268" t="s">
        <v>4347</v>
      </c>
      <c r="J756" s="3267" t="s">
        <v>3165</v>
      </c>
      <c r="K756" s="3267" t="s">
        <v>8284</v>
      </c>
      <c r="L756" s="3267">
        <v>129.44</v>
      </c>
      <c r="M756" s="3267">
        <v>6</v>
      </c>
      <c r="N756" s="3267" t="s">
        <v>3303</v>
      </c>
      <c r="O756" s="3267">
        <v>117.15</v>
      </c>
      <c r="P756" s="3267" t="s">
        <v>2963</v>
      </c>
      <c r="Q756" s="3271">
        <v>800000</v>
      </c>
      <c r="R756" s="3267">
        <v>6180</v>
      </c>
      <c r="S756" s="3272">
        <v>78.44</v>
      </c>
      <c r="T756" s="3273">
        <v>784400</v>
      </c>
      <c r="U756" s="3267">
        <v>6060</v>
      </c>
      <c r="V756" s="3289">
        <v>0.3</v>
      </c>
      <c r="W756" s="3272">
        <v>54.9</v>
      </c>
      <c r="X756" s="3275">
        <v>549000</v>
      </c>
      <c r="Y756" s="3276">
        <v>2006</v>
      </c>
      <c r="Z756" s="3276">
        <v>9</v>
      </c>
      <c r="AA756" s="3276">
        <v>5</v>
      </c>
      <c r="AB756" s="3267">
        <v>1500</v>
      </c>
      <c r="AC756" s="3267" t="s">
        <v>2980</v>
      </c>
      <c r="AD756" s="3269" t="s">
        <v>8285</v>
      </c>
      <c r="AE756" s="3279" t="s">
        <v>3245</v>
      </c>
      <c r="AF756" s="3268" t="s">
        <v>2966</v>
      </c>
      <c r="AG756" s="3279" t="s">
        <v>2967</v>
      </c>
      <c r="AH756" s="3267" t="s">
        <v>2968</v>
      </c>
      <c r="AI756" s="3279" t="s">
        <v>2992</v>
      </c>
      <c r="AJ756" s="3284"/>
      <c r="AK756" s="3278" t="s">
        <v>3154</v>
      </c>
      <c r="AL756" s="3276">
        <v>43</v>
      </c>
      <c r="AM756" s="3276"/>
      <c r="AN756" s="3279" t="s">
        <v>3140</v>
      </c>
      <c r="AO756" s="3267"/>
      <c r="AP756" s="3279" t="s">
        <v>4230</v>
      </c>
      <c r="AQ756" s="3267" t="s">
        <v>3228</v>
      </c>
      <c r="AR756" s="3276"/>
      <c r="AS756" s="3276"/>
      <c r="AT756" s="3276"/>
      <c r="AU756" s="3276"/>
      <c r="AV756" s="3276" t="s">
        <v>2968</v>
      </c>
      <c r="AW756" s="3276" t="s">
        <v>2997</v>
      </c>
      <c r="AX756" s="3276"/>
      <c r="AY756" s="3291"/>
      <c r="AZ756" s="3267" t="s">
        <v>8284</v>
      </c>
      <c r="BA756" s="3296"/>
      <c r="BB756" s="3297"/>
      <c r="BC756" s="3296"/>
      <c r="BD756" s="3298"/>
      <c r="BE756" s="3276">
        <v>13521184164</v>
      </c>
      <c r="BF756" s="3281"/>
      <c r="BG756" s="3293">
        <v>38924</v>
      </c>
      <c r="BH756" s="3267" t="s">
        <v>2998</v>
      </c>
      <c r="BI756" s="3314" t="s">
        <v>4230</v>
      </c>
      <c r="BJ756" s="3283">
        <v>38957</v>
      </c>
      <c r="BK756" s="3283"/>
      <c r="BL756" s="3267" t="s">
        <v>3249</v>
      </c>
      <c r="BM756" s="3276" t="s">
        <v>2879</v>
      </c>
      <c r="BN756" s="3276" t="s">
        <v>2999</v>
      </c>
      <c r="BO756" s="3276" t="s">
        <v>3590</v>
      </c>
      <c r="BP756" s="3276"/>
      <c r="BQ756" s="3276">
        <v>6696</v>
      </c>
      <c r="BR756" s="3276">
        <v>6829</v>
      </c>
      <c r="BS756" s="3285"/>
      <c r="BT756" s="3285"/>
      <c r="BU756" s="3285"/>
    </row>
    <row r="757" spans="1:16384" hidden="1">
      <c r="A757" s="3267" t="s">
        <v>8286</v>
      </c>
      <c r="B757" s="3267" t="s">
        <v>3222</v>
      </c>
      <c r="C757" s="3269" t="s">
        <v>8287</v>
      </c>
      <c r="D757" s="3269" t="s">
        <v>8288</v>
      </c>
      <c r="E757" s="3268" t="s">
        <v>2985</v>
      </c>
      <c r="F757" s="3268" t="s">
        <v>3557</v>
      </c>
      <c r="G757" s="3267"/>
      <c r="H757" s="3267" t="s">
        <v>3182</v>
      </c>
      <c r="I757" s="3268"/>
      <c r="J757" s="3267" t="s">
        <v>8289</v>
      </c>
      <c r="K757" s="3267" t="s">
        <v>8290</v>
      </c>
      <c r="L757" s="3267">
        <v>121.89</v>
      </c>
      <c r="M757" s="3267">
        <v>12</v>
      </c>
      <c r="N757" s="3267" t="s">
        <v>3125</v>
      </c>
      <c r="O757" s="3267"/>
      <c r="P757" s="3267" t="s">
        <v>2963</v>
      </c>
      <c r="Q757" s="3271">
        <v>800000</v>
      </c>
      <c r="R757" s="3267">
        <v>6563</v>
      </c>
      <c r="S757" s="3272">
        <v>76.98</v>
      </c>
      <c r="T757" s="3273">
        <v>769800</v>
      </c>
      <c r="U757" s="3267">
        <v>6316</v>
      </c>
      <c r="V757" s="3289">
        <v>0.3</v>
      </c>
      <c r="W757" s="3272">
        <v>53.88</v>
      </c>
      <c r="X757" s="3275">
        <v>538800</v>
      </c>
      <c r="Y757" s="3276">
        <v>2006</v>
      </c>
      <c r="Z757" s="3276">
        <v>9</v>
      </c>
      <c r="AA757" s="3276">
        <v>5</v>
      </c>
      <c r="AB757" s="3267">
        <v>1500</v>
      </c>
      <c r="AC757" s="3267" t="s">
        <v>2980</v>
      </c>
      <c r="AD757" s="3280" t="s">
        <v>8291</v>
      </c>
      <c r="AE757" s="3279" t="s">
        <v>3245</v>
      </c>
      <c r="AF757" s="3268" t="s">
        <v>2966</v>
      </c>
      <c r="AG757" s="3279" t="s">
        <v>2967</v>
      </c>
      <c r="AH757" s="3267"/>
      <c r="AI757" s="3279" t="s">
        <v>2992</v>
      </c>
      <c r="AJ757" s="3284"/>
      <c r="AK757" s="3278">
        <v>9</v>
      </c>
      <c r="AL757" s="3276">
        <v>54</v>
      </c>
      <c r="AM757" s="3267"/>
      <c r="AN757" s="3279" t="s">
        <v>3140</v>
      </c>
      <c r="AO757" s="3267"/>
      <c r="AP757" s="3279" t="s">
        <v>3305</v>
      </c>
      <c r="AQ757" s="3267" t="s">
        <v>3113</v>
      </c>
      <c r="AR757" s="3276"/>
      <c r="AS757" s="3276"/>
      <c r="AT757" s="3276"/>
      <c r="AU757" s="3276"/>
      <c r="AV757" s="3276"/>
      <c r="AW757" s="3276" t="s">
        <v>3119</v>
      </c>
      <c r="AX757" s="3276"/>
      <c r="AY757" s="3291"/>
      <c r="AZ757" s="3267" t="s">
        <v>8290</v>
      </c>
      <c r="BA757" s="3296"/>
      <c r="BB757" s="3297"/>
      <c r="BC757" s="3296"/>
      <c r="BD757" s="3298"/>
      <c r="BE757" s="3276"/>
      <c r="BF757" s="3281"/>
      <c r="BG757" s="3293">
        <v>38947</v>
      </c>
      <c r="BH757" s="3267" t="s">
        <v>2998</v>
      </c>
      <c r="BI757" s="3314" t="s">
        <v>3305</v>
      </c>
      <c r="BJ757" s="3283">
        <v>38957</v>
      </c>
      <c r="BK757" s="3283"/>
      <c r="BL757" s="3267" t="s">
        <v>3249</v>
      </c>
      <c r="BM757" s="3276" t="s">
        <v>2879</v>
      </c>
      <c r="BN757" s="3276" t="s">
        <v>2999</v>
      </c>
      <c r="BO757" s="3276" t="s">
        <v>3146</v>
      </c>
      <c r="BP757" s="3276"/>
      <c r="BQ757" s="3276" t="e">
        <v>#DIV/0!</v>
      </c>
      <c r="BR757" s="3276" t="e">
        <v>#DIV/0!</v>
      </c>
      <c r="BS757" s="3285"/>
      <c r="BT757" s="3285"/>
      <c r="BU757" s="3285"/>
    </row>
    <row r="758" spans="1:16384" hidden="1">
      <c r="A758" s="3267" t="s">
        <v>8292</v>
      </c>
      <c r="B758" s="3267" t="s">
        <v>3947</v>
      </c>
      <c r="C758" s="3269" t="s">
        <v>8293</v>
      </c>
      <c r="D758" s="3269" t="s">
        <v>8294</v>
      </c>
      <c r="E758" s="3268" t="s">
        <v>2985</v>
      </c>
      <c r="F758" s="3268" t="s">
        <v>4129</v>
      </c>
      <c r="G758" s="3267"/>
      <c r="H758" s="3268" t="s">
        <v>3097</v>
      </c>
      <c r="I758" s="3268" t="s">
        <v>3318</v>
      </c>
      <c r="J758" s="3267" t="s">
        <v>3126</v>
      </c>
      <c r="K758" s="3267" t="s">
        <v>8295</v>
      </c>
      <c r="L758" s="3267">
        <v>80.36</v>
      </c>
      <c r="M758" s="3354" t="s">
        <v>3656</v>
      </c>
      <c r="N758" s="3267" t="s">
        <v>3129</v>
      </c>
      <c r="O758" s="3267"/>
      <c r="P758" s="3267" t="s">
        <v>3495</v>
      </c>
      <c r="Q758" s="3271">
        <v>315000</v>
      </c>
      <c r="R758" s="3267">
        <v>3920</v>
      </c>
      <c r="S758" s="3272">
        <v>40.18</v>
      </c>
      <c r="T758" s="3273">
        <v>401800</v>
      </c>
      <c r="U758" s="3267">
        <v>5000</v>
      </c>
      <c r="V758" s="3289">
        <v>0.2</v>
      </c>
      <c r="W758" s="3272">
        <v>32.14</v>
      </c>
      <c r="X758" s="3275">
        <v>321400</v>
      </c>
      <c r="Y758" s="3276">
        <v>2006</v>
      </c>
      <c r="Z758" s="3276">
        <v>9</v>
      </c>
      <c r="AA758" s="3276">
        <v>5</v>
      </c>
      <c r="AB758" s="3267">
        <v>1205</v>
      </c>
      <c r="AC758" s="3267" t="s">
        <v>2980</v>
      </c>
      <c r="AD758" s="3280" t="s">
        <v>8296</v>
      </c>
      <c r="AE758" s="3279" t="s">
        <v>3180</v>
      </c>
      <c r="AF758" s="3268" t="s">
        <v>2966</v>
      </c>
      <c r="AG758" s="3279" t="s">
        <v>2967</v>
      </c>
      <c r="AH758" s="3267" t="s">
        <v>8297</v>
      </c>
      <c r="AI758" s="3279" t="s">
        <v>2992</v>
      </c>
      <c r="AJ758" s="3284"/>
      <c r="AK758" s="3278">
        <v>9</v>
      </c>
      <c r="AL758" s="3276">
        <v>42</v>
      </c>
      <c r="AM758" s="3276"/>
      <c r="AN758" s="3279" t="s">
        <v>3131</v>
      </c>
      <c r="AO758" s="3267"/>
      <c r="AP758" s="3267" t="s">
        <v>3180</v>
      </c>
      <c r="AQ758" s="3267" t="s">
        <v>3228</v>
      </c>
      <c r="AR758" s="3276">
        <v>2006</v>
      </c>
      <c r="AS758" s="3276">
        <v>8</v>
      </c>
      <c r="AT758" s="3276">
        <v>31</v>
      </c>
      <c r="AU758" s="3276"/>
      <c r="AV758" s="3276"/>
      <c r="AW758" s="3276" t="s">
        <v>3119</v>
      </c>
      <c r="AX758" s="3276"/>
      <c r="AY758" s="3291"/>
      <c r="AZ758" s="3267" t="s">
        <v>8295</v>
      </c>
      <c r="BA758" s="3296"/>
      <c r="BB758" s="3297"/>
      <c r="BC758" s="3296"/>
      <c r="BD758" s="3298"/>
      <c r="BE758" s="3276"/>
      <c r="BF758" s="3281"/>
      <c r="BG758" s="3293">
        <v>38958</v>
      </c>
      <c r="BH758" s="3267"/>
      <c r="BI758" s="3267" t="s">
        <v>3180</v>
      </c>
      <c r="BJ758" s="3283">
        <v>38958</v>
      </c>
      <c r="BK758" s="3283"/>
      <c r="BL758" s="3267" t="s">
        <v>2998</v>
      </c>
      <c r="BM758" s="3276" t="s">
        <v>8298</v>
      </c>
      <c r="BN758" s="3276" t="s">
        <v>2999</v>
      </c>
      <c r="BO758" s="3276" t="s">
        <v>8299</v>
      </c>
      <c r="BP758" s="3276"/>
      <c r="BQ758" s="3276" t="e">
        <v>#DIV/0!</v>
      </c>
      <c r="BR758" s="3276" t="e">
        <v>#DIV/0!</v>
      </c>
      <c r="BS758" s="3285"/>
      <c r="BT758" s="3285"/>
      <c r="BU758" s="3285"/>
    </row>
    <row r="759" spans="1:16384" hidden="1">
      <c r="A759" s="3267" t="s">
        <v>8300</v>
      </c>
      <c r="B759" s="3267" t="s">
        <v>4103</v>
      </c>
      <c r="C759" s="3269" t="s">
        <v>8301</v>
      </c>
      <c r="D759" s="3269" t="s">
        <v>8302</v>
      </c>
      <c r="E759" s="3268" t="s">
        <v>2985</v>
      </c>
      <c r="F759" s="3268" t="s">
        <v>3309</v>
      </c>
      <c r="G759" s="3267"/>
      <c r="H759" s="3267" t="s">
        <v>3280</v>
      </c>
      <c r="I759" s="3268"/>
      <c r="J759" s="3267" t="s">
        <v>7696</v>
      </c>
      <c r="K759" s="3267" t="s">
        <v>4103</v>
      </c>
      <c r="L759" s="3267">
        <v>102.83</v>
      </c>
      <c r="M759" s="3267">
        <v>2</v>
      </c>
      <c r="N759" s="3267" t="s">
        <v>3122</v>
      </c>
      <c r="O759" s="3267">
        <v>83.71</v>
      </c>
      <c r="P759" s="3267" t="s">
        <v>2963</v>
      </c>
      <c r="Q759" s="3271">
        <v>530000</v>
      </c>
      <c r="R759" s="3267">
        <v>5154</v>
      </c>
      <c r="S759" s="3272">
        <v>61.11</v>
      </c>
      <c r="T759" s="3273">
        <v>611100</v>
      </c>
      <c r="U759" s="3267">
        <v>5943</v>
      </c>
      <c r="V759" s="3289">
        <v>0.3</v>
      </c>
      <c r="W759" s="3272">
        <v>42.77</v>
      </c>
      <c r="X759" s="3275">
        <v>427700</v>
      </c>
      <c r="Y759" s="3276">
        <v>2006</v>
      </c>
      <c r="Z759" s="3276">
        <v>9</v>
      </c>
      <c r="AA759" s="3276">
        <v>19</v>
      </c>
      <c r="AB759" s="3267">
        <v>1500</v>
      </c>
      <c r="AC759" s="3267" t="s">
        <v>2980</v>
      </c>
      <c r="AD759" s="3280" t="s">
        <v>8303</v>
      </c>
      <c r="AE759" s="3279" t="s">
        <v>3344</v>
      </c>
      <c r="AF759" s="3268" t="s">
        <v>2966</v>
      </c>
      <c r="AG759" s="3279" t="s">
        <v>2967</v>
      </c>
      <c r="AH759" s="3267" t="s">
        <v>8304</v>
      </c>
      <c r="AI759" s="3279" t="s">
        <v>2992</v>
      </c>
      <c r="AJ759" s="3284"/>
      <c r="AK759" s="3278">
        <v>9</v>
      </c>
      <c r="AL759" s="3276">
        <v>55</v>
      </c>
      <c r="AM759" s="3267" t="s">
        <v>8305</v>
      </c>
      <c r="AN759" s="3279" t="s">
        <v>2994</v>
      </c>
      <c r="AO759" s="3267"/>
      <c r="AP759" s="3279" t="s">
        <v>3305</v>
      </c>
      <c r="AQ759" s="3267" t="s">
        <v>3228</v>
      </c>
      <c r="AR759" s="3276"/>
      <c r="AS759" s="3276"/>
      <c r="AT759" s="3276"/>
      <c r="AU759" s="3276"/>
      <c r="AV759" s="3276"/>
      <c r="AW759" s="3276" t="s">
        <v>3119</v>
      </c>
      <c r="AX759" s="3276"/>
      <c r="AY759" s="3291"/>
      <c r="AZ759" s="3267" t="s">
        <v>8306</v>
      </c>
      <c r="BA759" s="3296"/>
      <c r="BB759" s="3297"/>
      <c r="BC759" s="3296"/>
      <c r="BD759" s="3298"/>
      <c r="BE759" s="3276" t="s">
        <v>8307</v>
      </c>
      <c r="BF759" s="3281"/>
      <c r="BG759" s="3293">
        <v>38958</v>
      </c>
      <c r="BH759" s="3267" t="s">
        <v>2998</v>
      </c>
      <c r="BI759" s="3314" t="s">
        <v>3305</v>
      </c>
      <c r="BJ759" s="3283">
        <v>38959</v>
      </c>
      <c r="BK759" s="3283"/>
      <c r="BL759" s="3267" t="s">
        <v>3249</v>
      </c>
      <c r="BM759" s="3276" t="s">
        <v>2879</v>
      </c>
      <c r="BN759" s="3276" t="s">
        <v>3111</v>
      </c>
      <c r="BO759" s="3276" t="s">
        <v>3146</v>
      </c>
      <c r="BP759" s="3276"/>
      <c r="BQ759" s="3276">
        <v>7300</v>
      </c>
      <c r="BR759" s="3276">
        <v>6331</v>
      </c>
      <c r="BS759" s="3285"/>
      <c r="BT759" s="3285"/>
      <c r="BU759" s="3285"/>
    </row>
    <row r="760" spans="1:16384" hidden="1">
      <c r="A760" s="3267" t="s">
        <v>8308</v>
      </c>
      <c r="B760" s="3267" t="s">
        <v>8309</v>
      </c>
      <c r="C760" s="3269" t="s">
        <v>8310</v>
      </c>
      <c r="D760" s="3269" t="s">
        <v>8311</v>
      </c>
      <c r="E760" s="3267" t="s">
        <v>2985</v>
      </c>
      <c r="F760" s="3267" t="s">
        <v>8312</v>
      </c>
      <c r="G760" s="3267"/>
      <c r="H760" s="3267" t="s">
        <v>3139</v>
      </c>
      <c r="I760" s="3267" t="s">
        <v>3191</v>
      </c>
      <c r="J760" s="3269" t="s">
        <v>3713</v>
      </c>
      <c r="K760" s="3267" t="s">
        <v>8313</v>
      </c>
      <c r="L760" s="3286">
        <v>64.05</v>
      </c>
      <c r="M760" s="3267">
        <v>2</v>
      </c>
      <c r="N760" s="3267" t="s">
        <v>3122</v>
      </c>
      <c r="O760" s="3267"/>
      <c r="P760" s="3267" t="s">
        <v>2963</v>
      </c>
      <c r="Q760" s="3287">
        <v>240000</v>
      </c>
      <c r="R760" s="3267">
        <v>3747</v>
      </c>
      <c r="S760" s="3272">
        <v>25.54</v>
      </c>
      <c r="T760" s="3273">
        <v>255400</v>
      </c>
      <c r="U760" s="3267">
        <v>3988</v>
      </c>
      <c r="V760" s="3274">
        <v>0.2</v>
      </c>
      <c r="W760" s="3272">
        <v>20.43</v>
      </c>
      <c r="X760" s="3275">
        <v>204300</v>
      </c>
      <c r="Y760" s="3276">
        <v>2006</v>
      </c>
      <c r="Z760" s="3276">
        <v>9</v>
      </c>
      <c r="AA760" s="3276">
        <v>27</v>
      </c>
      <c r="AB760" s="3270">
        <v>765</v>
      </c>
      <c r="AC760" s="3267" t="s">
        <v>2980</v>
      </c>
      <c r="AD760" s="3269" t="s">
        <v>8314</v>
      </c>
      <c r="AE760" s="3268" t="s">
        <v>3069</v>
      </c>
      <c r="AF760" s="3267" t="s">
        <v>2966</v>
      </c>
      <c r="AG760" s="3279" t="s">
        <v>2967</v>
      </c>
      <c r="AH760" s="3267"/>
      <c r="AI760" s="3267" t="s">
        <v>3115</v>
      </c>
      <c r="AJ760" s="3290"/>
      <c r="AK760" s="3316" t="s">
        <v>3154</v>
      </c>
      <c r="AL760" s="3276" t="s">
        <v>8315</v>
      </c>
      <c r="AM760" s="3276"/>
      <c r="AN760" s="3276" t="s">
        <v>3099</v>
      </c>
      <c r="AO760" s="3276"/>
      <c r="AP760" s="3276" t="s">
        <v>3069</v>
      </c>
      <c r="AQ760" s="3267" t="s">
        <v>3228</v>
      </c>
      <c r="AR760" s="3276">
        <v>2006</v>
      </c>
      <c r="AS760" s="3276">
        <v>9</v>
      </c>
      <c r="AT760" s="3276">
        <v>27</v>
      </c>
      <c r="AU760" s="3276"/>
      <c r="AV760" s="3276"/>
      <c r="AW760" s="3267" t="s">
        <v>2997</v>
      </c>
      <c r="AX760" s="3276"/>
      <c r="AY760" s="3291"/>
      <c r="AZ760" s="3276" t="s">
        <v>8313</v>
      </c>
      <c r="BA760" s="3276"/>
      <c r="BB760" s="3291"/>
      <c r="BC760" s="3276"/>
      <c r="BD760" s="3292"/>
      <c r="BE760" s="3276"/>
      <c r="BF760" s="3281"/>
      <c r="BG760" s="3293">
        <v>38950</v>
      </c>
      <c r="BH760" s="3276"/>
      <c r="BI760" s="3279" t="s">
        <v>3069</v>
      </c>
      <c r="BJ760" s="3299">
        <v>38959</v>
      </c>
      <c r="BK760" s="3283"/>
      <c r="BL760" s="3276" t="s">
        <v>2998</v>
      </c>
      <c r="BM760" s="3276" t="s">
        <v>2879</v>
      </c>
      <c r="BN760" s="3276" t="s">
        <v>3111</v>
      </c>
      <c r="BO760" s="3276" t="s">
        <v>3146</v>
      </c>
      <c r="BP760" s="3276"/>
      <c r="BQ760" s="3276"/>
      <c r="BR760" s="3276"/>
      <c r="BS760" s="3285"/>
      <c r="BT760" s="3285"/>
      <c r="BU760" s="3285"/>
    </row>
    <row r="761" spans="1:16384" hidden="1">
      <c r="A761" s="3267" t="s">
        <v>8316</v>
      </c>
      <c r="B761" s="3267" t="s">
        <v>8317</v>
      </c>
      <c r="C761" s="3269" t="s">
        <v>8318</v>
      </c>
      <c r="D761" s="3268">
        <v>13611135663</v>
      </c>
      <c r="E761" s="3267" t="s">
        <v>2985</v>
      </c>
      <c r="F761" s="3267" t="s">
        <v>4088</v>
      </c>
      <c r="G761" s="3267"/>
      <c r="H761" s="3270" t="s">
        <v>3244</v>
      </c>
      <c r="I761" s="3268"/>
      <c r="J761" s="3270" t="s">
        <v>3602</v>
      </c>
      <c r="K761" s="3267" t="s">
        <v>8319</v>
      </c>
      <c r="L761" s="3286">
        <v>106.51</v>
      </c>
      <c r="M761" s="3270">
        <v>5</v>
      </c>
      <c r="N761" s="3267" t="s">
        <v>3098</v>
      </c>
      <c r="O761" s="3267"/>
      <c r="P761" s="3267" t="s">
        <v>2963</v>
      </c>
      <c r="Q761" s="3287">
        <v>430000</v>
      </c>
      <c r="R761" s="3271">
        <v>4037</v>
      </c>
      <c r="S761" s="3272">
        <v>42.6</v>
      </c>
      <c r="T761" s="3273">
        <v>426000</v>
      </c>
      <c r="U761" s="3287">
        <v>4000</v>
      </c>
      <c r="V761" s="3289">
        <v>0.3</v>
      </c>
      <c r="W761" s="3272">
        <v>29.82</v>
      </c>
      <c r="X761" s="3273">
        <v>298200</v>
      </c>
      <c r="Y761" s="3276">
        <v>2006</v>
      </c>
      <c r="Z761" s="3276">
        <v>9</v>
      </c>
      <c r="AA761" s="3267">
        <v>11</v>
      </c>
      <c r="AB761" s="3267">
        <v>1275</v>
      </c>
      <c r="AC761" s="3267" t="s">
        <v>2980</v>
      </c>
      <c r="AD761" s="3269" t="s">
        <v>8320</v>
      </c>
      <c r="AE761" s="3267" t="s">
        <v>3069</v>
      </c>
      <c r="AF761" s="3267" t="s">
        <v>2966</v>
      </c>
      <c r="AG761" s="3267" t="s">
        <v>3473</v>
      </c>
      <c r="AH761" s="3267"/>
      <c r="AI761" s="3276" t="s">
        <v>3295</v>
      </c>
      <c r="AJ761" s="3270"/>
      <c r="AK761" s="3278" t="s">
        <v>3154</v>
      </c>
      <c r="AL761" s="3267" t="s">
        <v>8321</v>
      </c>
      <c r="AM761" s="3267"/>
      <c r="AN761" s="3302" t="s">
        <v>3114</v>
      </c>
      <c r="AO761" s="3267"/>
      <c r="AP761" s="3267" t="s">
        <v>3069</v>
      </c>
      <c r="AQ761" s="3267" t="s">
        <v>3113</v>
      </c>
      <c r="AR761" s="3267"/>
      <c r="AS761" s="3267"/>
      <c r="AT761" s="3267"/>
      <c r="AU761" s="3267"/>
      <c r="AV761" s="3267"/>
      <c r="AW761" s="3267"/>
      <c r="AX761" s="3267"/>
      <c r="AY761" s="3279"/>
      <c r="AZ761" s="3267" t="s">
        <v>8319</v>
      </c>
      <c r="BA761" s="3267"/>
      <c r="BB761" s="3267"/>
      <c r="BC761" s="3267"/>
      <c r="BD761" s="3267"/>
      <c r="BE761" s="3267"/>
      <c r="BF761" s="3267"/>
      <c r="BG761" s="3290">
        <v>38958</v>
      </c>
      <c r="BH761" s="3267"/>
      <c r="BI761" s="3279" t="s">
        <v>3069</v>
      </c>
      <c r="BJ761" s="3284">
        <v>38960</v>
      </c>
      <c r="BK761" s="3284"/>
      <c r="BL761" s="3267" t="s">
        <v>2998</v>
      </c>
      <c r="BM761" s="3267" t="s">
        <v>3345</v>
      </c>
      <c r="BN761" s="3267" t="s">
        <v>3111</v>
      </c>
      <c r="BO761" s="3267" t="s">
        <v>3446</v>
      </c>
      <c r="BP761" s="3267"/>
      <c r="BQ761" s="3267"/>
      <c r="BR761" s="3267"/>
      <c r="BS761" s="3285"/>
      <c r="BT761" s="3285"/>
      <c r="BU761" s="3285"/>
    </row>
    <row r="762" spans="1:16384" hidden="1">
      <c r="A762" s="3267" t="s">
        <v>8322</v>
      </c>
      <c r="B762" s="3267" t="s">
        <v>8323</v>
      </c>
      <c r="C762" s="3269" t="s">
        <v>8324</v>
      </c>
      <c r="D762" s="3269" t="s">
        <v>8325</v>
      </c>
      <c r="E762" s="3268" t="s">
        <v>2985</v>
      </c>
      <c r="F762" s="3268" t="s">
        <v>3813</v>
      </c>
      <c r="G762" s="3267"/>
      <c r="H762" s="3267" t="s">
        <v>4724</v>
      </c>
      <c r="I762" s="3268"/>
      <c r="J762" s="3267" t="s">
        <v>6103</v>
      </c>
      <c r="K762" s="3267" t="s">
        <v>8326</v>
      </c>
      <c r="L762" s="3267">
        <v>100.08</v>
      </c>
      <c r="M762" s="3267">
        <v>24</v>
      </c>
      <c r="N762" s="3267" t="s">
        <v>3122</v>
      </c>
      <c r="O762" s="3267">
        <v>79.010000000000005</v>
      </c>
      <c r="P762" s="3267" t="s">
        <v>2963</v>
      </c>
      <c r="Q762" s="3271">
        <v>580000</v>
      </c>
      <c r="R762" s="3288">
        <v>5795</v>
      </c>
      <c r="S762" s="3272">
        <v>57.69</v>
      </c>
      <c r="T762" s="3273">
        <v>576900</v>
      </c>
      <c r="U762" s="3267">
        <v>5765</v>
      </c>
      <c r="V762" s="3289">
        <v>0.3</v>
      </c>
      <c r="W762" s="3272">
        <v>40.380000000000003</v>
      </c>
      <c r="X762" s="3273">
        <v>403800</v>
      </c>
      <c r="Y762" s="3267">
        <v>2006</v>
      </c>
      <c r="Z762" s="3276">
        <v>10</v>
      </c>
      <c r="AA762" s="3276">
        <v>9</v>
      </c>
      <c r="AB762" s="3267">
        <v>1500</v>
      </c>
      <c r="AC762" s="3267" t="s">
        <v>2980</v>
      </c>
      <c r="AD762" s="3280" t="s">
        <v>8327</v>
      </c>
      <c r="AE762" s="3279" t="s">
        <v>3245</v>
      </c>
      <c r="AF762" s="3268" t="s">
        <v>2966</v>
      </c>
      <c r="AG762" s="3279" t="s">
        <v>2967</v>
      </c>
      <c r="AH762" s="3267"/>
      <c r="AI762" s="3279" t="s">
        <v>2992</v>
      </c>
      <c r="AJ762" s="3284"/>
      <c r="AK762" s="3278" t="s">
        <v>3148</v>
      </c>
      <c r="AL762" s="3276">
        <v>53</v>
      </c>
      <c r="AM762" s="3267"/>
      <c r="AN762" s="3279" t="s">
        <v>3131</v>
      </c>
      <c r="AO762" s="3267"/>
      <c r="AP762" s="3279" t="s">
        <v>3305</v>
      </c>
      <c r="AQ762" s="3267" t="s">
        <v>3228</v>
      </c>
      <c r="AR762" s="3276"/>
      <c r="AS762" s="3276"/>
      <c r="AT762" s="3276"/>
      <c r="AU762" s="3276"/>
      <c r="AV762" s="3276"/>
      <c r="AW762" s="3276" t="s">
        <v>2997</v>
      </c>
      <c r="AX762" s="3276"/>
      <c r="AY762" s="3291"/>
      <c r="AZ762" s="3267" t="s">
        <v>8326</v>
      </c>
      <c r="BA762" s="3296"/>
      <c r="BB762" s="3297"/>
      <c r="BC762" s="3296"/>
      <c r="BD762" s="3298"/>
      <c r="BE762" s="3276">
        <v>13601231480</v>
      </c>
      <c r="BF762" s="3281"/>
      <c r="BG762" s="3293">
        <v>38912</v>
      </c>
      <c r="BH762" s="3267" t="s">
        <v>2998</v>
      </c>
      <c r="BI762" s="3314" t="s">
        <v>3305</v>
      </c>
      <c r="BJ762" s="3283">
        <v>38960</v>
      </c>
      <c r="BK762" s="3283"/>
      <c r="BL762" s="3267" t="s">
        <v>3249</v>
      </c>
      <c r="BM762" s="3276" t="s">
        <v>2879</v>
      </c>
      <c r="BN762" s="3276" t="s">
        <v>2999</v>
      </c>
      <c r="BO762" s="3276" t="s">
        <v>3146</v>
      </c>
      <c r="BP762" s="3276"/>
      <c r="BQ762" s="3276">
        <v>7302</v>
      </c>
      <c r="BR762" s="3276">
        <v>7341</v>
      </c>
      <c r="BS762" s="3285"/>
      <c r="BT762" s="3285"/>
      <c r="BU762" s="3285"/>
    </row>
    <row r="763" spans="1:16384" hidden="1">
      <c r="A763" s="3267" t="s">
        <v>8328</v>
      </c>
      <c r="B763" s="3267" t="s">
        <v>8329</v>
      </c>
      <c r="C763" s="3269" t="s">
        <v>8330</v>
      </c>
      <c r="D763" s="3269" t="s">
        <v>8331</v>
      </c>
      <c r="E763" s="3268" t="s">
        <v>2985</v>
      </c>
      <c r="F763" s="3268" t="s">
        <v>4654</v>
      </c>
      <c r="G763" s="3267"/>
      <c r="H763" s="3267" t="s">
        <v>3194</v>
      </c>
      <c r="I763" s="3268"/>
      <c r="J763" s="3267" t="s">
        <v>8332</v>
      </c>
      <c r="K763" s="3267" t="s">
        <v>8329</v>
      </c>
      <c r="L763" s="3267">
        <v>65.010000000000005</v>
      </c>
      <c r="M763" s="3267" t="s">
        <v>5190</v>
      </c>
      <c r="N763" s="3267" t="s">
        <v>3122</v>
      </c>
      <c r="O763" s="3267"/>
      <c r="P763" s="3267" t="s">
        <v>2963</v>
      </c>
      <c r="Q763" s="3271">
        <v>640000</v>
      </c>
      <c r="R763" s="3288">
        <v>9845</v>
      </c>
      <c r="S763" s="3272">
        <v>50.64</v>
      </c>
      <c r="T763" s="3273">
        <v>506400</v>
      </c>
      <c r="U763" s="3267">
        <v>7790</v>
      </c>
      <c r="V763" s="3289">
        <v>0.2</v>
      </c>
      <c r="W763" s="3272">
        <v>40.51</v>
      </c>
      <c r="X763" s="3273">
        <v>405100</v>
      </c>
      <c r="Y763" s="3267">
        <v>2006</v>
      </c>
      <c r="Z763" s="3276">
        <v>9</v>
      </c>
      <c r="AA763" s="3276">
        <v>29</v>
      </c>
      <c r="AB763" s="3267">
        <v>1500</v>
      </c>
      <c r="AC763" s="3267" t="s">
        <v>2980</v>
      </c>
      <c r="AD763" s="3280" t="s">
        <v>8333</v>
      </c>
      <c r="AE763" s="3279" t="s">
        <v>3295</v>
      </c>
      <c r="AF763" s="3268" t="s">
        <v>2966</v>
      </c>
      <c r="AG763" s="3279" t="s">
        <v>2967</v>
      </c>
      <c r="AH763" s="3267"/>
      <c r="AI763" s="3279" t="s">
        <v>2992</v>
      </c>
      <c r="AJ763" s="3284"/>
      <c r="AK763" s="3278">
        <v>9</v>
      </c>
      <c r="AL763" s="3276">
        <v>39</v>
      </c>
      <c r="AM763" s="3267" t="s">
        <v>8334</v>
      </c>
      <c r="AN763" s="3279" t="s">
        <v>3099</v>
      </c>
      <c r="AO763" s="3267"/>
      <c r="AP763" s="3279" t="s">
        <v>3305</v>
      </c>
      <c r="AQ763" s="3267" t="s">
        <v>3228</v>
      </c>
      <c r="AR763" s="3276"/>
      <c r="AS763" s="3276"/>
      <c r="AT763" s="3276"/>
      <c r="AU763" s="3276"/>
      <c r="AV763" s="3276"/>
      <c r="AW763" s="3276" t="s">
        <v>3112</v>
      </c>
      <c r="AX763" s="3276"/>
      <c r="AY763" s="3291"/>
      <c r="AZ763" s="3267" t="s">
        <v>8335</v>
      </c>
      <c r="BA763" s="3296"/>
      <c r="BB763" s="3297"/>
      <c r="BC763" s="3296"/>
      <c r="BD763" s="3298"/>
      <c r="BE763" s="3276" t="s">
        <v>8336</v>
      </c>
      <c r="BF763" s="3281"/>
      <c r="BG763" s="3293">
        <v>38957</v>
      </c>
      <c r="BH763" s="3267" t="s">
        <v>2998</v>
      </c>
      <c r="BI763" s="3314" t="s">
        <v>3305</v>
      </c>
      <c r="BJ763" s="3283">
        <v>38960</v>
      </c>
      <c r="BK763" s="3283"/>
      <c r="BL763" s="3267" t="s">
        <v>3249</v>
      </c>
      <c r="BM763" s="3276" t="s">
        <v>2879</v>
      </c>
      <c r="BN763" s="3276" t="s">
        <v>2999</v>
      </c>
      <c r="BO763" s="3276" t="s">
        <v>3000</v>
      </c>
      <c r="BP763" s="3276"/>
      <c r="BQ763" s="3276" t="e">
        <v>#DIV/0!</v>
      </c>
      <c r="BR763" s="3276" t="e">
        <v>#DIV/0!</v>
      </c>
      <c r="BS763" s="3285"/>
      <c r="BT763" s="3285"/>
      <c r="BU763" s="3285"/>
    </row>
    <row r="764" spans="1:16384" hidden="1">
      <c r="A764" s="3267" t="s">
        <v>8337</v>
      </c>
      <c r="B764" s="3267" t="s">
        <v>8338</v>
      </c>
      <c r="C764" s="3269" t="s">
        <v>8339</v>
      </c>
      <c r="D764" s="3269" t="s">
        <v>8340</v>
      </c>
      <c r="E764" s="3267" t="s">
        <v>2985</v>
      </c>
      <c r="F764" s="3267" t="s">
        <v>8341</v>
      </c>
      <c r="G764" s="3267"/>
      <c r="H764" s="3267" t="s">
        <v>3139</v>
      </c>
      <c r="I764" s="3267" t="s">
        <v>3586</v>
      </c>
      <c r="J764" s="3269" t="s">
        <v>3437</v>
      </c>
      <c r="K764" s="3267" t="s">
        <v>8342</v>
      </c>
      <c r="L764" s="3286">
        <v>54.81</v>
      </c>
      <c r="M764" s="3269" t="s">
        <v>4180</v>
      </c>
      <c r="N764" s="3268" t="s">
        <v>3122</v>
      </c>
      <c r="O764" s="3267"/>
      <c r="P764" s="3267" t="s">
        <v>2963</v>
      </c>
      <c r="Q764" s="3287">
        <v>400000</v>
      </c>
      <c r="R764" s="3267">
        <v>7298</v>
      </c>
      <c r="S764" s="3272">
        <v>38.78</v>
      </c>
      <c r="T764" s="3273">
        <v>387800</v>
      </c>
      <c r="U764" s="3267">
        <v>7076</v>
      </c>
      <c r="V764" s="3289">
        <v>0.2</v>
      </c>
      <c r="W764" s="3272">
        <v>31.02</v>
      </c>
      <c r="X764" s="3275">
        <v>310200</v>
      </c>
      <c r="Y764" s="3276">
        <v>2006</v>
      </c>
      <c r="Z764" s="3276">
        <v>10</v>
      </c>
      <c r="AA764" s="3276">
        <v>12</v>
      </c>
      <c r="AB764" s="3267">
        <v>1160</v>
      </c>
      <c r="AC764" s="3267" t="s">
        <v>2980</v>
      </c>
      <c r="AD764" s="3269" t="s">
        <v>8343</v>
      </c>
      <c r="AE764" s="3267" t="s">
        <v>3295</v>
      </c>
      <c r="AF764" s="3267" t="s">
        <v>2966</v>
      </c>
      <c r="AG764" s="3279" t="s">
        <v>2967</v>
      </c>
      <c r="AH764" s="3267" t="s">
        <v>8344</v>
      </c>
      <c r="AI764" s="3267" t="s">
        <v>2992</v>
      </c>
      <c r="AJ764" s="3284"/>
      <c r="AK764" s="3278" t="s">
        <v>3148</v>
      </c>
      <c r="AL764" s="3276">
        <v>36</v>
      </c>
      <c r="AM764" s="3267"/>
      <c r="AN764" s="3279" t="s">
        <v>3131</v>
      </c>
      <c r="AO764" s="3267"/>
      <c r="AP764" s="3279" t="s">
        <v>3239</v>
      </c>
      <c r="AQ764" s="3267" t="s">
        <v>3228</v>
      </c>
      <c r="AR764" s="3276">
        <v>2006</v>
      </c>
      <c r="AS764" s="3276">
        <v>10</v>
      </c>
      <c r="AT764" s="3276">
        <v>12</v>
      </c>
      <c r="AU764" s="3276"/>
      <c r="AV764" s="3276"/>
      <c r="AW764" s="3267" t="s">
        <v>3112</v>
      </c>
      <c r="AX764" s="3276"/>
      <c r="AY764" s="3291"/>
      <c r="AZ764" s="3267" t="s">
        <v>8342</v>
      </c>
      <c r="BA764" s="3276"/>
      <c r="BB764" s="3291"/>
      <c r="BC764" s="3276"/>
      <c r="BD764" s="3292"/>
      <c r="BE764" s="3276">
        <v>13146095308</v>
      </c>
      <c r="BF764" s="3281"/>
      <c r="BG764" s="3299">
        <v>38937</v>
      </c>
      <c r="BH764" s="3267" t="s">
        <v>2998</v>
      </c>
      <c r="BI764" s="3279" t="s">
        <v>3239</v>
      </c>
      <c r="BJ764" s="3293">
        <v>38961</v>
      </c>
      <c r="BK764" s="3283"/>
      <c r="BL764" s="3267" t="s">
        <v>3249</v>
      </c>
      <c r="BM764" s="3267" t="s">
        <v>2879</v>
      </c>
      <c r="BN764" s="3267" t="s">
        <v>2999</v>
      </c>
      <c r="BO764" s="3276" t="s">
        <v>3000</v>
      </c>
      <c r="BP764" s="3276"/>
      <c r="BQ764" s="3276" t="e">
        <v>#DIV/0!</v>
      </c>
      <c r="BR764" s="3276" t="e">
        <v>#DIV/0!</v>
      </c>
      <c r="BS764" s="3285"/>
      <c r="BT764" s="3285"/>
      <c r="BU764" s="3285"/>
    </row>
    <row r="765" spans="1:16384" hidden="1">
      <c r="A765" s="3267" t="s">
        <v>8345</v>
      </c>
      <c r="B765" s="3267" t="s">
        <v>8346</v>
      </c>
      <c r="C765" s="3267" t="s">
        <v>8347</v>
      </c>
      <c r="D765" s="3267" t="s">
        <v>8348</v>
      </c>
      <c r="E765" s="3267" t="s">
        <v>2985</v>
      </c>
      <c r="F765" s="3267" t="s">
        <v>8349</v>
      </c>
      <c r="G765" s="3267"/>
      <c r="H765" s="3267" t="s">
        <v>6917</v>
      </c>
      <c r="I765" s="3267" t="s">
        <v>3153</v>
      </c>
      <c r="J765" s="3267"/>
      <c r="K765" s="3267" t="s">
        <v>8346</v>
      </c>
      <c r="L765" s="3267">
        <v>62.52</v>
      </c>
      <c r="M765" s="3267">
        <v>12</v>
      </c>
      <c r="N765" s="3267" t="s">
        <v>3122</v>
      </c>
      <c r="O765" s="3267"/>
      <c r="P765" s="3267" t="s">
        <v>2963</v>
      </c>
      <c r="Q765" s="3267">
        <v>420000</v>
      </c>
      <c r="R765" s="3267">
        <v>6718</v>
      </c>
      <c r="S765" s="3272">
        <v>40.11</v>
      </c>
      <c r="T765" s="3273">
        <v>401100</v>
      </c>
      <c r="U765" s="3267">
        <v>6416</v>
      </c>
      <c r="V765" s="3289">
        <v>0.2</v>
      </c>
      <c r="W765" s="3272">
        <v>32.08</v>
      </c>
      <c r="X765" s="3275">
        <v>320800</v>
      </c>
      <c r="Y765" s="3267">
        <v>2006</v>
      </c>
      <c r="Z765" s="3267">
        <v>9</v>
      </c>
      <c r="AA765" s="3267">
        <v>11</v>
      </c>
      <c r="AB765" s="3267">
        <v>1200</v>
      </c>
      <c r="AC765" s="3267" t="s">
        <v>2980</v>
      </c>
      <c r="AD765" s="3267">
        <v>91302006090187</v>
      </c>
      <c r="AE765" s="3267" t="s">
        <v>3487</v>
      </c>
      <c r="AF765" s="3267" t="s">
        <v>2966</v>
      </c>
      <c r="AG765" s="3267" t="s">
        <v>2967</v>
      </c>
      <c r="AH765" s="3267" t="s">
        <v>2968</v>
      </c>
      <c r="AI765" s="3267" t="s">
        <v>2992</v>
      </c>
      <c r="AJ765" s="3267"/>
      <c r="AK765" s="3267">
        <v>9</v>
      </c>
      <c r="AL765" s="3267">
        <v>48</v>
      </c>
      <c r="AM765" s="3267" t="s">
        <v>8350</v>
      </c>
      <c r="AN765" s="3267" t="s">
        <v>2994</v>
      </c>
      <c r="AO765" s="3267" t="s">
        <v>2968</v>
      </c>
      <c r="AP765" s="3267" t="s">
        <v>3487</v>
      </c>
      <c r="AQ765" s="3267" t="s">
        <v>3113</v>
      </c>
      <c r="AR765" s="3267"/>
      <c r="AS765" s="3267"/>
      <c r="AT765" s="3267"/>
      <c r="AU765" s="3267"/>
      <c r="AV765" s="3267" t="s">
        <v>2968</v>
      </c>
      <c r="AW765" s="3267" t="s">
        <v>3171</v>
      </c>
      <c r="AX765" s="3267"/>
      <c r="AY765" s="3269"/>
      <c r="AZ765" s="3267"/>
      <c r="BA765" s="3267"/>
      <c r="BB765" s="3269"/>
      <c r="BC765" s="3267"/>
      <c r="BD765" s="3304"/>
      <c r="BE765" s="3267"/>
      <c r="BF765" s="3305"/>
      <c r="BG765" s="3284">
        <v>38962</v>
      </c>
      <c r="BH765" s="3267"/>
      <c r="BI765" s="3267" t="s">
        <v>3487</v>
      </c>
      <c r="BJ765" s="3303">
        <v>38964</v>
      </c>
      <c r="BK765" s="3303"/>
      <c r="BL765" s="3267" t="s">
        <v>2998</v>
      </c>
      <c r="BM765" s="3267"/>
      <c r="BN765" s="3267"/>
      <c r="BO765" s="3267"/>
      <c r="BP765" s="3267"/>
      <c r="BQ765" s="3276" t="e">
        <v>#DIV/0!</v>
      </c>
      <c r="BR765" s="3276" t="e">
        <v>#DIV/0!</v>
      </c>
      <c r="BS765" s="3285"/>
      <c r="BT765" s="3285"/>
      <c r="BU765" s="3285"/>
    </row>
    <row r="766" spans="1:16384" hidden="1">
      <c r="A766" s="3268" t="s">
        <v>8351</v>
      </c>
      <c r="B766" s="3267" t="s">
        <v>8352</v>
      </c>
      <c r="C766" s="3269" t="s">
        <v>8353</v>
      </c>
      <c r="D766" s="3267">
        <v>13911131884</v>
      </c>
      <c r="E766" s="3267" t="s">
        <v>2985</v>
      </c>
      <c r="F766" s="3267" t="s">
        <v>3385</v>
      </c>
      <c r="G766" s="3267"/>
      <c r="H766" s="3267" t="s">
        <v>3097</v>
      </c>
      <c r="I766" s="3267"/>
      <c r="J766" s="3267" t="s">
        <v>8354</v>
      </c>
      <c r="K766" s="3268" t="s">
        <v>2968</v>
      </c>
      <c r="L766" s="3267">
        <v>141.06</v>
      </c>
      <c r="M766" s="3267">
        <v>2</v>
      </c>
      <c r="N766" s="3267" t="s">
        <v>3116</v>
      </c>
      <c r="O766" s="3267">
        <v>112.62</v>
      </c>
      <c r="P766" s="3267" t="s">
        <v>2963</v>
      </c>
      <c r="Q766" s="3267">
        <v>860466</v>
      </c>
      <c r="R766" s="3267">
        <v>6100</v>
      </c>
      <c r="S766" s="3272">
        <v>89.1</v>
      </c>
      <c r="T766" s="3273">
        <v>891000</v>
      </c>
      <c r="U766" s="3267">
        <v>6317</v>
      </c>
      <c r="V766" s="3289">
        <v>0.3</v>
      </c>
      <c r="W766" s="3272">
        <v>62.37</v>
      </c>
      <c r="X766" s="3275">
        <v>623700</v>
      </c>
      <c r="Y766" s="3267">
        <v>2006</v>
      </c>
      <c r="Z766" s="3276">
        <v>9</v>
      </c>
      <c r="AA766" s="3267">
        <v>18</v>
      </c>
      <c r="AB766" s="3267">
        <v>1500</v>
      </c>
      <c r="AC766" s="3267" t="s">
        <v>2980</v>
      </c>
      <c r="AD766" s="3269" t="s">
        <v>8355</v>
      </c>
      <c r="AE766" s="3267" t="s">
        <v>2979</v>
      </c>
      <c r="AF766" s="3267" t="s">
        <v>2966</v>
      </c>
      <c r="AG766" s="3267" t="s">
        <v>2967</v>
      </c>
      <c r="AH766" s="3267"/>
      <c r="AI766" s="3267" t="s">
        <v>2992</v>
      </c>
      <c r="AJ766" s="3284"/>
      <c r="AK766" s="3278">
        <v>9</v>
      </c>
      <c r="AL766" s="3276">
        <v>54</v>
      </c>
      <c r="AM766" s="3267"/>
      <c r="AN766" s="3276" t="s">
        <v>3114</v>
      </c>
      <c r="AO766" s="3267" t="s">
        <v>2968</v>
      </c>
      <c r="AP766" s="3267" t="s">
        <v>2979</v>
      </c>
      <c r="AQ766" s="3267" t="s">
        <v>3228</v>
      </c>
      <c r="AR766" s="3267">
        <v>2006</v>
      </c>
      <c r="AS766" s="3267">
        <v>9</v>
      </c>
      <c r="AT766" s="3267">
        <v>18</v>
      </c>
      <c r="AU766" s="3267"/>
      <c r="AV766" s="3267"/>
      <c r="AW766" s="3276" t="s">
        <v>3171</v>
      </c>
      <c r="AX766" s="3267"/>
      <c r="AY766" s="3269"/>
      <c r="AZ766" s="3267" t="s">
        <v>8356</v>
      </c>
      <c r="BA766" s="3267"/>
      <c r="BB766" s="3267"/>
      <c r="BC766" s="3267"/>
      <c r="BD766" s="3267"/>
      <c r="BE766" s="3267"/>
      <c r="BF766" s="3267"/>
      <c r="BG766" s="3307">
        <v>38925</v>
      </c>
      <c r="BH766" s="3267"/>
      <c r="BI766" s="3267" t="s">
        <v>2979</v>
      </c>
      <c r="BJ766" s="3284">
        <v>38966</v>
      </c>
      <c r="BK766" s="3283"/>
      <c r="BL766" s="3267" t="s">
        <v>2998</v>
      </c>
      <c r="BM766" s="3267" t="s">
        <v>2879</v>
      </c>
      <c r="BN766" s="3267" t="s">
        <v>2999</v>
      </c>
      <c r="BO766" s="3267" t="s">
        <v>3000</v>
      </c>
      <c r="BP766" s="3267"/>
      <c r="BQ766" s="3276" t="e">
        <v>#VALUE!</v>
      </c>
      <c r="BR766" s="3276" t="e">
        <v>#VALUE!</v>
      </c>
      <c r="BS766" s="3285"/>
      <c r="BT766" s="3285"/>
      <c r="BU766" s="3285"/>
    </row>
    <row r="767" spans="1:16384" hidden="1">
      <c r="A767" s="3267" t="s">
        <v>8357</v>
      </c>
      <c r="B767" s="3267" t="s">
        <v>8122</v>
      </c>
      <c r="C767" s="3269" t="s">
        <v>8358</v>
      </c>
      <c r="D767" s="3269" t="s">
        <v>8359</v>
      </c>
      <c r="E767" s="3268" t="s">
        <v>2985</v>
      </c>
      <c r="F767" s="3268" t="s">
        <v>3279</v>
      </c>
      <c r="G767" s="3267"/>
      <c r="H767" s="3267" t="s">
        <v>6364</v>
      </c>
      <c r="I767" s="3268" t="s">
        <v>3608</v>
      </c>
      <c r="J767" s="3267" t="s">
        <v>3437</v>
      </c>
      <c r="K767" s="3267" t="s">
        <v>8360</v>
      </c>
      <c r="L767" s="3267">
        <v>86.23</v>
      </c>
      <c r="M767" s="3267">
        <v>4</v>
      </c>
      <c r="N767" s="3267" t="s">
        <v>3125</v>
      </c>
      <c r="O767" s="3267"/>
      <c r="P767" s="3267" t="s">
        <v>2963</v>
      </c>
      <c r="Q767" s="3271">
        <v>650000</v>
      </c>
      <c r="R767" s="3288">
        <v>7538</v>
      </c>
      <c r="S767" s="3272">
        <v>53.66</v>
      </c>
      <c r="T767" s="3273">
        <v>536600</v>
      </c>
      <c r="U767" s="3267">
        <v>6223</v>
      </c>
      <c r="V767" s="3289">
        <v>0.2</v>
      </c>
      <c r="W767" s="3272">
        <v>42.92</v>
      </c>
      <c r="X767" s="3273">
        <v>429200</v>
      </c>
      <c r="Y767" s="3267">
        <v>2006</v>
      </c>
      <c r="Z767" s="3276">
        <v>9</v>
      </c>
      <c r="AA767" s="3276">
        <v>28</v>
      </c>
      <c r="AB767" s="3267">
        <v>1500</v>
      </c>
      <c r="AC767" s="3267" t="s">
        <v>2980</v>
      </c>
      <c r="AD767" s="3280" t="s">
        <v>8361</v>
      </c>
      <c r="AE767" s="3279" t="s">
        <v>3245</v>
      </c>
      <c r="AF767" s="3268" t="s">
        <v>2966</v>
      </c>
      <c r="AG767" s="3279" t="s">
        <v>2967</v>
      </c>
      <c r="AH767" s="3267"/>
      <c r="AI767" s="3279" t="s">
        <v>2992</v>
      </c>
      <c r="AJ767" s="3284"/>
      <c r="AK767" s="3278">
        <v>9</v>
      </c>
      <c r="AL767" s="3276">
        <v>40</v>
      </c>
      <c r="AM767" s="3267"/>
      <c r="AN767" s="3279" t="s">
        <v>3099</v>
      </c>
      <c r="AO767" s="3267" t="s">
        <v>2968</v>
      </c>
      <c r="AP767" s="3279" t="s">
        <v>3305</v>
      </c>
      <c r="AQ767" s="3267" t="s">
        <v>3228</v>
      </c>
      <c r="AR767" s="3276"/>
      <c r="AS767" s="3276"/>
      <c r="AT767" s="3276"/>
      <c r="AU767" s="3276"/>
      <c r="AV767" s="3276"/>
      <c r="AW767" s="3276" t="s">
        <v>3112</v>
      </c>
      <c r="AX767" s="3276"/>
      <c r="AY767" s="3291"/>
      <c r="AZ767" s="3267" t="s">
        <v>8360</v>
      </c>
      <c r="BA767" s="3296"/>
      <c r="BB767" s="3297"/>
      <c r="BC767" s="3296"/>
      <c r="BD767" s="3298"/>
      <c r="BE767" s="3276" t="s">
        <v>8362</v>
      </c>
      <c r="BF767" s="3281"/>
      <c r="BG767" s="3293">
        <v>38935</v>
      </c>
      <c r="BH767" s="3354" t="s">
        <v>2998</v>
      </c>
      <c r="BI767" s="3314" t="s">
        <v>3305</v>
      </c>
      <c r="BJ767" s="3283">
        <v>38966</v>
      </c>
      <c r="BK767" s="3283"/>
      <c r="BL767" s="3267" t="s">
        <v>3249</v>
      </c>
      <c r="BM767" s="3276" t="s">
        <v>2879</v>
      </c>
      <c r="BN767" s="3276" t="s">
        <v>2999</v>
      </c>
      <c r="BO767" s="3276" t="s">
        <v>3000</v>
      </c>
      <c r="BP767" s="3276"/>
      <c r="BQ767" s="3276" t="e">
        <v>#DIV/0!</v>
      </c>
      <c r="BR767" s="3276" t="e">
        <v>#DIV/0!</v>
      </c>
      <c r="BS767" s="3285"/>
      <c r="BT767" s="3285"/>
      <c r="BU767" s="3285"/>
    </row>
    <row r="768" spans="1:16384" hidden="1">
      <c r="A768" s="3267" t="s">
        <v>8363</v>
      </c>
      <c r="B768" s="3267" t="s">
        <v>8364</v>
      </c>
      <c r="C768" s="3269" t="s">
        <v>8365</v>
      </c>
      <c r="D768" s="3268">
        <v>13501133315</v>
      </c>
      <c r="E768" s="3267" t="s">
        <v>2985</v>
      </c>
      <c r="F768" s="3267" t="s">
        <v>8366</v>
      </c>
      <c r="G768" s="3267"/>
      <c r="H768" s="3270" t="s">
        <v>4645</v>
      </c>
      <c r="I768" s="3268"/>
      <c r="J768" s="3270" t="s">
        <v>8367</v>
      </c>
      <c r="K768" s="3267" t="s">
        <v>8368</v>
      </c>
      <c r="L768" s="3286">
        <v>52.56</v>
      </c>
      <c r="M768" s="3270">
        <v>5</v>
      </c>
      <c r="N768" s="3267" t="s">
        <v>3122</v>
      </c>
      <c r="O768" s="3267"/>
      <c r="P768" s="3267" t="s">
        <v>2963</v>
      </c>
      <c r="Q768" s="3287">
        <v>510000</v>
      </c>
      <c r="R768" s="3271">
        <v>9703</v>
      </c>
      <c r="S768" s="3272">
        <v>38.68</v>
      </c>
      <c r="T768" s="3273">
        <v>386800</v>
      </c>
      <c r="U768" s="3287">
        <v>7361</v>
      </c>
      <c r="V768" s="3289">
        <v>0.2</v>
      </c>
      <c r="W768" s="3272">
        <v>30.94</v>
      </c>
      <c r="X768" s="3273">
        <v>309400</v>
      </c>
      <c r="Y768" s="3276">
        <v>2006</v>
      </c>
      <c r="Z768" s="3276">
        <v>11</v>
      </c>
      <c r="AA768" s="3267">
        <v>14</v>
      </c>
      <c r="AB768" s="3267">
        <v>1160</v>
      </c>
      <c r="AC768" s="3267" t="s">
        <v>2980</v>
      </c>
      <c r="AD768" s="3269" t="s">
        <v>8369</v>
      </c>
      <c r="AE768" s="3267" t="s">
        <v>3069</v>
      </c>
      <c r="AF768" s="3267" t="s">
        <v>2966</v>
      </c>
      <c r="AG768" s="3268" t="s">
        <v>2967</v>
      </c>
      <c r="AH768" s="3267"/>
      <c r="AI768" s="3267" t="s">
        <v>2992</v>
      </c>
      <c r="AJ768" s="3270"/>
      <c r="AK768" s="3278" t="s">
        <v>3137</v>
      </c>
      <c r="AL768" s="3267" t="s">
        <v>5351</v>
      </c>
      <c r="AM768" s="3267"/>
      <c r="AN768" s="3302" t="s">
        <v>3114</v>
      </c>
      <c r="AO768" s="3267"/>
      <c r="AP768" s="3267" t="s">
        <v>3069</v>
      </c>
      <c r="AQ768" s="3267" t="s">
        <v>3228</v>
      </c>
      <c r="AR768" s="3267">
        <v>2006</v>
      </c>
      <c r="AS768" s="3267">
        <v>11</v>
      </c>
      <c r="AT768" s="3267">
        <v>14</v>
      </c>
      <c r="AU768" s="3267"/>
      <c r="AV768" s="3267"/>
      <c r="AW768" s="3276" t="s">
        <v>3112</v>
      </c>
      <c r="AX768" s="3267"/>
      <c r="AY768" s="3279"/>
      <c r="AZ768" s="3267" t="s">
        <v>8368</v>
      </c>
      <c r="BA768" s="3267"/>
      <c r="BB768" s="3267"/>
      <c r="BC768" s="3267"/>
      <c r="BD768" s="3267"/>
      <c r="BE768" s="3267"/>
      <c r="BF768" s="3267"/>
      <c r="BG768" s="3290">
        <v>38952</v>
      </c>
      <c r="BH768" s="3267"/>
      <c r="BI768" s="3279" t="s">
        <v>3069</v>
      </c>
      <c r="BJ768" s="3284">
        <v>38967</v>
      </c>
      <c r="BK768" s="3284"/>
      <c r="BL768" s="3267" t="s">
        <v>2998</v>
      </c>
      <c r="BM768" s="3267" t="s">
        <v>3345</v>
      </c>
      <c r="BN768" s="3267" t="s">
        <v>3111</v>
      </c>
      <c r="BO768" s="3267" t="s">
        <v>3446</v>
      </c>
      <c r="BP768" s="3267"/>
      <c r="BQ768" s="3267"/>
      <c r="BR768" s="3267"/>
      <c r="BS768" s="3285"/>
      <c r="BT768" s="3285"/>
      <c r="BU768" s="3285"/>
    </row>
    <row r="769" spans="1:249" hidden="1">
      <c r="A769" s="3267" t="s">
        <v>8370</v>
      </c>
      <c r="B769" s="3267" t="s">
        <v>8371</v>
      </c>
      <c r="C769" s="3269" t="s">
        <v>8372</v>
      </c>
      <c r="D769" s="3269" t="s">
        <v>8373</v>
      </c>
      <c r="E769" s="3268" t="s">
        <v>2985</v>
      </c>
      <c r="F769" s="3268" t="s">
        <v>8374</v>
      </c>
      <c r="G769" s="3267"/>
      <c r="H769" s="3268" t="s">
        <v>3124</v>
      </c>
      <c r="I769" s="3268" t="s">
        <v>3188</v>
      </c>
      <c r="J769" s="3267" t="s">
        <v>8375</v>
      </c>
      <c r="K769" s="3267" t="s">
        <v>8376</v>
      </c>
      <c r="L769" s="3267">
        <v>52.64</v>
      </c>
      <c r="M769" s="3267">
        <v>5</v>
      </c>
      <c r="N769" s="3267" t="s">
        <v>3122</v>
      </c>
      <c r="O769" s="3267"/>
      <c r="P769" s="3267" t="s">
        <v>2963</v>
      </c>
      <c r="Q769" s="3271">
        <v>453000</v>
      </c>
      <c r="R769" s="3267">
        <v>8606</v>
      </c>
      <c r="S769" s="3272">
        <v>39.479999999999997</v>
      </c>
      <c r="T769" s="3273">
        <v>394800</v>
      </c>
      <c r="U769" s="3267">
        <v>7501</v>
      </c>
      <c r="V769" s="3289">
        <v>0.2</v>
      </c>
      <c r="W769" s="3272">
        <v>31.58</v>
      </c>
      <c r="X769" s="3275">
        <v>315800</v>
      </c>
      <c r="Y769" s="3276">
        <v>2006</v>
      </c>
      <c r="Z769" s="3276">
        <v>9</v>
      </c>
      <c r="AA769" s="3276">
        <v>15</v>
      </c>
      <c r="AB769" s="3267">
        <v>1180</v>
      </c>
      <c r="AC769" s="3267" t="s">
        <v>2980</v>
      </c>
      <c r="AD769" s="3269" t="s">
        <v>8377</v>
      </c>
      <c r="AE769" s="3279" t="s">
        <v>3344</v>
      </c>
      <c r="AF769" s="3268" t="s">
        <v>2966</v>
      </c>
      <c r="AG769" s="3279" t="s">
        <v>2967</v>
      </c>
      <c r="AH769" s="3267" t="s">
        <v>2968</v>
      </c>
      <c r="AI769" s="3279" t="s">
        <v>2992</v>
      </c>
      <c r="AJ769" s="3284"/>
      <c r="AK769" s="3278">
        <v>9</v>
      </c>
      <c r="AL769" s="3276">
        <v>34</v>
      </c>
      <c r="AM769" s="3276"/>
      <c r="AN769" s="3279" t="s">
        <v>3114</v>
      </c>
      <c r="AO769" s="3267"/>
      <c r="AP769" s="3267" t="s">
        <v>3537</v>
      </c>
      <c r="AQ769" s="3267" t="s">
        <v>3228</v>
      </c>
      <c r="AR769" s="3276"/>
      <c r="AS769" s="3276"/>
      <c r="AT769" s="3276"/>
      <c r="AU769" s="3276"/>
      <c r="AV769" s="3276"/>
      <c r="AW769" s="3276" t="s">
        <v>2997</v>
      </c>
      <c r="AX769" s="3276"/>
      <c r="AY769" s="3291"/>
      <c r="AZ769" s="3267" t="s">
        <v>8376</v>
      </c>
      <c r="BA769" s="3296"/>
      <c r="BB769" s="3297"/>
      <c r="BC769" s="3296"/>
      <c r="BD769" s="3298"/>
      <c r="BE769" s="3276"/>
      <c r="BF769" s="3281"/>
      <c r="BG769" s="3293">
        <v>38961</v>
      </c>
      <c r="BH769" s="3267" t="s">
        <v>2998</v>
      </c>
      <c r="BI769" s="3267" t="s">
        <v>3537</v>
      </c>
      <c r="BJ769" s="3283">
        <v>38967</v>
      </c>
      <c r="BK769" s="3283"/>
      <c r="BL769" s="3267" t="s">
        <v>3249</v>
      </c>
      <c r="BM769" s="3276" t="s">
        <v>2879</v>
      </c>
      <c r="BN769" s="3276" t="s">
        <v>2999</v>
      </c>
      <c r="BO769" s="3276" t="s">
        <v>3000</v>
      </c>
      <c r="BP769" s="3276"/>
      <c r="BQ769" s="3276" t="e">
        <v>#DIV/0!</v>
      </c>
      <c r="BR769" s="3276" t="e">
        <v>#DIV/0!</v>
      </c>
      <c r="BS769" s="3285"/>
      <c r="BT769" s="3285"/>
      <c r="BU769" s="3285"/>
    </row>
    <row r="770" spans="1:249" hidden="1">
      <c r="A770" s="3267" t="s">
        <v>8378</v>
      </c>
      <c r="B770" s="3267" t="s">
        <v>8379</v>
      </c>
      <c r="C770" s="3269" t="s">
        <v>8380</v>
      </c>
      <c r="D770" s="3269" t="s">
        <v>8381</v>
      </c>
      <c r="E770" s="3268" t="s">
        <v>2985</v>
      </c>
      <c r="F770" s="3268" t="s">
        <v>8382</v>
      </c>
      <c r="G770" s="3267"/>
      <c r="H770" s="3268" t="s">
        <v>3244</v>
      </c>
      <c r="I770" s="3268"/>
      <c r="J770" s="3267" t="s">
        <v>8383</v>
      </c>
      <c r="K770" s="3267" t="s">
        <v>8384</v>
      </c>
      <c r="L770" s="3267">
        <v>44.16</v>
      </c>
      <c r="M770" s="3267">
        <v>4</v>
      </c>
      <c r="N770" s="3267" t="s">
        <v>3152</v>
      </c>
      <c r="O770" s="3267"/>
      <c r="P770" s="3267" t="s">
        <v>2963</v>
      </c>
      <c r="Q770" s="3271">
        <v>410000</v>
      </c>
      <c r="R770" s="3267">
        <v>9284</v>
      </c>
      <c r="S770" s="3272">
        <v>34.15</v>
      </c>
      <c r="T770" s="3273">
        <v>341500</v>
      </c>
      <c r="U770" s="3267">
        <v>7735</v>
      </c>
      <c r="V770" s="3289">
        <v>0.2</v>
      </c>
      <c r="W770" s="3272">
        <v>27.32</v>
      </c>
      <c r="X770" s="3275">
        <v>273200</v>
      </c>
      <c r="Y770" s="3276">
        <v>2006</v>
      </c>
      <c r="Z770" s="3276">
        <v>9</v>
      </c>
      <c r="AA770" s="3276">
        <v>21</v>
      </c>
      <c r="AB770" s="3267">
        <v>1020</v>
      </c>
      <c r="AC770" s="3267" t="s">
        <v>2980</v>
      </c>
      <c r="AD770" s="3269" t="s">
        <v>8385</v>
      </c>
      <c r="AE770" s="3279" t="s">
        <v>3344</v>
      </c>
      <c r="AF770" s="3268" t="s">
        <v>2966</v>
      </c>
      <c r="AG770" s="3279" t="s">
        <v>2967</v>
      </c>
      <c r="AH770" s="3267" t="s">
        <v>2968</v>
      </c>
      <c r="AI770" s="3279" t="s">
        <v>2992</v>
      </c>
      <c r="AJ770" s="3284"/>
      <c r="AK770" s="3278">
        <v>9</v>
      </c>
      <c r="AL770" s="3276">
        <v>39</v>
      </c>
      <c r="AM770" s="3276"/>
      <c r="AN770" s="3279" t="s">
        <v>2994</v>
      </c>
      <c r="AO770" s="3267"/>
      <c r="AP770" s="3279" t="s">
        <v>3305</v>
      </c>
      <c r="AQ770" s="3267" t="s">
        <v>3228</v>
      </c>
      <c r="AR770" s="3276"/>
      <c r="AS770" s="3276"/>
      <c r="AT770" s="3276"/>
      <c r="AU770" s="3276"/>
      <c r="AV770" s="3276"/>
      <c r="AW770" s="3276" t="s">
        <v>2997</v>
      </c>
      <c r="AX770" s="3276"/>
      <c r="AY770" s="3291"/>
      <c r="AZ770" s="3267" t="s">
        <v>8384</v>
      </c>
      <c r="BA770" s="3296"/>
      <c r="BB770" s="3297"/>
      <c r="BC770" s="3296"/>
      <c r="BD770" s="3298"/>
      <c r="BE770" s="3276">
        <v>13341060019</v>
      </c>
      <c r="BF770" s="3281"/>
      <c r="BG770" s="3293">
        <v>38967</v>
      </c>
      <c r="BH770" s="3267" t="s">
        <v>2998</v>
      </c>
      <c r="BI770" s="3314" t="s">
        <v>3305</v>
      </c>
      <c r="BJ770" s="3283">
        <v>38967</v>
      </c>
      <c r="BK770" s="3283"/>
      <c r="BL770" s="3267" t="s">
        <v>3249</v>
      </c>
      <c r="BM770" s="3276" t="s">
        <v>2879</v>
      </c>
      <c r="BN770" s="3276" t="s">
        <v>2999</v>
      </c>
      <c r="BO770" s="3276" t="s">
        <v>3000</v>
      </c>
      <c r="BP770" s="3276"/>
      <c r="BQ770" s="3276" t="e">
        <v>#DIV/0!</v>
      </c>
      <c r="BR770" s="3276" t="e">
        <v>#DIV/0!</v>
      </c>
      <c r="BS770" s="3285"/>
      <c r="BT770" s="3285"/>
      <c r="BU770" s="3285"/>
    </row>
    <row r="771" spans="1:249" hidden="1">
      <c r="A771" s="3267" t="s">
        <v>8386</v>
      </c>
      <c r="B771" s="3267" t="s">
        <v>7310</v>
      </c>
      <c r="C771" s="3269" t="s">
        <v>8387</v>
      </c>
      <c r="D771" s="3268">
        <v>13366126827</v>
      </c>
      <c r="E771" s="3267" t="s">
        <v>2985</v>
      </c>
      <c r="F771" s="3267" t="s">
        <v>8388</v>
      </c>
      <c r="G771" s="3267"/>
      <c r="H771" s="3270" t="s">
        <v>3127</v>
      </c>
      <c r="I771" s="3268"/>
      <c r="J771" s="3270" t="s">
        <v>8389</v>
      </c>
      <c r="K771" s="3267" t="s">
        <v>8390</v>
      </c>
      <c r="L771" s="3286">
        <v>58.21</v>
      </c>
      <c r="M771" s="3270">
        <v>22</v>
      </c>
      <c r="N771" s="3267" t="s">
        <v>3152</v>
      </c>
      <c r="O771" s="3267"/>
      <c r="P771" s="3267" t="s">
        <v>2963</v>
      </c>
      <c r="Q771" s="3287">
        <v>256835</v>
      </c>
      <c r="R771" s="3271">
        <v>4412</v>
      </c>
      <c r="S771" s="3272">
        <v>25.68</v>
      </c>
      <c r="T771" s="3273">
        <v>256800</v>
      </c>
      <c r="U771" s="3287">
        <v>4412</v>
      </c>
      <c r="V771" s="3289">
        <v>0.2</v>
      </c>
      <c r="W771" s="3272">
        <v>20.54</v>
      </c>
      <c r="X771" s="3273">
        <v>205400</v>
      </c>
      <c r="Y771" s="3276">
        <v>2006</v>
      </c>
      <c r="Z771" s="3276">
        <v>9</v>
      </c>
      <c r="AA771" s="3267">
        <v>26</v>
      </c>
      <c r="AB771" s="3267">
        <v>770</v>
      </c>
      <c r="AC771" s="3267" t="s">
        <v>2980</v>
      </c>
      <c r="AD771" s="3269" t="s">
        <v>8391</v>
      </c>
      <c r="AE771" s="3267" t="s">
        <v>3069</v>
      </c>
      <c r="AF771" s="3267" t="s">
        <v>2966</v>
      </c>
      <c r="AG771" s="3267" t="s">
        <v>3473</v>
      </c>
      <c r="AH771" s="3267"/>
      <c r="AI771" s="3267" t="s">
        <v>2992</v>
      </c>
      <c r="AJ771" s="3270"/>
      <c r="AK771" s="3278" t="s">
        <v>3154</v>
      </c>
      <c r="AL771" s="3267" t="s">
        <v>8392</v>
      </c>
      <c r="AM771" s="3267"/>
      <c r="AN771" s="3302" t="s">
        <v>3099</v>
      </c>
      <c r="AO771" s="3267"/>
      <c r="AP771" s="3267" t="s">
        <v>3069</v>
      </c>
      <c r="AQ771" s="3267" t="s">
        <v>3228</v>
      </c>
      <c r="AR771" s="3267">
        <v>2006</v>
      </c>
      <c r="AS771" s="3267">
        <v>9</v>
      </c>
      <c r="AT771" s="3267">
        <v>26</v>
      </c>
      <c r="AU771" s="3267"/>
      <c r="AV771" s="3267"/>
      <c r="AW771" s="3276" t="s">
        <v>3112</v>
      </c>
      <c r="AX771" s="3267"/>
      <c r="AY771" s="3279"/>
      <c r="AZ771" s="3267" t="s">
        <v>8390</v>
      </c>
      <c r="BA771" s="3267"/>
      <c r="BB771" s="3267"/>
      <c r="BC771" s="3267"/>
      <c r="BD771" s="3267"/>
      <c r="BE771" s="3267"/>
      <c r="BF771" s="3267"/>
      <c r="BG771" s="3290">
        <v>38925</v>
      </c>
      <c r="BH771" s="3267"/>
      <c r="BI771" s="3279" t="s">
        <v>3069</v>
      </c>
      <c r="BJ771" s="3284">
        <v>38968</v>
      </c>
      <c r="BK771" s="3284"/>
      <c r="BL771" s="3267" t="s">
        <v>2998</v>
      </c>
      <c r="BM771" s="3267" t="s">
        <v>3345</v>
      </c>
      <c r="BN771" s="3276" t="s">
        <v>2999</v>
      </c>
      <c r="BO771" s="3267" t="s">
        <v>3446</v>
      </c>
      <c r="BP771" s="3267"/>
      <c r="BQ771" s="3267"/>
      <c r="BR771" s="3267"/>
      <c r="BS771" s="3285"/>
      <c r="BT771" s="3285"/>
      <c r="BU771" s="3285"/>
    </row>
    <row r="772" spans="1:249" hidden="1">
      <c r="A772" s="3267" t="s">
        <v>8393</v>
      </c>
      <c r="B772" s="3267" t="s">
        <v>8394</v>
      </c>
      <c r="C772" s="3269" t="s">
        <v>8395</v>
      </c>
      <c r="D772" s="3269" t="s">
        <v>8396</v>
      </c>
      <c r="E772" s="3268" t="s">
        <v>2985</v>
      </c>
      <c r="F772" s="3268" t="s">
        <v>8397</v>
      </c>
      <c r="G772" s="3267"/>
      <c r="H772" s="3267" t="s">
        <v>3127</v>
      </c>
      <c r="I772" s="3268" t="s">
        <v>3264</v>
      </c>
      <c r="J772" s="3267" t="s">
        <v>3151</v>
      </c>
      <c r="K772" s="3267" t="s">
        <v>8398</v>
      </c>
      <c r="L772" s="3267">
        <v>41.17</v>
      </c>
      <c r="M772" s="3267">
        <v>5</v>
      </c>
      <c r="N772" s="3267" t="s">
        <v>3152</v>
      </c>
      <c r="O772" s="3267"/>
      <c r="P772" s="3267" t="s">
        <v>2963</v>
      </c>
      <c r="Q772" s="3271">
        <v>390000</v>
      </c>
      <c r="R772" s="3267">
        <v>9473</v>
      </c>
      <c r="S772" s="3272">
        <v>30.08</v>
      </c>
      <c r="T772" s="3273">
        <v>300800</v>
      </c>
      <c r="U772" s="3267">
        <v>7308</v>
      </c>
      <c r="V772" s="3289">
        <v>0.2</v>
      </c>
      <c r="W772" s="3272">
        <v>24.06</v>
      </c>
      <c r="X772" s="3275">
        <v>240600</v>
      </c>
      <c r="Y772" s="3276">
        <v>2006</v>
      </c>
      <c r="Z772" s="3276">
        <v>10</v>
      </c>
      <c r="AA772" s="3276">
        <v>8</v>
      </c>
      <c r="AB772" s="3267">
        <v>900</v>
      </c>
      <c r="AC772" s="3267" t="s">
        <v>2980</v>
      </c>
      <c r="AD772" s="3280" t="s">
        <v>8399</v>
      </c>
      <c r="AE772" s="3279" t="s">
        <v>3344</v>
      </c>
      <c r="AF772" s="3268" t="s">
        <v>2966</v>
      </c>
      <c r="AG772" s="3279" t="s">
        <v>2967</v>
      </c>
      <c r="AH772" s="3267" t="s">
        <v>2968</v>
      </c>
      <c r="AI772" s="3279" t="s">
        <v>2992</v>
      </c>
      <c r="AJ772" s="3284"/>
      <c r="AK772" s="3278" t="s">
        <v>3148</v>
      </c>
      <c r="AL772" s="3276">
        <v>31</v>
      </c>
      <c r="AM772" s="3267"/>
      <c r="AN772" s="3279" t="s">
        <v>3131</v>
      </c>
      <c r="AO772" s="3267"/>
      <c r="AP772" s="3279" t="s">
        <v>3305</v>
      </c>
      <c r="AQ772" s="3267" t="s">
        <v>3228</v>
      </c>
      <c r="AR772" s="3276"/>
      <c r="AS772" s="3276"/>
      <c r="AT772" s="3276"/>
      <c r="AU772" s="3276"/>
      <c r="AV772" s="3276"/>
      <c r="AW772" s="3276" t="s">
        <v>2997</v>
      </c>
      <c r="AX772" s="3276"/>
      <c r="AY772" s="3291"/>
      <c r="AZ772" s="3267" t="s">
        <v>8398</v>
      </c>
      <c r="BA772" s="3296"/>
      <c r="BB772" s="3297"/>
      <c r="BC772" s="3296"/>
      <c r="BD772" s="3298"/>
      <c r="BE772" s="3276">
        <v>85407518</v>
      </c>
      <c r="BF772" s="3281"/>
      <c r="BG772" s="3293">
        <v>38953</v>
      </c>
      <c r="BH772" s="3267" t="s">
        <v>2998</v>
      </c>
      <c r="BI772" s="3314" t="s">
        <v>3305</v>
      </c>
      <c r="BJ772" s="3283">
        <v>38971</v>
      </c>
      <c r="BK772" s="3283"/>
      <c r="BL772" s="3267" t="s">
        <v>3249</v>
      </c>
      <c r="BM772" s="3276" t="s">
        <v>2879</v>
      </c>
      <c r="BN772" s="3276" t="s">
        <v>2999</v>
      </c>
      <c r="BO772" s="3276" t="s">
        <v>3000</v>
      </c>
      <c r="BP772" s="3276"/>
      <c r="BQ772" s="3276" t="e">
        <v>#DIV/0!</v>
      </c>
      <c r="BR772" s="3276" t="e">
        <v>#DIV/0!</v>
      </c>
      <c r="BS772" s="3285"/>
      <c r="BT772" s="3285"/>
      <c r="BU772" s="3285"/>
    </row>
    <row r="773" spans="1:249" hidden="1">
      <c r="A773" s="3267" t="s">
        <v>8400</v>
      </c>
      <c r="B773" s="3267" t="s">
        <v>8401</v>
      </c>
      <c r="C773" s="3269" t="s">
        <v>8402</v>
      </c>
      <c r="D773" s="3269" t="s">
        <v>8403</v>
      </c>
      <c r="E773" s="3267" t="s">
        <v>2985</v>
      </c>
      <c r="F773" s="3267" t="s">
        <v>3324</v>
      </c>
      <c r="G773" s="3267"/>
      <c r="H773" s="3267" t="s">
        <v>5624</v>
      </c>
      <c r="I773" s="3267"/>
      <c r="J773" s="3269" t="s">
        <v>8140</v>
      </c>
      <c r="K773" s="3267" t="s">
        <v>8404</v>
      </c>
      <c r="L773" s="3286">
        <v>89.48</v>
      </c>
      <c r="M773" s="3269">
        <v>9</v>
      </c>
      <c r="N773" s="3268" t="s">
        <v>3122</v>
      </c>
      <c r="O773" s="3267"/>
      <c r="P773" s="3267" t="s">
        <v>2963</v>
      </c>
      <c r="Q773" s="3287">
        <v>670000</v>
      </c>
      <c r="R773" s="3267">
        <v>7488</v>
      </c>
      <c r="S773" s="3272">
        <v>56.96</v>
      </c>
      <c r="T773" s="3273">
        <v>569600</v>
      </c>
      <c r="U773" s="3267">
        <v>6366</v>
      </c>
      <c r="V773" s="3289">
        <v>0.2</v>
      </c>
      <c r="W773" s="3272">
        <v>45.56</v>
      </c>
      <c r="X773" s="3275">
        <v>455600</v>
      </c>
      <c r="Y773" s="3276">
        <v>2006</v>
      </c>
      <c r="Z773" s="3276">
        <v>9</v>
      </c>
      <c r="AA773" s="3276">
        <v>18</v>
      </c>
      <c r="AB773" s="3267">
        <v>1500</v>
      </c>
      <c r="AC773" s="3267" t="s">
        <v>2980</v>
      </c>
      <c r="AD773" s="3269" t="s">
        <v>8405</v>
      </c>
      <c r="AE773" s="3267" t="s">
        <v>3344</v>
      </c>
      <c r="AF773" s="3267" t="s">
        <v>2966</v>
      </c>
      <c r="AG773" s="3279" t="s">
        <v>2967</v>
      </c>
      <c r="AH773" s="3267" t="s">
        <v>2968</v>
      </c>
      <c r="AI773" s="3279" t="s">
        <v>2992</v>
      </c>
      <c r="AJ773" s="3284"/>
      <c r="AK773" s="3278">
        <v>9</v>
      </c>
      <c r="AL773" s="3276">
        <v>51</v>
      </c>
      <c r="AM773" s="3267"/>
      <c r="AN773" s="3279" t="s">
        <v>2994</v>
      </c>
      <c r="AO773" s="3276"/>
      <c r="AP773" s="3279" t="s">
        <v>3305</v>
      </c>
      <c r="AQ773" s="3276" t="s">
        <v>2996</v>
      </c>
      <c r="AR773" s="3276"/>
      <c r="AS773" s="3276"/>
      <c r="AT773" s="3276"/>
      <c r="AU773" s="3276"/>
      <c r="AV773" s="3276"/>
      <c r="AW773" s="3267" t="s">
        <v>2997</v>
      </c>
      <c r="AX773" s="3276"/>
      <c r="AY773" s="3291"/>
      <c r="AZ773" s="3267" t="s">
        <v>8404</v>
      </c>
      <c r="BA773" s="3276"/>
      <c r="BB773" s="3291"/>
      <c r="BC773" s="3276"/>
      <c r="BD773" s="3292"/>
      <c r="BE773" s="3276">
        <v>13911864235</v>
      </c>
      <c r="BF773" s="3281"/>
      <c r="BG773" s="3299">
        <v>38949</v>
      </c>
      <c r="BH773" s="3267" t="s">
        <v>2998</v>
      </c>
      <c r="BI773" s="3314" t="s">
        <v>3305</v>
      </c>
      <c r="BJ773" s="3293">
        <v>38971</v>
      </c>
      <c r="BK773" s="3283"/>
      <c r="BL773" s="3267" t="s">
        <v>3249</v>
      </c>
      <c r="BM773" s="3267" t="s">
        <v>2879</v>
      </c>
      <c r="BN773" s="3267" t="s">
        <v>2999</v>
      </c>
      <c r="BO773" s="3276" t="s">
        <v>3000</v>
      </c>
      <c r="BP773" s="3276"/>
      <c r="BQ773" s="3276" t="e">
        <v>#DIV/0!</v>
      </c>
      <c r="BR773" s="3276" t="e">
        <v>#DIV/0!</v>
      </c>
      <c r="BS773" s="3285"/>
      <c r="BT773" s="3285"/>
      <c r="BU773" s="3285"/>
    </row>
    <row r="774" spans="1:249" hidden="1">
      <c r="A774" s="3267" t="s">
        <v>8406</v>
      </c>
      <c r="B774" s="3267" t="s">
        <v>8407</v>
      </c>
      <c r="C774" s="3269" t="s">
        <v>8408</v>
      </c>
      <c r="D774" s="3269" t="s">
        <v>8409</v>
      </c>
      <c r="E774" s="3268" t="s">
        <v>2985</v>
      </c>
      <c r="F774" s="3268" t="s">
        <v>4933</v>
      </c>
      <c r="G774" s="3267"/>
      <c r="H774" s="3267" t="s">
        <v>3263</v>
      </c>
      <c r="I774" s="3268"/>
      <c r="J774" s="3267" t="s">
        <v>8410</v>
      </c>
      <c r="K774" s="3267" t="s">
        <v>8411</v>
      </c>
      <c r="L774" s="3267">
        <v>60.68</v>
      </c>
      <c r="M774" s="3267">
        <v>12</v>
      </c>
      <c r="N774" s="3267" t="s">
        <v>3152</v>
      </c>
      <c r="O774" s="3267"/>
      <c r="P774" s="3267" t="s">
        <v>2963</v>
      </c>
      <c r="Q774" s="3271">
        <v>500000</v>
      </c>
      <c r="R774" s="3267">
        <v>8240</v>
      </c>
      <c r="S774" s="3272">
        <v>50.05</v>
      </c>
      <c r="T774" s="3273">
        <v>500500</v>
      </c>
      <c r="U774" s="3267">
        <v>8249</v>
      </c>
      <c r="V774" s="3289">
        <v>0.2</v>
      </c>
      <c r="W774" s="3272">
        <v>40.04</v>
      </c>
      <c r="X774" s="3275">
        <v>400400</v>
      </c>
      <c r="Y774" s="3276">
        <v>2006</v>
      </c>
      <c r="Z774" s="3267">
        <v>9</v>
      </c>
      <c r="AA774" s="3276">
        <v>18</v>
      </c>
      <c r="AB774" s="3267">
        <v>1500</v>
      </c>
      <c r="AC774" s="3267" t="s">
        <v>2980</v>
      </c>
      <c r="AD774" s="3280" t="s">
        <v>8412</v>
      </c>
      <c r="AE774" s="3279" t="s">
        <v>3304</v>
      </c>
      <c r="AF774" s="3268" t="s">
        <v>2966</v>
      </c>
      <c r="AG774" s="3279" t="s">
        <v>2967</v>
      </c>
      <c r="AH774" s="3267"/>
      <c r="AI774" s="3267" t="s">
        <v>3295</v>
      </c>
      <c r="AJ774" s="3284"/>
      <c r="AK774" s="3278">
        <v>9</v>
      </c>
      <c r="AL774" s="3276">
        <v>53</v>
      </c>
      <c r="AM774" s="3276"/>
      <c r="AN774" s="3267" t="s">
        <v>2994</v>
      </c>
      <c r="AO774" s="3267"/>
      <c r="AP774" s="3267" t="s">
        <v>3537</v>
      </c>
      <c r="AQ774" s="3267" t="s">
        <v>3228</v>
      </c>
      <c r="AR774" s="3276"/>
      <c r="AS774" s="3276"/>
      <c r="AT774" s="3276"/>
      <c r="AU774" s="3276"/>
      <c r="AV774" s="3276"/>
      <c r="AW774" s="3276" t="s">
        <v>2997</v>
      </c>
      <c r="AX774" s="3276"/>
      <c r="AY774" s="3291"/>
      <c r="AZ774" s="3267" t="s">
        <v>8411</v>
      </c>
      <c r="BA774" s="3296"/>
      <c r="BB774" s="3297"/>
      <c r="BC774" s="3296"/>
      <c r="BD774" s="3298"/>
      <c r="BE774" s="3276"/>
      <c r="BF774" s="3281"/>
      <c r="BG774" s="3293">
        <v>38959</v>
      </c>
      <c r="BH774" s="3267"/>
      <c r="BI774" s="3267" t="s">
        <v>3537</v>
      </c>
      <c r="BJ774" s="3284">
        <v>38971</v>
      </c>
      <c r="BK774" s="3283"/>
      <c r="BL774" s="3267" t="s">
        <v>2998</v>
      </c>
      <c r="BM774" s="3276" t="s">
        <v>2879</v>
      </c>
      <c r="BN774" s="3267" t="s">
        <v>2999</v>
      </c>
      <c r="BO774" s="3276" t="s">
        <v>3146</v>
      </c>
      <c r="BP774" s="3276"/>
      <c r="BQ774" s="3276" t="e">
        <v>#DIV/0!</v>
      </c>
      <c r="BR774" s="3276" t="e">
        <v>#DIV/0!</v>
      </c>
      <c r="BS774" s="3285"/>
      <c r="BT774" s="3285"/>
      <c r="BU774" s="3285"/>
    </row>
    <row r="775" spans="1:249" hidden="1">
      <c r="A775" s="3267" t="s">
        <v>8413</v>
      </c>
      <c r="B775" s="3267" t="s">
        <v>8414</v>
      </c>
      <c r="C775" s="3269" t="s">
        <v>8415</v>
      </c>
      <c r="D775" s="3269" t="s">
        <v>8416</v>
      </c>
      <c r="E775" s="3268" t="s">
        <v>2985</v>
      </c>
      <c r="F775" s="3268" t="s">
        <v>8417</v>
      </c>
      <c r="G775" s="3267"/>
      <c r="H775" s="3267" t="s">
        <v>3978</v>
      </c>
      <c r="I775" s="3268" t="s">
        <v>3608</v>
      </c>
      <c r="J775" s="3267" t="s">
        <v>3301</v>
      </c>
      <c r="K775" s="3267" t="s">
        <v>8418</v>
      </c>
      <c r="L775" s="3267">
        <v>98.2</v>
      </c>
      <c r="M775" s="3267">
        <v>5</v>
      </c>
      <c r="N775" s="3267" t="s">
        <v>3098</v>
      </c>
      <c r="O775" s="3267"/>
      <c r="P775" s="3267" t="s">
        <v>2963</v>
      </c>
      <c r="Q775" s="3271">
        <v>810000</v>
      </c>
      <c r="R775" s="3267">
        <v>8248</v>
      </c>
      <c r="S775" s="3272">
        <v>74.42</v>
      </c>
      <c r="T775" s="3273">
        <v>744200</v>
      </c>
      <c r="U775" s="3267">
        <v>7579</v>
      </c>
      <c r="V775" s="3289">
        <v>0.3</v>
      </c>
      <c r="W775" s="3272">
        <v>52.09</v>
      </c>
      <c r="X775" s="3275">
        <v>520900</v>
      </c>
      <c r="Y775" s="3276">
        <v>2006</v>
      </c>
      <c r="Z775" s="3276">
        <v>9</v>
      </c>
      <c r="AA775" s="3276">
        <v>28</v>
      </c>
      <c r="AB775" s="3267">
        <v>1500</v>
      </c>
      <c r="AC775" s="3267" t="s">
        <v>2980</v>
      </c>
      <c r="AD775" s="3280" t="s">
        <v>8419</v>
      </c>
      <c r="AE775" s="3279" t="s">
        <v>3121</v>
      </c>
      <c r="AF775" s="3268" t="s">
        <v>2966</v>
      </c>
      <c r="AG775" s="3279" t="s">
        <v>2967</v>
      </c>
      <c r="AH775" s="3267"/>
      <c r="AI775" s="3279" t="s">
        <v>2992</v>
      </c>
      <c r="AJ775" s="3284"/>
      <c r="AK775" s="3278">
        <v>9</v>
      </c>
      <c r="AL775" s="3276">
        <v>39</v>
      </c>
      <c r="AM775" s="3276"/>
      <c r="AN775" s="3279" t="s">
        <v>3099</v>
      </c>
      <c r="AO775" s="3267" t="s">
        <v>8420</v>
      </c>
      <c r="AP775" s="3279" t="s">
        <v>3305</v>
      </c>
      <c r="AQ775" s="3267" t="s">
        <v>3228</v>
      </c>
      <c r="AR775" s="3276"/>
      <c r="AS775" s="3276"/>
      <c r="AT775" s="3276"/>
      <c r="AU775" s="3276"/>
      <c r="AV775" s="3276"/>
      <c r="AW775" s="3276" t="s">
        <v>2997</v>
      </c>
      <c r="AX775" s="3276"/>
      <c r="AY775" s="3291"/>
      <c r="AZ775" s="3267" t="s">
        <v>8418</v>
      </c>
      <c r="BA775" s="3296"/>
      <c r="BB775" s="3297"/>
      <c r="BC775" s="3296"/>
      <c r="BD775" s="3298"/>
      <c r="BE775" s="3276"/>
      <c r="BF775" s="3281"/>
      <c r="BG775" s="3293">
        <v>38966</v>
      </c>
      <c r="BH775" s="3267" t="s">
        <v>2998</v>
      </c>
      <c r="BI775" s="3314" t="s">
        <v>3305</v>
      </c>
      <c r="BJ775" s="3283">
        <v>38972</v>
      </c>
      <c r="BK775" s="3283"/>
      <c r="BL775" s="3267" t="s">
        <v>3249</v>
      </c>
      <c r="BM775" s="3276" t="s">
        <v>2999</v>
      </c>
      <c r="BN775" s="3276" t="s">
        <v>2879</v>
      </c>
      <c r="BO775" s="3276" t="s">
        <v>3000</v>
      </c>
      <c r="BP775" s="3276"/>
      <c r="BQ775" s="3276" t="e">
        <v>#DIV/0!</v>
      </c>
      <c r="BR775" s="3276" t="e">
        <v>#DIV/0!</v>
      </c>
      <c r="BS775" s="3285"/>
      <c r="BT775" s="3285"/>
      <c r="BU775" s="3285"/>
    </row>
    <row r="776" spans="1:249" hidden="1">
      <c r="A776" s="3267" t="s">
        <v>8421</v>
      </c>
      <c r="B776" s="3267" t="s">
        <v>8422</v>
      </c>
      <c r="C776" s="3269" t="s">
        <v>8423</v>
      </c>
      <c r="D776" s="3268">
        <v>13811247022</v>
      </c>
      <c r="E776" s="3267" t="s">
        <v>2985</v>
      </c>
      <c r="F776" s="3267" t="s">
        <v>4400</v>
      </c>
      <c r="G776" s="3267"/>
      <c r="H776" s="3270" t="s">
        <v>3668</v>
      </c>
      <c r="I776" s="3268"/>
      <c r="J776" s="3270" t="s">
        <v>8424</v>
      </c>
      <c r="K776" s="3267" t="s">
        <v>8425</v>
      </c>
      <c r="L776" s="3286">
        <v>96.56</v>
      </c>
      <c r="M776" s="3270">
        <v>19</v>
      </c>
      <c r="N776" s="3267" t="s">
        <v>3122</v>
      </c>
      <c r="O776" s="3267"/>
      <c r="P776" s="3267" t="s">
        <v>2963</v>
      </c>
      <c r="Q776" s="3287">
        <v>500000</v>
      </c>
      <c r="R776" s="3271">
        <v>5178</v>
      </c>
      <c r="S776" s="3272">
        <v>52.6</v>
      </c>
      <c r="T776" s="3273">
        <v>526000</v>
      </c>
      <c r="U776" s="3287">
        <v>5448</v>
      </c>
      <c r="V776" s="3289">
        <v>0.3</v>
      </c>
      <c r="W776" s="3272">
        <v>36.82</v>
      </c>
      <c r="X776" s="3273">
        <v>368200</v>
      </c>
      <c r="Y776" s="3276">
        <v>2006</v>
      </c>
      <c r="Z776" s="3276">
        <v>10</v>
      </c>
      <c r="AA776" s="3267">
        <v>11</v>
      </c>
      <c r="AB776" s="3267">
        <v>1500</v>
      </c>
      <c r="AC776" s="3267" t="s">
        <v>2980</v>
      </c>
      <c r="AD776" s="3269" t="s">
        <v>8426</v>
      </c>
      <c r="AE776" s="3267" t="s">
        <v>3069</v>
      </c>
      <c r="AF776" s="3267" t="s">
        <v>2966</v>
      </c>
      <c r="AG776" s="3267" t="s">
        <v>2967</v>
      </c>
      <c r="AH776" s="3267"/>
      <c r="AI776" s="3267" t="s">
        <v>2992</v>
      </c>
      <c r="AJ776" s="3270"/>
      <c r="AK776" s="3278" t="s">
        <v>3148</v>
      </c>
      <c r="AL776" s="3267" t="s">
        <v>8427</v>
      </c>
      <c r="AM776" s="3267" t="s">
        <v>8428</v>
      </c>
      <c r="AN776" s="3302" t="s">
        <v>3140</v>
      </c>
      <c r="AO776" s="3267"/>
      <c r="AP776" s="3267" t="s">
        <v>3069</v>
      </c>
      <c r="AQ776" s="3267" t="s">
        <v>3228</v>
      </c>
      <c r="AR776" s="3267">
        <v>2006</v>
      </c>
      <c r="AS776" s="3267">
        <v>10</v>
      </c>
      <c r="AT776" s="3267">
        <v>11</v>
      </c>
      <c r="AU776" s="3267"/>
      <c r="AV776" s="3267"/>
      <c r="AW776" s="3276" t="s">
        <v>3171</v>
      </c>
      <c r="AX776" s="3267"/>
      <c r="AY776" s="3279"/>
      <c r="AZ776" s="3267" t="s">
        <v>8425</v>
      </c>
      <c r="BA776" s="3267"/>
      <c r="BB776" s="3267"/>
      <c r="BC776" s="3267"/>
      <c r="BD776" s="3267"/>
      <c r="BE776" s="3267"/>
      <c r="BF776" s="3267"/>
      <c r="BG776" s="3290">
        <v>38972</v>
      </c>
      <c r="BH776" s="3267"/>
      <c r="BI776" s="3279" t="s">
        <v>3069</v>
      </c>
      <c r="BJ776" s="3284">
        <v>38972</v>
      </c>
      <c r="BK776" s="3284"/>
      <c r="BL776" s="3267" t="s">
        <v>2998</v>
      </c>
      <c r="BM776" s="3267" t="s">
        <v>3345</v>
      </c>
      <c r="BN776" s="3276" t="s">
        <v>3111</v>
      </c>
      <c r="BO776" s="3267" t="s">
        <v>3446</v>
      </c>
      <c r="BP776" s="3267"/>
      <c r="BQ776" s="3267"/>
      <c r="BR776" s="3267"/>
      <c r="BS776" s="3285"/>
      <c r="BT776" s="3285"/>
      <c r="BU776" s="3285"/>
    </row>
    <row r="777" spans="1:249" hidden="1">
      <c r="A777" s="3267" t="s">
        <v>8429</v>
      </c>
      <c r="B777" s="3267" t="s">
        <v>8430</v>
      </c>
      <c r="C777" s="3269" t="s">
        <v>8431</v>
      </c>
      <c r="D777" s="3269" t="s">
        <v>8432</v>
      </c>
      <c r="E777" s="3268" t="s">
        <v>2985</v>
      </c>
      <c r="F777" s="3268" t="s">
        <v>8433</v>
      </c>
      <c r="G777" s="3267"/>
      <c r="H777" s="3267"/>
      <c r="I777" s="3268"/>
      <c r="J777" s="3268" t="s">
        <v>8434</v>
      </c>
      <c r="K777" s="3267" t="s">
        <v>8430</v>
      </c>
      <c r="L777" s="3267">
        <v>76.03</v>
      </c>
      <c r="M777" s="3267">
        <v>4</v>
      </c>
      <c r="N777" s="3267" t="s">
        <v>3125</v>
      </c>
      <c r="O777" s="3267"/>
      <c r="P777" s="3267" t="s">
        <v>2963</v>
      </c>
      <c r="Q777" s="3271">
        <v>680000</v>
      </c>
      <c r="R777" s="3267">
        <v>8944</v>
      </c>
      <c r="S777" s="3272">
        <v>59.03</v>
      </c>
      <c r="T777" s="3273">
        <v>590300</v>
      </c>
      <c r="U777" s="3267">
        <v>7765</v>
      </c>
      <c r="V777" s="3289">
        <v>0.2</v>
      </c>
      <c r="W777" s="3272">
        <v>47.22</v>
      </c>
      <c r="X777" s="3275">
        <v>472200</v>
      </c>
      <c r="Y777" s="3276">
        <v>2006</v>
      </c>
      <c r="Z777" s="3276">
        <v>10</v>
      </c>
      <c r="AA777" s="3276">
        <v>12</v>
      </c>
      <c r="AB777" s="3267">
        <v>1500</v>
      </c>
      <c r="AC777" s="3267" t="s">
        <v>2980</v>
      </c>
      <c r="AD777" s="3366">
        <v>91302006090865</v>
      </c>
      <c r="AE777" s="3279" t="s">
        <v>2991</v>
      </c>
      <c r="AF777" s="3268"/>
      <c r="AG777" s="3279" t="s">
        <v>2967</v>
      </c>
      <c r="AH777" s="3267"/>
      <c r="AI777" s="3279" t="s">
        <v>2992</v>
      </c>
      <c r="AJ777" s="3284"/>
      <c r="AK777" s="3278" t="s">
        <v>3148</v>
      </c>
      <c r="AL777" s="3276">
        <v>42</v>
      </c>
      <c r="AM777" s="3276" t="s">
        <v>8435</v>
      </c>
      <c r="AN777" s="3279" t="s">
        <v>3131</v>
      </c>
      <c r="AO777" s="3267"/>
      <c r="AP777" s="3279" t="s">
        <v>3239</v>
      </c>
      <c r="AQ777" s="3267" t="s">
        <v>3228</v>
      </c>
      <c r="AR777" s="3276">
        <v>2006</v>
      </c>
      <c r="AS777" s="3276">
        <v>10</v>
      </c>
      <c r="AT777" s="3276">
        <v>12</v>
      </c>
      <c r="AU777" s="3276"/>
      <c r="AV777" s="3276"/>
      <c r="AW777" s="3276" t="s">
        <v>2997</v>
      </c>
      <c r="AX777" s="3276"/>
      <c r="AY777" s="3291"/>
      <c r="AZ777" s="3267" t="s">
        <v>8436</v>
      </c>
      <c r="BA777" s="3296"/>
      <c r="BB777" s="3297"/>
      <c r="BC777" s="3296"/>
      <c r="BD777" s="3298"/>
      <c r="BE777" s="3276"/>
      <c r="BF777" s="3281"/>
      <c r="BG777" s="3293">
        <v>38955</v>
      </c>
      <c r="BH777" s="3267"/>
      <c r="BI777" s="3279" t="s">
        <v>3239</v>
      </c>
      <c r="BJ777" s="3299">
        <v>38973</v>
      </c>
      <c r="BK777" s="3283" t="s">
        <v>2968</v>
      </c>
      <c r="BL777" s="3267" t="s">
        <v>2998</v>
      </c>
      <c r="BM777" s="3276" t="s">
        <v>2879</v>
      </c>
      <c r="BN777" s="3276" t="s">
        <v>2999</v>
      </c>
      <c r="BO777" s="3276" t="s">
        <v>3146</v>
      </c>
      <c r="BP777" s="3276"/>
      <c r="BQ777" s="3276" t="e">
        <v>#DIV/0!</v>
      </c>
      <c r="BR777" s="3276" t="e">
        <v>#DIV/0!</v>
      </c>
      <c r="BS777" s="3285"/>
      <c r="BT777" s="3285"/>
      <c r="BU777" s="3285"/>
      <c r="BW777" s="3262" t="s">
        <v>3262</v>
      </c>
      <c r="BX777" s="3262" t="s">
        <v>3262</v>
      </c>
      <c r="BY777" s="3262" t="s">
        <v>3262</v>
      </c>
      <c r="BZ777" s="3262" t="s">
        <v>3262</v>
      </c>
      <c r="CA777" s="3262" t="s">
        <v>3262</v>
      </c>
      <c r="CB777" s="3262" t="s">
        <v>3262</v>
      </c>
      <c r="CC777" s="3262" t="s">
        <v>3262</v>
      </c>
      <c r="CD777" s="3262" t="s">
        <v>3262</v>
      </c>
      <c r="CE777" s="3262" t="s">
        <v>3262</v>
      </c>
      <c r="CF777" s="3262" t="s">
        <v>3262</v>
      </c>
      <c r="CG777" s="3262" t="s">
        <v>3262</v>
      </c>
      <c r="CH777" s="3262" t="s">
        <v>3262</v>
      </c>
      <c r="CI777" s="3262" t="s">
        <v>3262</v>
      </c>
      <c r="CJ777" s="3262" t="s">
        <v>3262</v>
      </c>
      <c r="CK777" s="3262" t="s">
        <v>3262</v>
      </c>
      <c r="CL777" s="3262" t="s">
        <v>3262</v>
      </c>
      <c r="CM777" s="3262" t="s">
        <v>3262</v>
      </c>
      <c r="CN777" s="3262" t="s">
        <v>3262</v>
      </c>
      <c r="CO777" s="3262" t="s">
        <v>3262</v>
      </c>
      <c r="CP777" s="3262" t="s">
        <v>3262</v>
      </c>
      <c r="CQ777" s="3262" t="s">
        <v>3262</v>
      </c>
      <c r="CR777" s="3262" t="s">
        <v>3262</v>
      </c>
      <c r="CS777" s="3262" t="s">
        <v>3262</v>
      </c>
      <c r="CT777" s="3262" t="s">
        <v>3262</v>
      </c>
      <c r="CU777" s="3262" t="s">
        <v>3262</v>
      </c>
      <c r="CV777" s="3262" t="s">
        <v>3262</v>
      </c>
      <c r="CW777" s="3262" t="s">
        <v>3262</v>
      </c>
      <c r="CX777" s="3262" t="s">
        <v>3262</v>
      </c>
      <c r="CY777" s="3262" t="s">
        <v>3262</v>
      </c>
      <c r="CZ777" s="3262" t="s">
        <v>3262</v>
      </c>
      <c r="DA777" s="3262" t="s">
        <v>3262</v>
      </c>
      <c r="DB777" s="3262" t="s">
        <v>3262</v>
      </c>
      <c r="DC777" s="3262" t="s">
        <v>3262</v>
      </c>
      <c r="DD777" s="3262" t="s">
        <v>3262</v>
      </c>
      <c r="DE777" s="3262" t="s">
        <v>3262</v>
      </c>
      <c r="DF777" s="3262" t="s">
        <v>3262</v>
      </c>
      <c r="DG777" s="3262" t="s">
        <v>3262</v>
      </c>
      <c r="DH777" s="3262" t="s">
        <v>3262</v>
      </c>
      <c r="DI777" s="3262" t="s">
        <v>3262</v>
      </c>
      <c r="DJ777" s="3262" t="s">
        <v>3262</v>
      </c>
      <c r="DK777" s="3262" t="s">
        <v>3262</v>
      </c>
      <c r="DL777" s="3262" t="s">
        <v>3262</v>
      </c>
      <c r="DM777" s="3262" t="s">
        <v>3262</v>
      </c>
      <c r="DN777" s="3262" t="s">
        <v>3262</v>
      </c>
      <c r="DO777" s="3262" t="s">
        <v>3262</v>
      </c>
      <c r="DP777" s="3262" t="s">
        <v>3262</v>
      </c>
      <c r="DQ777" s="3262" t="s">
        <v>3262</v>
      </c>
      <c r="DR777" s="3262" t="s">
        <v>3262</v>
      </c>
      <c r="DS777" s="3262" t="s">
        <v>3262</v>
      </c>
      <c r="DT777" s="3262" t="s">
        <v>3262</v>
      </c>
      <c r="DU777" s="3262" t="s">
        <v>3262</v>
      </c>
      <c r="DV777" s="3262" t="s">
        <v>3262</v>
      </c>
      <c r="DW777" s="3262" t="s">
        <v>3262</v>
      </c>
      <c r="DX777" s="3262" t="s">
        <v>3262</v>
      </c>
      <c r="DY777" s="3262" t="s">
        <v>3262</v>
      </c>
      <c r="DZ777" s="3262" t="s">
        <v>3262</v>
      </c>
      <c r="EA777" s="3262" t="s">
        <v>3262</v>
      </c>
      <c r="EB777" s="3262" t="s">
        <v>3262</v>
      </c>
      <c r="EC777" s="3262" t="s">
        <v>3262</v>
      </c>
      <c r="ED777" s="3262" t="s">
        <v>3262</v>
      </c>
      <c r="EE777" s="3262" t="s">
        <v>3262</v>
      </c>
      <c r="EF777" s="3262" t="s">
        <v>3262</v>
      </c>
      <c r="EG777" s="3262" t="s">
        <v>3262</v>
      </c>
      <c r="EH777" s="3262" t="s">
        <v>3262</v>
      </c>
      <c r="EI777" s="3262" t="s">
        <v>3262</v>
      </c>
      <c r="EJ777" s="3262" t="s">
        <v>3262</v>
      </c>
      <c r="EK777" s="3262" t="s">
        <v>3262</v>
      </c>
      <c r="EL777" s="3262" t="s">
        <v>3262</v>
      </c>
      <c r="EM777" s="3262" t="s">
        <v>3262</v>
      </c>
      <c r="EN777" s="3262" t="s">
        <v>3262</v>
      </c>
      <c r="EO777" s="3262" t="s">
        <v>3262</v>
      </c>
      <c r="EP777" s="3262" t="s">
        <v>3262</v>
      </c>
      <c r="EQ777" s="3262" t="s">
        <v>3262</v>
      </c>
      <c r="ER777" s="3262" t="s">
        <v>3262</v>
      </c>
      <c r="ES777" s="3262" t="s">
        <v>3262</v>
      </c>
      <c r="ET777" s="3262" t="s">
        <v>3262</v>
      </c>
      <c r="EU777" s="3262" t="s">
        <v>3262</v>
      </c>
      <c r="EV777" s="3262" t="s">
        <v>3262</v>
      </c>
      <c r="EW777" s="3262" t="s">
        <v>3262</v>
      </c>
      <c r="EX777" s="3262" t="s">
        <v>3262</v>
      </c>
      <c r="EY777" s="3262" t="s">
        <v>3262</v>
      </c>
      <c r="EZ777" s="3262" t="s">
        <v>3262</v>
      </c>
      <c r="FA777" s="3262" t="s">
        <v>3262</v>
      </c>
      <c r="FB777" s="3262" t="s">
        <v>3262</v>
      </c>
      <c r="FC777" s="3262" t="s">
        <v>3262</v>
      </c>
      <c r="FD777" s="3262" t="s">
        <v>3262</v>
      </c>
      <c r="FE777" s="3262" t="s">
        <v>3262</v>
      </c>
      <c r="FF777" s="3262" t="s">
        <v>3262</v>
      </c>
      <c r="FG777" s="3262" t="s">
        <v>3262</v>
      </c>
      <c r="FH777" s="3262" t="s">
        <v>3262</v>
      </c>
      <c r="FI777" s="3262" t="s">
        <v>3262</v>
      </c>
      <c r="FJ777" s="3262" t="s">
        <v>3262</v>
      </c>
      <c r="FK777" s="3262" t="s">
        <v>3262</v>
      </c>
      <c r="FL777" s="3262" t="s">
        <v>3262</v>
      </c>
      <c r="FM777" s="3262" t="s">
        <v>3262</v>
      </c>
      <c r="FN777" s="3262" t="s">
        <v>3262</v>
      </c>
      <c r="FO777" s="3262" t="s">
        <v>3262</v>
      </c>
      <c r="FP777" s="3262" t="s">
        <v>3262</v>
      </c>
      <c r="FQ777" s="3262" t="s">
        <v>3262</v>
      </c>
      <c r="FR777" s="3262" t="s">
        <v>3262</v>
      </c>
      <c r="FS777" s="3262" t="s">
        <v>3262</v>
      </c>
      <c r="FT777" s="3262" t="s">
        <v>3262</v>
      </c>
      <c r="FU777" s="3262" t="s">
        <v>3262</v>
      </c>
      <c r="FV777" s="3262" t="s">
        <v>3262</v>
      </c>
      <c r="FW777" s="3262" t="s">
        <v>3262</v>
      </c>
      <c r="FX777" s="3262" t="s">
        <v>3262</v>
      </c>
      <c r="FY777" s="3262" t="s">
        <v>3262</v>
      </c>
      <c r="FZ777" s="3262" t="s">
        <v>3262</v>
      </c>
      <c r="GA777" s="3262" t="s">
        <v>3262</v>
      </c>
      <c r="GB777" s="3262" t="s">
        <v>3262</v>
      </c>
      <c r="GC777" s="3262" t="s">
        <v>3262</v>
      </c>
      <c r="GD777" s="3262" t="s">
        <v>3262</v>
      </c>
      <c r="GE777" s="3262" t="s">
        <v>3262</v>
      </c>
      <c r="GF777" s="3262" t="s">
        <v>3262</v>
      </c>
      <c r="GG777" s="3262" t="s">
        <v>3262</v>
      </c>
      <c r="GH777" s="3262" t="s">
        <v>3262</v>
      </c>
      <c r="GI777" s="3262" t="s">
        <v>3262</v>
      </c>
      <c r="GJ777" s="3262" t="s">
        <v>3262</v>
      </c>
      <c r="GK777" s="3262" t="s">
        <v>3262</v>
      </c>
      <c r="GL777" s="3262" t="s">
        <v>3262</v>
      </c>
      <c r="GM777" s="3262" t="s">
        <v>3262</v>
      </c>
      <c r="GN777" s="3262" t="s">
        <v>3262</v>
      </c>
      <c r="GO777" s="3262" t="s">
        <v>3262</v>
      </c>
      <c r="GP777" s="3262" t="s">
        <v>3262</v>
      </c>
      <c r="GQ777" s="3262" t="s">
        <v>3262</v>
      </c>
      <c r="GR777" s="3262" t="s">
        <v>3262</v>
      </c>
      <c r="GS777" s="3262" t="s">
        <v>3262</v>
      </c>
      <c r="GT777" s="3262" t="s">
        <v>3262</v>
      </c>
      <c r="GU777" s="3262" t="s">
        <v>3262</v>
      </c>
      <c r="GV777" s="3262" t="s">
        <v>3262</v>
      </c>
      <c r="GW777" s="3262" t="s">
        <v>3262</v>
      </c>
      <c r="GX777" s="3262" t="s">
        <v>3262</v>
      </c>
      <c r="GY777" s="3262" t="s">
        <v>3262</v>
      </c>
      <c r="GZ777" s="3262" t="s">
        <v>3262</v>
      </c>
      <c r="HA777" s="3262" t="s">
        <v>3262</v>
      </c>
      <c r="HB777" s="3262" t="s">
        <v>3262</v>
      </c>
      <c r="HC777" s="3262" t="s">
        <v>3262</v>
      </c>
      <c r="HD777" s="3262" t="s">
        <v>3262</v>
      </c>
      <c r="HE777" s="3262" t="s">
        <v>3262</v>
      </c>
      <c r="HF777" s="3262" t="s">
        <v>3262</v>
      </c>
      <c r="HG777" s="3262" t="s">
        <v>3262</v>
      </c>
      <c r="HH777" s="3262" t="s">
        <v>3262</v>
      </c>
      <c r="HI777" s="3262" t="s">
        <v>3262</v>
      </c>
      <c r="HJ777" s="3262" t="s">
        <v>3262</v>
      </c>
      <c r="HK777" s="3262" t="s">
        <v>3262</v>
      </c>
      <c r="HL777" s="3262" t="s">
        <v>3262</v>
      </c>
      <c r="HM777" s="3262" t="s">
        <v>3262</v>
      </c>
      <c r="HN777" s="3262" t="s">
        <v>3262</v>
      </c>
      <c r="HO777" s="3262" t="s">
        <v>3262</v>
      </c>
      <c r="HP777" s="3262" t="s">
        <v>3262</v>
      </c>
      <c r="HQ777" s="3262" t="s">
        <v>3262</v>
      </c>
      <c r="HR777" s="3262" t="s">
        <v>3262</v>
      </c>
      <c r="HS777" s="3262" t="s">
        <v>3262</v>
      </c>
      <c r="HT777" s="3262" t="s">
        <v>3262</v>
      </c>
      <c r="HU777" s="3262" t="s">
        <v>3262</v>
      </c>
      <c r="HV777" s="3262" t="s">
        <v>3262</v>
      </c>
      <c r="HW777" s="3262" t="s">
        <v>3262</v>
      </c>
      <c r="HX777" s="3262" t="s">
        <v>3262</v>
      </c>
      <c r="HY777" s="3262" t="s">
        <v>3262</v>
      </c>
      <c r="HZ777" s="3262" t="s">
        <v>3262</v>
      </c>
      <c r="IA777" s="3262" t="s">
        <v>3262</v>
      </c>
      <c r="IB777" s="3262" t="s">
        <v>3262</v>
      </c>
      <c r="IC777" s="3262" t="s">
        <v>3262</v>
      </c>
      <c r="ID777" s="3262" t="s">
        <v>3262</v>
      </c>
      <c r="IE777" s="3262" t="s">
        <v>3262</v>
      </c>
      <c r="IF777" s="3262" t="s">
        <v>3262</v>
      </c>
      <c r="IG777" s="3262" t="s">
        <v>3262</v>
      </c>
      <c r="IH777" s="3262" t="s">
        <v>3262</v>
      </c>
    </row>
    <row r="778" spans="1:249">
      <c r="A778" s="3267" t="s">
        <v>8437</v>
      </c>
      <c r="B778" s="3267" t="s">
        <v>8438</v>
      </c>
      <c r="C778" s="3269" t="s">
        <v>8439</v>
      </c>
      <c r="D778" s="3269" t="s">
        <v>8440</v>
      </c>
      <c r="E778" s="3268" t="s">
        <v>2985</v>
      </c>
      <c r="F778" s="3268" t="s">
        <v>5306</v>
      </c>
      <c r="G778" s="3267"/>
      <c r="H778" s="3267" t="s">
        <v>3159</v>
      </c>
      <c r="I778" s="3268"/>
      <c r="J778" s="3267" t="s">
        <v>3393</v>
      </c>
      <c r="K778" s="3267" t="s">
        <v>8438</v>
      </c>
      <c r="L778" s="3267">
        <v>99.43</v>
      </c>
      <c r="M778" s="3267">
        <v>21</v>
      </c>
      <c r="N778" s="3267" t="s">
        <v>3122</v>
      </c>
      <c r="O778" s="3267"/>
      <c r="P778" s="3267" t="s">
        <v>2963</v>
      </c>
      <c r="Q778" s="3271">
        <v>680000</v>
      </c>
      <c r="R778" s="3267">
        <v>6839</v>
      </c>
      <c r="S778" s="3272">
        <v>62.29</v>
      </c>
      <c r="T778" s="3273">
        <v>622900</v>
      </c>
      <c r="U778" s="3267">
        <v>6265</v>
      </c>
      <c r="V778" s="3289">
        <v>0.3</v>
      </c>
      <c r="W778" s="3272">
        <v>43.6</v>
      </c>
      <c r="X778" s="3275">
        <v>436000</v>
      </c>
      <c r="Y778" s="3276">
        <v>2006</v>
      </c>
      <c r="Z778" s="3276">
        <v>10</v>
      </c>
      <c r="AA778" s="3276">
        <v>9</v>
      </c>
      <c r="AB778" s="3267">
        <v>1500</v>
      </c>
      <c r="AC778" s="3267" t="s">
        <v>2980</v>
      </c>
      <c r="AD778" s="3280" t="s">
        <v>8441</v>
      </c>
      <c r="AE778" s="3279" t="s">
        <v>3686</v>
      </c>
      <c r="AF778" s="3268" t="s">
        <v>2966</v>
      </c>
      <c r="AG778" s="3279" t="s">
        <v>8442</v>
      </c>
      <c r="AH778" s="3267"/>
      <c r="AI778" s="3279" t="s">
        <v>2992</v>
      </c>
      <c r="AJ778" s="3284"/>
      <c r="AK778" s="3278" t="s">
        <v>3148</v>
      </c>
      <c r="AL778" s="3276">
        <v>52</v>
      </c>
      <c r="AM778" s="3267" t="s">
        <v>8443</v>
      </c>
      <c r="AN778" s="3279" t="s">
        <v>3131</v>
      </c>
      <c r="AO778" s="3267"/>
      <c r="AP778" s="3279" t="s">
        <v>3305</v>
      </c>
      <c r="AQ778" s="3267" t="s">
        <v>3228</v>
      </c>
      <c r="AR778" s="3276"/>
      <c r="AS778" s="3276"/>
      <c r="AT778" s="3276"/>
      <c r="AU778" s="3276"/>
      <c r="AV778" s="3276"/>
      <c r="AW778" s="3276" t="s">
        <v>2997</v>
      </c>
      <c r="AX778" s="3276"/>
      <c r="AY778" s="3291"/>
      <c r="AZ778" s="3267" t="s">
        <v>8444</v>
      </c>
      <c r="BA778" s="3296"/>
      <c r="BB778" s="3297"/>
      <c r="BC778" s="3296"/>
      <c r="BD778" s="3298"/>
      <c r="BE778" s="3276">
        <v>13051529628</v>
      </c>
      <c r="BF778" s="3281"/>
      <c r="BG778" s="3293">
        <v>38974</v>
      </c>
      <c r="BH778" s="3267" t="s">
        <v>2998</v>
      </c>
      <c r="BI778" s="3314" t="s">
        <v>3305</v>
      </c>
      <c r="BJ778" s="3283">
        <v>38974</v>
      </c>
      <c r="BK778" s="3283"/>
      <c r="BL778" s="3267" t="s">
        <v>3249</v>
      </c>
      <c r="BM778" s="3276" t="s">
        <v>3111</v>
      </c>
      <c r="BN778" s="3276" t="s">
        <v>2879</v>
      </c>
      <c r="BO778" s="3276" t="s">
        <v>3000</v>
      </c>
      <c r="BP778" s="3276"/>
      <c r="BQ778" s="3276" t="e">
        <v>#DIV/0!</v>
      </c>
      <c r="BR778" s="3276" t="e">
        <v>#DIV/0!</v>
      </c>
      <c r="BS778" s="3285"/>
      <c r="BT778" s="3285"/>
      <c r="BU778" s="3285"/>
    </row>
    <row r="779" spans="1:249" hidden="1">
      <c r="A779" s="3267" t="s">
        <v>8445</v>
      </c>
      <c r="B779" s="3267" t="s">
        <v>8446</v>
      </c>
      <c r="C779" s="3269" t="s">
        <v>8447</v>
      </c>
      <c r="D779" s="3269" t="s">
        <v>8448</v>
      </c>
      <c r="E779" s="3267" t="s">
        <v>2985</v>
      </c>
      <c r="F779" s="3267" t="s">
        <v>3563</v>
      </c>
      <c r="G779" s="3267"/>
      <c r="H779" s="3267" t="s">
        <v>4885</v>
      </c>
      <c r="I779" s="3267"/>
      <c r="J779" s="3267" t="s">
        <v>4144</v>
      </c>
      <c r="K779" s="3267" t="s">
        <v>8446</v>
      </c>
      <c r="L779" s="3267">
        <v>88.21</v>
      </c>
      <c r="M779" s="3267">
        <v>7</v>
      </c>
      <c r="N779" s="3267" t="s">
        <v>3152</v>
      </c>
      <c r="O779" s="3267">
        <v>74.19</v>
      </c>
      <c r="P779" s="3267" t="s">
        <v>2963</v>
      </c>
      <c r="Q779" s="3267">
        <v>340000</v>
      </c>
      <c r="R779" s="3288">
        <v>3854</v>
      </c>
      <c r="S779" s="3272">
        <v>33.99</v>
      </c>
      <c r="T779" s="3273">
        <v>339900</v>
      </c>
      <c r="U779" s="3267">
        <v>3854</v>
      </c>
      <c r="V779" s="3289">
        <v>0.2</v>
      </c>
      <c r="W779" s="3272">
        <v>27.19</v>
      </c>
      <c r="X779" s="3273">
        <v>271900</v>
      </c>
      <c r="Y779" s="3267">
        <v>2006</v>
      </c>
      <c r="Z779" s="3276">
        <v>9</v>
      </c>
      <c r="AA779" s="3276">
        <v>26</v>
      </c>
      <c r="AB779" s="3267">
        <v>1015</v>
      </c>
      <c r="AC779" s="3267" t="s">
        <v>2980</v>
      </c>
      <c r="AD779" s="3269" t="s">
        <v>8449</v>
      </c>
      <c r="AE779" s="3279" t="s">
        <v>3344</v>
      </c>
      <c r="AF779" s="3267" t="s">
        <v>2966</v>
      </c>
      <c r="AG779" s="3267" t="s">
        <v>5571</v>
      </c>
      <c r="AH779" s="3267" t="s">
        <v>2968</v>
      </c>
      <c r="AI779" s="3279" t="s">
        <v>2992</v>
      </c>
      <c r="AJ779" s="3267"/>
      <c r="AK779" s="3278">
        <v>9</v>
      </c>
      <c r="AL779" s="3267">
        <v>55</v>
      </c>
      <c r="AM779" s="3267" t="s">
        <v>8450</v>
      </c>
      <c r="AN779" s="3279" t="s">
        <v>3099</v>
      </c>
      <c r="AO779" s="3267"/>
      <c r="AP779" s="3279" t="s">
        <v>4395</v>
      </c>
      <c r="AQ779" s="3267" t="s">
        <v>3228</v>
      </c>
      <c r="AR779" s="3267"/>
      <c r="AS779" s="3267"/>
      <c r="AT779" s="3267"/>
      <c r="AU779" s="3267"/>
      <c r="AV779" s="3267"/>
      <c r="AW779" s="3267" t="s">
        <v>2997</v>
      </c>
      <c r="AX779" s="3267"/>
      <c r="AY779" s="3267"/>
      <c r="AZ779" s="3267" t="s">
        <v>8451</v>
      </c>
      <c r="BA779" s="3267"/>
      <c r="BB779" s="3267"/>
      <c r="BC779" s="3267"/>
      <c r="BD779" s="3267"/>
      <c r="BE779" s="3267"/>
      <c r="BF779" s="3281"/>
      <c r="BG779" s="3284">
        <v>38965</v>
      </c>
      <c r="BH779" s="3354" t="s">
        <v>2998</v>
      </c>
      <c r="BI779" s="3314" t="s">
        <v>4395</v>
      </c>
      <c r="BJ779" s="3284">
        <v>38974</v>
      </c>
      <c r="BK779" s="3267"/>
      <c r="BL779" s="3267" t="s">
        <v>3249</v>
      </c>
      <c r="BM779" s="3267" t="s">
        <v>2879</v>
      </c>
      <c r="BN779" s="3267" t="s">
        <v>2999</v>
      </c>
      <c r="BO779" s="3267" t="s">
        <v>3000</v>
      </c>
      <c r="BP779" s="3267"/>
      <c r="BQ779" s="3276">
        <v>4581</v>
      </c>
      <c r="BR779" s="3276">
        <v>4583</v>
      </c>
      <c r="BS779" s="3285"/>
      <c r="BT779" s="3285"/>
      <c r="BU779" s="3285"/>
    </row>
    <row r="780" spans="1:249" hidden="1">
      <c r="A780" s="3267" t="s">
        <v>8452</v>
      </c>
      <c r="B780" s="3267" t="s">
        <v>8453</v>
      </c>
      <c r="C780" s="3269" t="s">
        <v>8454</v>
      </c>
      <c r="D780" s="3269" t="s">
        <v>8455</v>
      </c>
      <c r="E780" s="3267" t="s">
        <v>2985</v>
      </c>
      <c r="F780" s="3269" t="s">
        <v>8456</v>
      </c>
      <c r="G780" s="3267"/>
      <c r="H780" s="3267" t="s">
        <v>3130</v>
      </c>
      <c r="I780" s="3268" t="s">
        <v>3458</v>
      </c>
      <c r="J780" s="3268" t="s">
        <v>3151</v>
      </c>
      <c r="K780" s="3267" t="s">
        <v>8457</v>
      </c>
      <c r="L780" s="3267">
        <v>54.17</v>
      </c>
      <c r="M780" s="3267">
        <v>5</v>
      </c>
      <c r="N780" s="3267" t="s">
        <v>8458</v>
      </c>
      <c r="O780" s="3267"/>
      <c r="P780" s="3267" t="s">
        <v>2963</v>
      </c>
      <c r="Q780" s="3271">
        <v>380000</v>
      </c>
      <c r="R780" s="3267">
        <v>7015</v>
      </c>
      <c r="S780" s="3272">
        <v>34.03</v>
      </c>
      <c r="T780" s="3273">
        <v>340300</v>
      </c>
      <c r="U780" s="3267">
        <v>6283</v>
      </c>
      <c r="V780" s="3289">
        <v>0.2</v>
      </c>
      <c r="W780" s="3272">
        <v>27.22</v>
      </c>
      <c r="X780" s="3275">
        <v>272200</v>
      </c>
      <c r="Y780" s="3276">
        <v>2006</v>
      </c>
      <c r="Z780" s="3276">
        <v>9</v>
      </c>
      <c r="AA780" s="3276">
        <v>29</v>
      </c>
      <c r="AB780" s="3267">
        <v>1020</v>
      </c>
      <c r="AC780" s="3267" t="s">
        <v>2980</v>
      </c>
      <c r="AD780" s="3366">
        <v>91302006090973</v>
      </c>
      <c r="AE780" s="3279" t="s">
        <v>2991</v>
      </c>
      <c r="AF780" s="3268"/>
      <c r="AG780" s="3279" t="s">
        <v>2967</v>
      </c>
      <c r="AH780" s="3267"/>
      <c r="AI780" s="3279" t="s">
        <v>2992</v>
      </c>
      <c r="AJ780" s="3284"/>
      <c r="AK780" s="3278">
        <v>9</v>
      </c>
      <c r="AL780" s="3276">
        <v>33</v>
      </c>
      <c r="AM780" s="3276"/>
      <c r="AN780" s="3279" t="s">
        <v>3099</v>
      </c>
      <c r="AO780" s="3267" t="s">
        <v>8459</v>
      </c>
      <c r="AP780" s="3279" t="s">
        <v>2991</v>
      </c>
      <c r="AQ780" s="3267" t="s">
        <v>3228</v>
      </c>
      <c r="AR780" s="3276">
        <v>2006</v>
      </c>
      <c r="AS780" s="3276">
        <v>9</v>
      </c>
      <c r="AT780" s="3276">
        <v>29</v>
      </c>
      <c r="AU780" s="3276"/>
      <c r="AV780" s="3276"/>
      <c r="AW780" s="3276" t="s">
        <v>2997</v>
      </c>
      <c r="AX780" s="3276"/>
      <c r="AY780" s="3291"/>
      <c r="AZ780" s="3267" t="s">
        <v>8457</v>
      </c>
      <c r="BA780" s="3296"/>
      <c r="BB780" s="3297"/>
      <c r="BC780" s="3296"/>
      <c r="BD780" s="3298"/>
      <c r="BE780" s="3276"/>
      <c r="BF780" s="3281"/>
      <c r="BG780" s="3293">
        <v>38966</v>
      </c>
      <c r="BH780" s="3267"/>
      <c r="BI780" s="3267" t="s">
        <v>2991</v>
      </c>
      <c r="BJ780" s="3299">
        <v>38974</v>
      </c>
      <c r="BK780" s="3283"/>
      <c r="BL780" s="3267" t="s">
        <v>2998</v>
      </c>
      <c r="BM780" s="3276" t="s">
        <v>2879</v>
      </c>
      <c r="BN780" s="3276" t="s">
        <v>2999</v>
      </c>
      <c r="BO780" s="3276" t="s">
        <v>3146</v>
      </c>
      <c r="BP780" s="3276"/>
      <c r="BQ780" s="3276" t="e">
        <v>#DIV/0!</v>
      </c>
      <c r="BR780" s="3276" t="e">
        <v>#DIV/0!</v>
      </c>
      <c r="BS780" s="3285"/>
      <c r="BT780" s="3285"/>
      <c r="BU780" s="3285"/>
      <c r="BY780" s="3262" t="s">
        <v>3262</v>
      </c>
      <c r="BZ780" s="3262" t="s">
        <v>3262</v>
      </c>
      <c r="CA780" s="3262" t="s">
        <v>3262</v>
      </c>
      <c r="CB780" s="3262" t="s">
        <v>3262</v>
      </c>
      <c r="CC780" s="3262" t="s">
        <v>3262</v>
      </c>
      <c r="CD780" s="3262" t="s">
        <v>3262</v>
      </c>
      <c r="CE780" s="3262" t="s">
        <v>3262</v>
      </c>
      <c r="CF780" s="3262" t="s">
        <v>3262</v>
      </c>
      <c r="CG780" s="3262" t="s">
        <v>3262</v>
      </c>
      <c r="CH780" s="3262" t="s">
        <v>3262</v>
      </c>
      <c r="CI780" s="3262" t="s">
        <v>3262</v>
      </c>
      <c r="CJ780" s="3262" t="s">
        <v>3262</v>
      </c>
      <c r="CK780" s="3262" t="s">
        <v>3262</v>
      </c>
      <c r="CL780" s="3262" t="s">
        <v>3262</v>
      </c>
      <c r="CM780" s="3262" t="s">
        <v>3262</v>
      </c>
      <c r="CN780" s="3262" t="s">
        <v>3262</v>
      </c>
      <c r="CO780" s="3262" t="s">
        <v>3262</v>
      </c>
      <c r="CP780" s="3262" t="s">
        <v>3262</v>
      </c>
      <c r="CQ780" s="3262" t="s">
        <v>3262</v>
      </c>
      <c r="CR780" s="3262" t="s">
        <v>3262</v>
      </c>
      <c r="CS780" s="3262" t="s">
        <v>3262</v>
      </c>
      <c r="CT780" s="3262" t="s">
        <v>3262</v>
      </c>
      <c r="CU780" s="3262" t="s">
        <v>3262</v>
      </c>
      <c r="CV780" s="3262" t="s">
        <v>3262</v>
      </c>
      <c r="CW780" s="3262" t="s">
        <v>3262</v>
      </c>
      <c r="CX780" s="3262" t="s">
        <v>3262</v>
      </c>
      <c r="CY780" s="3262" t="s">
        <v>3262</v>
      </c>
      <c r="CZ780" s="3262" t="s">
        <v>3262</v>
      </c>
      <c r="DA780" s="3262" t="s">
        <v>3262</v>
      </c>
      <c r="DB780" s="3262" t="s">
        <v>3262</v>
      </c>
      <c r="DC780" s="3262" t="s">
        <v>3262</v>
      </c>
      <c r="DD780" s="3262" t="s">
        <v>3262</v>
      </c>
      <c r="DE780" s="3262" t="s">
        <v>3262</v>
      </c>
      <c r="DF780" s="3262" t="s">
        <v>3262</v>
      </c>
      <c r="DG780" s="3262" t="s">
        <v>3262</v>
      </c>
      <c r="DH780" s="3262" t="s">
        <v>3262</v>
      </c>
      <c r="DI780" s="3262" t="s">
        <v>3262</v>
      </c>
      <c r="DJ780" s="3262" t="s">
        <v>3262</v>
      </c>
      <c r="DK780" s="3262" t="s">
        <v>3262</v>
      </c>
      <c r="DL780" s="3262" t="s">
        <v>3262</v>
      </c>
      <c r="DM780" s="3262" t="s">
        <v>3262</v>
      </c>
      <c r="DN780" s="3262" t="s">
        <v>3262</v>
      </c>
      <c r="DO780" s="3262" t="s">
        <v>3262</v>
      </c>
      <c r="DP780" s="3262" t="s">
        <v>3262</v>
      </c>
      <c r="DQ780" s="3262" t="s">
        <v>3262</v>
      </c>
      <c r="DR780" s="3262" t="s">
        <v>3262</v>
      </c>
      <c r="DS780" s="3262" t="s">
        <v>3262</v>
      </c>
      <c r="DT780" s="3262" t="s">
        <v>3262</v>
      </c>
      <c r="DU780" s="3262" t="s">
        <v>3262</v>
      </c>
      <c r="DV780" s="3262" t="s">
        <v>3262</v>
      </c>
      <c r="DW780" s="3262" t="s">
        <v>3262</v>
      </c>
      <c r="DX780" s="3262" t="s">
        <v>3262</v>
      </c>
      <c r="DY780" s="3262" t="s">
        <v>3262</v>
      </c>
      <c r="DZ780" s="3262" t="s">
        <v>3262</v>
      </c>
      <c r="EA780" s="3262" t="s">
        <v>3262</v>
      </c>
      <c r="EB780" s="3262" t="s">
        <v>3262</v>
      </c>
      <c r="EC780" s="3262" t="s">
        <v>3262</v>
      </c>
      <c r="ED780" s="3262" t="s">
        <v>3262</v>
      </c>
      <c r="EE780" s="3262" t="s">
        <v>3262</v>
      </c>
      <c r="EF780" s="3262" t="s">
        <v>3262</v>
      </c>
      <c r="EG780" s="3262" t="s">
        <v>3262</v>
      </c>
      <c r="EH780" s="3262" t="s">
        <v>3262</v>
      </c>
      <c r="EI780" s="3262" t="s">
        <v>3262</v>
      </c>
      <c r="EJ780" s="3262" t="s">
        <v>3262</v>
      </c>
      <c r="EK780" s="3262" t="s">
        <v>3262</v>
      </c>
      <c r="EL780" s="3262" t="s">
        <v>3262</v>
      </c>
      <c r="EM780" s="3262" t="s">
        <v>3262</v>
      </c>
      <c r="EN780" s="3262" t="s">
        <v>3262</v>
      </c>
      <c r="EO780" s="3262" t="s">
        <v>3262</v>
      </c>
      <c r="EP780" s="3262" t="s">
        <v>3262</v>
      </c>
      <c r="EQ780" s="3262" t="s">
        <v>3262</v>
      </c>
      <c r="ER780" s="3262" t="s">
        <v>3262</v>
      </c>
      <c r="ES780" s="3262" t="s">
        <v>3262</v>
      </c>
      <c r="ET780" s="3262" t="s">
        <v>3262</v>
      </c>
      <c r="EU780" s="3262" t="s">
        <v>3262</v>
      </c>
      <c r="EV780" s="3262" t="s">
        <v>3262</v>
      </c>
      <c r="EW780" s="3262" t="s">
        <v>3262</v>
      </c>
      <c r="EX780" s="3262" t="s">
        <v>3262</v>
      </c>
      <c r="EY780" s="3262" t="s">
        <v>3262</v>
      </c>
      <c r="EZ780" s="3262" t="s">
        <v>3262</v>
      </c>
      <c r="FA780" s="3262" t="s">
        <v>3262</v>
      </c>
      <c r="FB780" s="3262" t="s">
        <v>3262</v>
      </c>
      <c r="FC780" s="3262" t="s">
        <v>3262</v>
      </c>
      <c r="FD780" s="3262" t="s">
        <v>3262</v>
      </c>
      <c r="FE780" s="3262" t="s">
        <v>3262</v>
      </c>
      <c r="FF780" s="3262" t="s">
        <v>3262</v>
      </c>
      <c r="FG780" s="3262" t="s">
        <v>3262</v>
      </c>
      <c r="FH780" s="3262" t="s">
        <v>3262</v>
      </c>
      <c r="FI780" s="3262" t="s">
        <v>3262</v>
      </c>
      <c r="FJ780" s="3262" t="s">
        <v>3262</v>
      </c>
      <c r="FK780" s="3262" t="s">
        <v>3262</v>
      </c>
      <c r="FL780" s="3262" t="s">
        <v>3262</v>
      </c>
      <c r="FM780" s="3262" t="s">
        <v>3262</v>
      </c>
      <c r="FN780" s="3262" t="s">
        <v>3262</v>
      </c>
      <c r="FO780" s="3262" t="s">
        <v>3262</v>
      </c>
      <c r="FP780" s="3262" t="s">
        <v>3262</v>
      </c>
      <c r="FQ780" s="3262" t="s">
        <v>3262</v>
      </c>
      <c r="FR780" s="3262" t="s">
        <v>3262</v>
      </c>
      <c r="FS780" s="3262" t="s">
        <v>3262</v>
      </c>
      <c r="FT780" s="3262" t="s">
        <v>3262</v>
      </c>
      <c r="FU780" s="3262" t="s">
        <v>3262</v>
      </c>
      <c r="FV780" s="3262" t="s">
        <v>3262</v>
      </c>
      <c r="FW780" s="3262" t="s">
        <v>3262</v>
      </c>
      <c r="FX780" s="3262" t="s">
        <v>3262</v>
      </c>
      <c r="FY780" s="3262" t="s">
        <v>3262</v>
      </c>
      <c r="FZ780" s="3262" t="s">
        <v>3262</v>
      </c>
      <c r="GA780" s="3262" t="s">
        <v>3262</v>
      </c>
      <c r="GB780" s="3262" t="s">
        <v>3262</v>
      </c>
      <c r="GC780" s="3262" t="s">
        <v>3262</v>
      </c>
      <c r="GD780" s="3262" t="s">
        <v>3262</v>
      </c>
      <c r="GE780" s="3262" t="s">
        <v>3262</v>
      </c>
      <c r="GF780" s="3262" t="s">
        <v>3262</v>
      </c>
      <c r="GG780" s="3262" t="s">
        <v>3262</v>
      </c>
      <c r="GH780" s="3262" t="s">
        <v>3262</v>
      </c>
      <c r="GI780" s="3262" t="s">
        <v>3262</v>
      </c>
      <c r="GJ780" s="3262" t="s">
        <v>3262</v>
      </c>
      <c r="GK780" s="3262" t="s">
        <v>3262</v>
      </c>
      <c r="GL780" s="3262" t="s">
        <v>3262</v>
      </c>
      <c r="GM780" s="3262" t="s">
        <v>3262</v>
      </c>
      <c r="GN780" s="3262" t="s">
        <v>3262</v>
      </c>
      <c r="GO780" s="3262" t="s">
        <v>3262</v>
      </c>
      <c r="GP780" s="3262" t="s">
        <v>3262</v>
      </c>
      <c r="GQ780" s="3262" t="s">
        <v>3262</v>
      </c>
      <c r="GR780" s="3262" t="s">
        <v>3262</v>
      </c>
      <c r="GS780" s="3262" t="s">
        <v>3262</v>
      </c>
      <c r="GT780" s="3262" t="s">
        <v>3262</v>
      </c>
      <c r="GU780" s="3262" t="s">
        <v>3262</v>
      </c>
      <c r="GV780" s="3262" t="s">
        <v>3262</v>
      </c>
      <c r="GW780" s="3262" t="s">
        <v>3262</v>
      </c>
      <c r="GX780" s="3262" t="s">
        <v>3262</v>
      </c>
      <c r="GY780" s="3262" t="s">
        <v>3262</v>
      </c>
      <c r="GZ780" s="3262" t="s">
        <v>3262</v>
      </c>
      <c r="HA780" s="3262" t="s">
        <v>3262</v>
      </c>
      <c r="HB780" s="3262" t="s">
        <v>3262</v>
      </c>
      <c r="HC780" s="3262" t="s">
        <v>3262</v>
      </c>
      <c r="HD780" s="3262" t="s">
        <v>3262</v>
      </c>
      <c r="HE780" s="3262" t="s">
        <v>3262</v>
      </c>
      <c r="HF780" s="3262" t="s">
        <v>3262</v>
      </c>
      <c r="HG780" s="3262" t="s">
        <v>3262</v>
      </c>
      <c r="HH780" s="3262" t="s">
        <v>3262</v>
      </c>
      <c r="HI780" s="3262" t="s">
        <v>3262</v>
      </c>
      <c r="HJ780" s="3262" t="s">
        <v>3262</v>
      </c>
      <c r="HK780" s="3262" t="s">
        <v>3262</v>
      </c>
      <c r="HL780" s="3262" t="s">
        <v>3262</v>
      </c>
      <c r="HM780" s="3262" t="s">
        <v>3262</v>
      </c>
      <c r="HN780" s="3262" t="s">
        <v>3262</v>
      </c>
      <c r="HO780" s="3262" t="s">
        <v>3262</v>
      </c>
      <c r="HP780" s="3262" t="s">
        <v>3262</v>
      </c>
      <c r="HQ780" s="3262" t="s">
        <v>3262</v>
      </c>
      <c r="HR780" s="3262" t="s">
        <v>3262</v>
      </c>
      <c r="HS780" s="3262" t="s">
        <v>3262</v>
      </c>
      <c r="HT780" s="3262" t="s">
        <v>3262</v>
      </c>
      <c r="HU780" s="3262" t="s">
        <v>3262</v>
      </c>
      <c r="HV780" s="3262" t="s">
        <v>3262</v>
      </c>
      <c r="HW780" s="3262" t="s">
        <v>3262</v>
      </c>
      <c r="HX780" s="3262" t="s">
        <v>3262</v>
      </c>
      <c r="HY780" s="3262" t="s">
        <v>3262</v>
      </c>
      <c r="HZ780" s="3262" t="s">
        <v>3262</v>
      </c>
      <c r="IA780" s="3262" t="s">
        <v>3262</v>
      </c>
      <c r="IB780" s="3262" t="s">
        <v>3262</v>
      </c>
      <c r="IC780" s="3262" t="s">
        <v>3262</v>
      </c>
      <c r="ID780" s="3262" t="s">
        <v>3262</v>
      </c>
      <c r="IE780" s="3262" t="s">
        <v>3262</v>
      </c>
      <c r="IF780" s="3262" t="s">
        <v>3262</v>
      </c>
      <c r="IG780" s="3262" t="s">
        <v>3262</v>
      </c>
      <c r="IH780" s="3262" t="s">
        <v>3262</v>
      </c>
      <c r="II780" s="3262" t="s">
        <v>3262</v>
      </c>
      <c r="IJ780" s="3262" t="s">
        <v>3262</v>
      </c>
      <c r="IK780" s="3262" t="s">
        <v>3262</v>
      </c>
      <c r="IL780" s="3262" t="s">
        <v>3262</v>
      </c>
      <c r="IM780" s="3262" t="s">
        <v>3262</v>
      </c>
      <c r="IN780" s="3262" t="s">
        <v>3262</v>
      </c>
      <c r="IO780" s="3262" t="s">
        <v>3262</v>
      </c>
    </row>
    <row r="781" spans="1:249" hidden="1">
      <c r="A781" s="3267" t="s">
        <v>8460</v>
      </c>
      <c r="B781" s="3267" t="s">
        <v>8461</v>
      </c>
      <c r="C781" s="3269" t="s">
        <v>8462</v>
      </c>
      <c r="D781" s="3269" t="s">
        <v>8463</v>
      </c>
      <c r="E781" s="3267" t="s">
        <v>2985</v>
      </c>
      <c r="F781" s="3267" t="s">
        <v>8464</v>
      </c>
      <c r="G781" s="3267"/>
      <c r="H781" s="3267" t="s">
        <v>3130</v>
      </c>
      <c r="I781" s="3267" t="s">
        <v>5828</v>
      </c>
      <c r="J781" s="3267" t="s">
        <v>8465</v>
      </c>
      <c r="K781" s="3267" t="s">
        <v>8461</v>
      </c>
      <c r="L781" s="3267">
        <v>113.63</v>
      </c>
      <c r="M781" s="3267">
        <v>20</v>
      </c>
      <c r="N781" s="3267" t="s">
        <v>3122</v>
      </c>
      <c r="O781" s="3267">
        <v>89.86</v>
      </c>
      <c r="P781" s="3267" t="s">
        <v>2963</v>
      </c>
      <c r="Q781" s="3267">
        <v>1100000</v>
      </c>
      <c r="R781" s="3288">
        <v>9681</v>
      </c>
      <c r="S781" s="3272">
        <v>82.49</v>
      </c>
      <c r="T781" s="3273">
        <v>824900</v>
      </c>
      <c r="U781" s="3267">
        <v>7260</v>
      </c>
      <c r="V781" s="3289">
        <v>0.3</v>
      </c>
      <c r="W781" s="3272">
        <v>57.74</v>
      </c>
      <c r="X781" s="3273">
        <v>577400</v>
      </c>
      <c r="Y781" s="3267">
        <v>2006</v>
      </c>
      <c r="Z781" s="3276">
        <v>10</v>
      </c>
      <c r="AA781" s="3276">
        <v>9</v>
      </c>
      <c r="AB781" s="3267">
        <v>1500</v>
      </c>
      <c r="AC781" s="3267" t="s">
        <v>2980</v>
      </c>
      <c r="AD781" s="3267" t="s">
        <v>8466</v>
      </c>
      <c r="AE781" s="3279" t="s">
        <v>3245</v>
      </c>
      <c r="AF781" s="3267" t="s">
        <v>2966</v>
      </c>
      <c r="AG781" s="3267" t="s">
        <v>2967</v>
      </c>
      <c r="AH781" s="3267"/>
      <c r="AI781" s="3279" t="s">
        <v>2992</v>
      </c>
      <c r="AJ781" s="3267"/>
      <c r="AK781" s="3278" t="s">
        <v>3148</v>
      </c>
      <c r="AL781" s="3267">
        <v>58</v>
      </c>
      <c r="AM781" s="3267" t="s">
        <v>8467</v>
      </c>
      <c r="AN781" s="3279" t="s">
        <v>3131</v>
      </c>
      <c r="AO781" s="3267" t="s">
        <v>2968</v>
      </c>
      <c r="AP781" s="3279" t="s">
        <v>3305</v>
      </c>
      <c r="AQ781" s="3267" t="s">
        <v>3228</v>
      </c>
      <c r="AR781" s="3267"/>
      <c r="AS781" s="3267"/>
      <c r="AT781" s="3267"/>
      <c r="AU781" s="3267"/>
      <c r="AV781" s="3267"/>
      <c r="AW781" s="3267" t="s">
        <v>3119</v>
      </c>
      <c r="AX781" s="3267"/>
      <c r="AY781" s="3267"/>
      <c r="AZ781" s="3267" t="s">
        <v>8468</v>
      </c>
      <c r="BA781" s="3267"/>
      <c r="BB781" s="3267"/>
      <c r="BC781" s="3267"/>
      <c r="BD781" s="3267"/>
      <c r="BE781" s="3267"/>
      <c r="BF781" s="3281"/>
      <c r="BG781" s="3284">
        <v>38972</v>
      </c>
      <c r="BH781" s="3354" t="s">
        <v>2998</v>
      </c>
      <c r="BI781" s="3314" t="s">
        <v>3305</v>
      </c>
      <c r="BJ781" s="3284">
        <v>38975</v>
      </c>
      <c r="BK781" s="3267"/>
      <c r="BL781" s="3267" t="s">
        <v>3249</v>
      </c>
      <c r="BM781" s="3267" t="s">
        <v>2879</v>
      </c>
      <c r="BN781" s="3267" t="s">
        <v>3111</v>
      </c>
      <c r="BO781" s="3267" t="s">
        <v>8469</v>
      </c>
      <c r="BP781" s="3267"/>
      <c r="BQ781" s="3276">
        <v>9180</v>
      </c>
      <c r="BR781" s="3276">
        <v>12241</v>
      </c>
      <c r="BS781" s="3285"/>
      <c r="BT781" s="3285"/>
      <c r="BU781" s="3285"/>
    </row>
    <row r="782" spans="1:249" hidden="1">
      <c r="A782" s="3267" t="s">
        <v>8470</v>
      </c>
      <c r="B782" s="3267" t="s">
        <v>8471</v>
      </c>
      <c r="C782" s="3269" t="s">
        <v>8472</v>
      </c>
      <c r="D782" s="3269" t="s">
        <v>8473</v>
      </c>
      <c r="E782" s="3267" t="s">
        <v>2985</v>
      </c>
      <c r="F782" s="3308" t="s">
        <v>7622</v>
      </c>
      <c r="G782" s="3267"/>
      <c r="H782" s="3268" t="s">
        <v>3150</v>
      </c>
      <c r="I782" s="3268"/>
      <c r="J782" s="3269" t="s">
        <v>3189</v>
      </c>
      <c r="K782" s="3267" t="s">
        <v>8474</v>
      </c>
      <c r="L782" s="3267">
        <v>46.2</v>
      </c>
      <c r="M782" s="3267">
        <v>1</v>
      </c>
      <c r="N782" s="3267" t="s">
        <v>3535</v>
      </c>
      <c r="O782" s="3267">
        <v>35.229999999999997</v>
      </c>
      <c r="P782" s="3267" t="s">
        <v>2963</v>
      </c>
      <c r="Q782" s="3271">
        <v>385000</v>
      </c>
      <c r="R782" s="3267">
        <v>8333</v>
      </c>
      <c r="S782" s="3272">
        <v>29.1</v>
      </c>
      <c r="T782" s="3273">
        <v>291000</v>
      </c>
      <c r="U782" s="3267">
        <v>6300</v>
      </c>
      <c r="V782" s="3289">
        <v>0.2</v>
      </c>
      <c r="W782" s="3272">
        <v>23.28</v>
      </c>
      <c r="X782" s="3275">
        <v>232800</v>
      </c>
      <c r="Y782" s="3276">
        <v>2006</v>
      </c>
      <c r="Z782" s="3276">
        <v>10</v>
      </c>
      <c r="AA782" s="3276">
        <v>13</v>
      </c>
      <c r="AB782" s="3267">
        <v>870</v>
      </c>
      <c r="AC782" s="3267" t="s">
        <v>2980</v>
      </c>
      <c r="AD782" s="3269" t="s">
        <v>8475</v>
      </c>
      <c r="AE782" s="3279" t="s">
        <v>3245</v>
      </c>
      <c r="AF782" s="3268" t="s">
        <v>2966</v>
      </c>
      <c r="AG782" s="3279" t="s">
        <v>2967</v>
      </c>
      <c r="AH782" s="3267" t="s">
        <v>2968</v>
      </c>
      <c r="AI782" s="3279" t="s">
        <v>2992</v>
      </c>
      <c r="AJ782" s="3284"/>
      <c r="AK782" s="3316" t="s">
        <v>3148</v>
      </c>
      <c r="AL782" s="3276">
        <v>58</v>
      </c>
      <c r="AM782" s="3276"/>
      <c r="AN782" s="3276" t="s">
        <v>3131</v>
      </c>
      <c r="AO782" s="3276"/>
      <c r="AP782" s="3276" t="s">
        <v>3239</v>
      </c>
      <c r="AQ782" s="3267" t="s">
        <v>3228</v>
      </c>
      <c r="AR782" s="3276">
        <v>2006</v>
      </c>
      <c r="AS782" s="3276">
        <v>10</v>
      </c>
      <c r="AT782" s="3276">
        <v>13</v>
      </c>
      <c r="AU782" s="3276"/>
      <c r="AV782" s="3276"/>
      <c r="AW782" s="3276" t="s">
        <v>3119</v>
      </c>
      <c r="AX782" s="3268"/>
      <c r="AY782" s="3291"/>
      <c r="AZ782" s="3276" t="s">
        <v>8474</v>
      </c>
      <c r="BA782" s="3276"/>
      <c r="BB782" s="3291"/>
      <c r="BC782" s="3276"/>
      <c r="BD782" s="3292"/>
      <c r="BE782" s="3276">
        <v>13311306775</v>
      </c>
      <c r="BF782" s="3281"/>
      <c r="BG782" s="3299">
        <v>38973</v>
      </c>
      <c r="BH782" s="3276" t="s">
        <v>2998</v>
      </c>
      <c r="BI782" s="3276" t="s">
        <v>3239</v>
      </c>
      <c r="BJ782" s="3299">
        <v>38975</v>
      </c>
      <c r="BK782" s="3299"/>
      <c r="BL782" s="3267" t="s">
        <v>3249</v>
      </c>
      <c r="BM782" s="3276" t="s">
        <v>2879</v>
      </c>
      <c r="BN782" s="3276" t="s">
        <v>2999</v>
      </c>
      <c r="BO782" s="3276" t="s">
        <v>3146</v>
      </c>
      <c r="BP782" s="3276"/>
      <c r="BQ782" s="3276">
        <v>8260</v>
      </c>
      <c r="BR782" s="3276">
        <v>10928</v>
      </c>
      <c r="BS782" s="3285"/>
      <c r="BT782" s="3285"/>
      <c r="BU782" s="3285"/>
    </row>
    <row r="783" spans="1:249" hidden="1">
      <c r="A783" s="3267" t="s">
        <v>8476</v>
      </c>
      <c r="B783" s="3267" t="s">
        <v>8477</v>
      </c>
      <c r="C783" s="3269" t="s">
        <v>8478</v>
      </c>
      <c r="D783" s="3269" t="s">
        <v>8479</v>
      </c>
      <c r="E783" s="3268" t="s">
        <v>2985</v>
      </c>
      <c r="F783" s="3268" t="s">
        <v>3813</v>
      </c>
      <c r="G783" s="3267" t="s">
        <v>3262</v>
      </c>
      <c r="H783" s="3267" t="s">
        <v>4597</v>
      </c>
      <c r="I783" s="3268"/>
      <c r="J783" s="3267" t="s">
        <v>3858</v>
      </c>
      <c r="K783" s="3267" t="s">
        <v>8480</v>
      </c>
      <c r="L783" s="3267">
        <v>71.59</v>
      </c>
      <c r="M783" s="3267">
        <v>4</v>
      </c>
      <c r="N783" s="3267" t="s">
        <v>3152</v>
      </c>
      <c r="O783" s="3267">
        <v>55.02</v>
      </c>
      <c r="P783" s="3267" t="s">
        <v>2963</v>
      </c>
      <c r="Q783" s="3271">
        <v>530000</v>
      </c>
      <c r="R783" s="3267">
        <v>7403</v>
      </c>
      <c r="S783" s="3272">
        <v>44.6</v>
      </c>
      <c r="T783" s="3273">
        <v>446000</v>
      </c>
      <c r="U783" s="3267">
        <v>6230</v>
      </c>
      <c r="V783" s="3289">
        <v>0.2</v>
      </c>
      <c r="W783" s="3272">
        <v>35.68</v>
      </c>
      <c r="X783" s="3275">
        <v>356800</v>
      </c>
      <c r="Y783" s="3276">
        <v>2006</v>
      </c>
      <c r="Z783" s="3276">
        <v>10</v>
      </c>
      <c r="AA783" s="3276">
        <v>12</v>
      </c>
      <c r="AB783" s="3267">
        <v>1335</v>
      </c>
      <c r="AC783" s="3267" t="s">
        <v>2980</v>
      </c>
      <c r="AD783" s="3280" t="s">
        <v>8481</v>
      </c>
      <c r="AE783" s="3279" t="s">
        <v>3245</v>
      </c>
      <c r="AF783" s="3268" t="s">
        <v>2966</v>
      </c>
      <c r="AG783" s="3279" t="s">
        <v>2967</v>
      </c>
      <c r="AH783" s="3267" t="s">
        <v>3262</v>
      </c>
      <c r="AI783" s="3279" t="s">
        <v>2992</v>
      </c>
      <c r="AJ783" s="3284" t="s">
        <v>3262</v>
      </c>
      <c r="AK783" s="3278" t="s">
        <v>3148</v>
      </c>
      <c r="AL783" s="3276">
        <v>54</v>
      </c>
      <c r="AM783" s="3267"/>
      <c r="AN783" s="3279" t="s">
        <v>3131</v>
      </c>
      <c r="AO783" s="3267"/>
      <c r="AP783" s="3279" t="s">
        <v>3239</v>
      </c>
      <c r="AQ783" s="3267" t="s">
        <v>3228</v>
      </c>
      <c r="AR783" s="3276">
        <v>2006</v>
      </c>
      <c r="AS783" s="3276">
        <v>10</v>
      </c>
      <c r="AT783" s="3276">
        <v>12</v>
      </c>
      <c r="AU783" s="3276" t="s">
        <v>3262</v>
      </c>
      <c r="AV783" s="3276" t="s">
        <v>3262</v>
      </c>
      <c r="AW783" s="3276" t="s">
        <v>2997</v>
      </c>
      <c r="AX783" s="3276" t="s">
        <v>3262</v>
      </c>
      <c r="AY783" s="3291" t="s">
        <v>3262</v>
      </c>
      <c r="AZ783" s="3267" t="s">
        <v>8480</v>
      </c>
      <c r="BA783" s="3296" t="s">
        <v>3262</v>
      </c>
      <c r="BB783" s="3297" t="s">
        <v>3262</v>
      </c>
      <c r="BC783" s="3296" t="s">
        <v>3262</v>
      </c>
      <c r="BD783" s="3298" t="s">
        <v>3262</v>
      </c>
      <c r="BE783" s="3276" t="s">
        <v>3262</v>
      </c>
      <c r="BF783" s="3281" t="s">
        <v>3262</v>
      </c>
      <c r="BG783" s="3293">
        <v>38973</v>
      </c>
      <c r="BH783" s="3267" t="s">
        <v>2998</v>
      </c>
      <c r="BI783" s="3279" t="s">
        <v>3239</v>
      </c>
      <c r="BJ783" s="3283">
        <v>38975</v>
      </c>
      <c r="BK783" s="3283" t="s">
        <v>3262</v>
      </c>
      <c r="BL783" s="3267" t="s">
        <v>3249</v>
      </c>
      <c r="BM783" s="3276" t="s">
        <v>2879</v>
      </c>
      <c r="BN783" s="3276" t="s">
        <v>2999</v>
      </c>
      <c r="BO783" s="3276" t="s">
        <v>3146</v>
      </c>
      <c r="BP783" s="3276"/>
      <c r="BQ783" s="3276">
        <v>8106</v>
      </c>
      <c r="BR783" s="3276">
        <v>9633</v>
      </c>
      <c r="BS783" s="3285"/>
      <c r="BT783" s="3285"/>
      <c r="BU783" s="3285"/>
    </row>
    <row r="784" spans="1:249" hidden="1">
      <c r="A784" s="3267" t="s">
        <v>8482</v>
      </c>
      <c r="B784" s="3267" t="s">
        <v>8483</v>
      </c>
      <c r="C784" s="3269" t="s">
        <v>8484</v>
      </c>
      <c r="D784" s="3269" t="s">
        <v>8485</v>
      </c>
      <c r="E784" s="3267" t="s">
        <v>2985</v>
      </c>
      <c r="F784" s="3267" t="s">
        <v>3998</v>
      </c>
      <c r="G784" s="3267"/>
      <c r="H784" s="3267" t="s">
        <v>3999</v>
      </c>
      <c r="I784" s="3267"/>
      <c r="J784" s="3269" t="s">
        <v>8486</v>
      </c>
      <c r="K784" s="3267" t="s">
        <v>8487</v>
      </c>
      <c r="L784" s="3267">
        <v>80.31</v>
      </c>
      <c r="M784" s="3267">
        <v>11</v>
      </c>
      <c r="N784" s="3267" t="s">
        <v>3125</v>
      </c>
      <c r="O784" s="3267"/>
      <c r="P784" s="3267" t="s">
        <v>2963</v>
      </c>
      <c r="Q784" s="3271">
        <v>740000</v>
      </c>
      <c r="R784" s="3267">
        <v>9214</v>
      </c>
      <c r="S784" s="3272">
        <v>60.45</v>
      </c>
      <c r="T784" s="3273">
        <v>604500</v>
      </c>
      <c r="U784" s="3267">
        <v>7528</v>
      </c>
      <c r="V784" s="3289">
        <v>0.2</v>
      </c>
      <c r="W784" s="3272">
        <v>48.36</v>
      </c>
      <c r="X784" s="3275">
        <v>483600</v>
      </c>
      <c r="Y784" s="3276">
        <v>2006</v>
      </c>
      <c r="Z784" s="3276">
        <v>9</v>
      </c>
      <c r="AA784" s="3276">
        <v>26</v>
      </c>
      <c r="AB784" s="3267">
        <v>1500</v>
      </c>
      <c r="AC784" s="3267" t="s">
        <v>2980</v>
      </c>
      <c r="AD784" s="3269" t="s">
        <v>8488</v>
      </c>
      <c r="AE784" s="3267" t="s">
        <v>3069</v>
      </c>
      <c r="AF784" s="3267" t="s">
        <v>2966</v>
      </c>
      <c r="AG784" s="3267" t="s">
        <v>2967</v>
      </c>
      <c r="AH784" s="3267"/>
      <c r="AI784" s="3267" t="s">
        <v>2992</v>
      </c>
      <c r="AJ784" s="3284"/>
      <c r="AK784" s="3278" t="s">
        <v>3154</v>
      </c>
      <c r="AL784" s="3267" t="s">
        <v>8489</v>
      </c>
      <c r="AM784" s="3267" t="s">
        <v>8490</v>
      </c>
      <c r="AN784" s="3279" t="s">
        <v>3099</v>
      </c>
      <c r="AO784" s="3276"/>
      <c r="AP784" s="3267" t="s">
        <v>3069</v>
      </c>
      <c r="AQ784" s="3267" t="s">
        <v>3228</v>
      </c>
      <c r="AR784" s="3276">
        <v>2006</v>
      </c>
      <c r="AS784" s="3276">
        <v>9</v>
      </c>
      <c r="AT784" s="3276">
        <v>26</v>
      </c>
      <c r="AU784" s="3276"/>
      <c r="AV784" s="3276"/>
      <c r="AW784" s="3276" t="s">
        <v>3171</v>
      </c>
      <c r="AX784" s="3276"/>
      <c r="AY784" s="3291"/>
      <c r="AZ784" s="3267" t="s">
        <v>8487</v>
      </c>
      <c r="BA784" s="3276"/>
      <c r="BB784" s="3291"/>
      <c r="BC784" s="3276"/>
      <c r="BD784" s="3292"/>
      <c r="BE784" s="3276"/>
      <c r="BF784" s="3281"/>
      <c r="BG784" s="3299">
        <v>38975</v>
      </c>
      <c r="BH784" s="3276"/>
      <c r="BI784" s="3267" t="s">
        <v>3069</v>
      </c>
      <c r="BJ784" s="3299">
        <v>38978</v>
      </c>
      <c r="BK784" s="3283"/>
      <c r="BL784" s="3276" t="s">
        <v>2998</v>
      </c>
      <c r="BM784" s="3276" t="s">
        <v>2879</v>
      </c>
      <c r="BN784" s="3276" t="s">
        <v>2999</v>
      </c>
      <c r="BO784" s="3276" t="s">
        <v>3146</v>
      </c>
      <c r="BP784" s="3276"/>
      <c r="BQ784" s="3276"/>
      <c r="BR784" s="3276"/>
      <c r="BS784" s="3285"/>
      <c r="BT784" s="3285"/>
      <c r="BU784" s="3285"/>
    </row>
    <row r="785" spans="1:16384" hidden="1">
      <c r="A785" s="3267" t="s">
        <v>8491</v>
      </c>
      <c r="B785" s="3267" t="s">
        <v>8492</v>
      </c>
      <c r="C785" s="3269" t="s">
        <v>8493</v>
      </c>
      <c r="D785" s="3269" t="s">
        <v>8494</v>
      </c>
      <c r="E785" s="3268" t="s">
        <v>2985</v>
      </c>
      <c r="F785" s="3268" t="s">
        <v>4786</v>
      </c>
      <c r="G785" s="3267"/>
      <c r="H785" s="3267" t="s">
        <v>4724</v>
      </c>
      <c r="I785" s="3268"/>
      <c r="J785" s="3267" t="s">
        <v>3565</v>
      </c>
      <c r="K785" s="3267" t="s">
        <v>8492</v>
      </c>
      <c r="L785" s="3267">
        <v>123.52</v>
      </c>
      <c r="M785" s="3267">
        <v>20</v>
      </c>
      <c r="N785" s="3267" t="s">
        <v>3395</v>
      </c>
      <c r="O785" s="3267">
        <v>103.48</v>
      </c>
      <c r="P785" s="3267" t="s">
        <v>2963</v>
      </c>
      <c r="Q785" s="3271">
        <v>620000</v>
      </c>
      <c r="R785" s="3288">
        <v>5019</v>
      </c>
      <c r="S785" s="3272">
        <v>79.69</v>
      </c>
      <c r="T785" s="3273">
        <v>796900</v>
      </c>
      <c r="U785" s="3267">
        <v>6452</v>
      </c>
      <c r="V785" s="3289">
        <v>0.3</v>
      </c>
      <c r="W785" s="3272">
        <v>55.78</v>
      </c>
      <c r="X785" s="3273">
        <v>557800</v>
      </c>
      <c r="Y785" s="3267">
        <v>2006</v>
      </c>
      <c r="Z785" s="3276">
        <v>10</v>
      </c>
      <c r="AA785" s="3276">
        <v>20</v>
      </c>
      <c r="AB785" s="3267">
        <v>1500</v>
      </c>
      <c r="AC785" s="3267" t="s">
        <v>2980</v>
      </c>
      <c r="AD785" s="3280" t="s">
        <v>8495</v>
      </c>
      <c r="AE785" s="3279" t="s">
        <v>3245</v>
      </c>
      <c r="AF785" s="3268" t="s">
        <v>2966</v>
      </c>
      <c r="AG785" s="3279" t="s">
        <v>2967</v>
      </c>
      <c r="AH785" s="3267"/>
      <c r="AI785" s="3279" t="s">
        <v>2992</v>
      </c>
      <c r="AJ785" s="3284"/>
      <c r="AK785" s="3278" t="s">
        <v>3148</v>
      </c>
      <c r="AL785" s="3276">
        <v>54</v>
      </c>
      <c r="AM785" s="3267" t="s">
        <v>8496</v>
      </c>
      <c r="AN785" s="3279" t="s">
        <v>3140</v>
      </c>
      <c r="AO785" s="3267"/>
      <c r="AP785" s="3279" t="s">
        <v>3305</v>
      </c>
      <c r="AQ785" s="3267" t="s">
        <v>3228</v>
      </c>
      <c r="AR785" s="3276"/>
      <c r="AS785" s="3276"/>
      <c r="AT785" s="3276"/>
      <c r="AU785" s="3276"/>
      <c r="AV785" s="3276"/>
      <c r="AW785" s="3276" t="s">
        <v>2997</v>
      </c>
      <c r="AX785" s="3276"/>
      <c r="AY785" s="3291"/>
      <c r="AZ785" s="3267" t="s">
        <v>8497</v>
      </c>
      <c r="BA785" s="3296"/>
      <c r="BB785" s="3297"/>
      <c r="BC785" s="3296"/>
      <c r="BD785" s="3298"/>
      <c r="BE785" s="3276">
        <v>13910930122</v>
      </c>
      <c r="BF785" s="3281"/>
      <c r="BG785" s="3293">
        <v>38978</v>
      </c>
      <c r="BH785" s="3354" t="s">
        <v>2998</v>
      </c>
      <c r="BI785" s="3314" t="s">
        <v>3305</v>
      </c>
      <c r="BJ785" s="3283">
        <v>38978</v>
      </c>
      <c r="BK785" s="3283"/>
      <c r="BL785" s="3267" t="s">
        <v>3249</v>
      </c>
      <c r="BM785" s="3276" t="s">
        <v>2879</v>
      </c>
      <c r="BN785" s="3276" t="s">
        <v>2999</v>
      </c>
      <c r="BO785" s="3276" t="s">
        <v>3146</v>
      </c>
      <c r="BP785" s="3276"/>
      <c r="BQ785" s="3276">
        <v>7701</v>
      </c>
      <c r="BR785" s="3276">
        <v>5991</v>
      </c>
      <c r="BS785" s="3285"/>
      <c r="BT785" s="3285"/>
      <c r="BU785" s="3285"/>
    </row>
    <row r="786" spans="1:16384" hidden="1">
      <c r="A786" s="3267" t="s">
        <v>8498</v>
      </c>
      <c r="B786" s="3267" t="s">
        <v>8499</v>
      </c>
      <c r="C786" s="3269" t="s">
        <v>8500</v>
      </c>
      <c r="D786" s="3269" t="s">
        <v>8501</v>
      </c>
      <c r="E786" s="3268" t="s">
        <v>2985</v>
      </c>
      <c r="F786" s="3268" t="s">
        <v>8502</v>
      </c>
      <c r="G786" s="3267"/>
      <c r="H786" s="3267" t="s">
        <v>8503</v>
      </c>
      <c r="I786" s="3268" t="s">
        <v>3190</v>
      </c>
      <c r="J786" s="3267" t="s">
        <v>8504</v>
      </c>
      <c r="K786" s="3267" t="s">
        <v>8505</v>
      </c>
      <c r="L786" s="3267">
        <v>63.29</v>
      </c>
      <c r="M786" s="3267">
        <v>3</v>
      </c>
      <c r="N786" s="3267" t="s">
        <v>3122</v>
      </c>
      <c r="O786" s="3267"/>
      <c r="P786" s="3267" t="s">
        <v>2963</v>
      </c>
      <c r="Q786" s="3271">
        <v>330000</v>
      </c>
      <c r="R786" s="3267">
        <v>5214</v>
      </c>
      <c r="S786" s="3272">
        <v>32</v>
      </c>
      <c r="T786" s="3273">
        <v>320000</v>
      </c>
      <c r="U786" s="3267">
        <v>5057</v>
      </c>
      <c r="V786" s="3289">
        <v>0.2</v>
      </c>
      <c r="W786" s="3272">
        <v>25.6</v>
      </c>
      <c r="X786" s="3275">
        <v>256000</v>
      </c>
      <c r="Y786" s="3276">
        <v>2006</v>
      </c>
      <c r="Z786" s="3276">
        <v>9</v>
      </c>
      <c r="AA786" s="3276">
        <v>30</v>
      </c>
      <c r="AB786" s="3267">
        <v>960</v>
      </c>
      <c r="AC786" s="3267" t="s">
        <v>2980</v>
      </c>
      <c r="AD786" s="3280" t="s">
        <v>8506</v>
      </c>
      <c r="AE786" s="3279" t="s">
        <v>3686</v>
      </c>
      <c r="AF786" s="3268" t="s">
        <v>2966</v>
      </c>
      <c r="AG786" s="3279" t="s">
        <v>2967</v>
      </c>
      <c r="AH786" s="3267"/>
      <c r="AI786" s="3279" t="s">
        <v>2992</v>
      </c>
      <c r="AJ786" s="3284"/>
      <c r="AK786" s="3278">
        <v>9</v>
      </c>
      <c r="AL786" s="3276">
        <v>36</v>
      </c>
      <c r="AM786" s="3267"/>
      <c r="AN786" s="3279" t="s">
        <v>3099</v>
      </c>
      <c r="AO786" s="3267"/>
      <c r="AP786" s="3279" t="s">
        <v>3305</v>
      </c>
      <c r="AQ786" s="3267" t="s">
        <v>3228</v>
      </c>
      <c r="AR786" s="3276"/>
      <c r="AS786" s="3276"/>
      <c r="AT786" s="3276"/>
      <c r="AU786" s="3276"/>
      <c r="AV786" s="3276"/>
      <c r="AW786" s="3276" t="s">
        <v>2997</v>
      </c>
      <c r="AX786" s="3276"/>
      <c r="AY786" s="3291"/>
      <c r="AZ786" s="3267" t="s">
        <v>8505</v>
      </c>
      <c r="BA786" s="3296"/>
      <c r="BB786" s="3297"/>
      <c r="BC786" s="3296"/>
      <c r="BD786" s="3296"/>
      <c r="BE786" s="3276">
        <v>13381202104</v>
      </c>
      <c r="BF786" s="3281"/>
      <c r="BG786" s="3293">
        <v>38973</v>
      </c>
      <c r="BH786" s="3267" t="s">
        <v>2998</v>
      </c>
      <c r="BI786" s="3314" t="s">
        <v>3305</v>
      </c>
      <c r="BJ786" s="3283">
        <v>38978</v>
      </c>
      <c r="BK786" s="3283"/>
      <c r="BL786" s="3267" t="s">
        <v>3249</v>
      </c>
      <c r="BM786" s="3276" t="s">
        <v>2999</v>
      </c>
      <c r="BN786" s="3276" t="s">
        <v>2879</v>
      </c>
      <c r="BO786" s="3276" t="s">
        <v>3000</v>
      </c>
      <c r="BP786" s="3276"/>
      <c r="BQ786" s="3276" t="e">
        <v>#DIV/0!</v>
      </c>
      <c r="BR786" s="3276" t="e">
        <v>#DIV/0!</v>
      </c>
      <c r="BS786" s="3285"/>
      <c r="BT786" s="3285"/>
      <c r="BU786" s="3285"/>
    </row>
    <row r="787" spans="1:16384" hidden="1">
      <c r="A787" s="3267" t="s">
        <v>8507</v>
      </c>
      <c r="B787" s="3267" t="s">
        <v>8508</v>
      </c>
      <c r="C787" s="3269" t="s">
        <v>8509</v>
      </c>
      <c r="D787" s="3268">
        <v>13581542583</v>
      </c>
      <c r="E787" s="3267" t="s">
        <v>2985</v>
      </c>
      <c r="F787" s="3267" t="s">
        <v>6227</v>
      </c>
      <c r="G787" s="3267"/>
      <c r="H787" s="3267" t="s">
        <v>3263</v>
      </c>
      <c r="I787" s="3267"/>
      <c r="J787" s="3268" t="s">
        <v>8510</v>
      </c>
      <c r="K787" s="3267" t="s">
        <v>8508</v>
      </c>
      <c r="L787" s="3300">
        <v>49.66</v>
      </c>
      <c r="M787" s="3267">
        <v>4</v>
      </c>
      <c r="N787" s="3268" t="s">
        <v>3122</v>
      </c>
      <c r="O787" s="3267"/>
      <c r="P787" s="3267" t="s">
        <v>2963</v>
      </c>
      <c r="Q787" s="3317">
        <v>385000</v>
      </c>
      <c r="R787" s="3267">
        <v>7753</v>
      </c>
      <c r="S787" s="3318">
        <v>30.09</v>
      </c>
      <c r="T787" s="3273">
        <v>300900</v>
      </c>
      <c r="U787" s="3317">
        <v>6061</v>
      </c>
      <c r="V787" s="3289">
        <v>0.2</v>
      </c>
      <c r="W787" s="3318">
        <v>24.07</v>
      </c>
      <c r="X787" s="3273">
        <v>240700</v>
      </c>
      <c r="Y787" s="3276">
        <v>2006</v>
      </c>
      <c r="Z787" s="3276">
        <v>9</v>
      </c>
      <c r="AA787" s="3276">
        <v>30</v>
      </c>
      <c r="AB787" s="3267">
        <v>900</v>
      </c>
      <c r="AC787" s="3267" t="s">
        <v>2980</v>
      </c>
      <c r="AD787" s="3373">
        <v>91302006091161</v>
      </c>
      <c r="AE787" s="3276" t="s">
        <v>3304</v>
      </c>
      <c r="AF787" s="3267" t="s">
        <v>2966</v>
      </c>
      <c r="AG787" s="3267" t="s">
        <v>2967</v>
      </c>
      <c r="AH787" s="3267"/>
      <c r="AI787" s="3267" t="s">
        <v>2992</v>
      </c>
      <c r="AJ787" s="3284"/>
      <c r="AK787" s="3278">
        <v>9</v>
      </c>
      <c r="AL787" s="3267">
        <v>27</v>
      </c>
      <c r="AM787" s="3267" t="s">
        <v>2968</v>
      </c>
      <c r="AN787" s="3276" t="s">
        <v>3099</v>
      </c>
      <c r="AO787" s="3267" t="s">
        <v>2968</v>
      </c>
      <c r="AP787" s="3276" t="s">
        <v>4532</v>
      </c>
      <c r="AQ787" s="3267" t="s">
        <v>3228</v>
      </c>
      <c r="AR787" s="3267">
        <v>2006</v>
      </c>
      <c r="AS787" s="3267">
        <v>9</v>
      </c>
      <c r="AT787" s="3276">
        <v>30</v>
      </c>
      <c r="AU787" s="3276"/>
      <c r="AV787" s="3267"/>
      <c r="AW787" s="3276" t="s">
        <v>3119</v>
      </c>
      <c r="AX787" s="3276"/>
      <c r="AY787" s="3291"/>
      <c r="AZ787" s="3276" t="s">
        <v>8511</v>
      </c>
      <c r="BA787" s="3276"/>
      <c r="BB787" s="3267"/>
      <c r="BC787" s="3267"/>
      <c r="BD787" s="3267"/>
      <c r="BE787" s="3267"/>
      <c r="BF787" s="3267"/>
      <c r="BG787" s="3283">
        <v>38968</v>
      </c>
      <c r="BH787" s="3269"/>
      <c r="BI787" s="3314" t="s">
        <v>4532</v>
      </c>
      <c r="BJ787" s="3283">
        <v>38978</v>
      </c>
      <c r="BK787" s="3284"/>
      <c r="BL787" s="3267" t="s">
        <v>2998</v>
      </c>
      <c r="BM787" s="3267" t="s">
        <v>3345</v>
      </c>
      <c r="BN787" s="3267" t="s">
        <v>2999</v>
      </c>
      <c r="BO787" s="3267" t="s">
        <v>3000</v>
      </c>
      <c r="BP787" s="3267"/>
      <c r="BQ787" s="3276" t="e">
        <v>#DIV/0!</v>
      </c>
      <c r="BR787" s="3276" t="e">
        <v>#DIV/0!</v>
      </c>
      <c r="BS787" s="3285"/>
      <c r="BT787" s="3285"/>
      <c r="BU787" s="3285"/>
    </row>
    <row r="788" spans="1:16384" hidden="1">
      <c r="A788" s="3268" t="s">
        <v>8512</v>
      </c>
      <c r="B788" s="3268" t="s">
        <v>8513</v>
      </c>
      <c r="C788" s="3269" t="s">
        <v>8514</v>
      </c>
      <c r="D788" s="3268">
        <v>13381270609</v>
      </c>
      <c r="E788" s="3268" t="s">
        <v>2985</v>
      </c>
      <c r="F788" s="3268" t="s">
        <v>4129</v>
      </c>
      <c r="G788" s="3268"/>
      <c r="H788" s="3268" t="s">
        <v>3402</v>
      </c>
      <c r="I788" s="3268" t="s">
        <v>3586</v>
      </c>
      <c r="J788" s="3268" t="s">
        <v>3123</v>
      </c>
      <c r="K788" s="3268" t="s">
        <v>8515</v>
      </c>
      <c r="L788" s="3270">
        <v>83.98</v>
      </c>
      <c r="M788" s="3270">
        <v>4</v>
      </c>
      <c r="N788" s="3268" t="s">
        <v>3125</v>
      </c>
      <c r="O788" s="3270" t="s">
        <v>2968</v>
      </c>
      <c r="P788" s="3268" t="s">
        <v>2963</v>
      </c>
      <c r="Q788" s="3271">
        <v>330000</v>
      </c>
      <c r="R788" s="3267">
        <v>3930</v>
      </c>
      <c r="S788" s="3272">
        <v>40.07</v>
      </c>
      <c r="T788" s="3273">
        <v>400700</v>
      </c>
      <c r="U788" s="3267">
        <v>4772</v>
      </c>
      <c r="V788" s="3289">
        <v>0.2</v>
      </c>
      <c r="W788" s="3272">
        <v>32.049999999999997</v>
      </c>
      <c r="X788" s="3275">
        <v>320500</v>
      </c>
      <c r="Y788" s="3276">
        <v>2006</v>
      </c>
      <c r="Z788" s="3276">
        <v>10</v>
      </c>
      <c r="AA788" s="3276">
        <v>17</v>
      </c>
      <c r="AB788" s="3267">
        <v>1200</v>
      </c>
      <c r="AC788" s="3267" t="s">
        <v>2980</v>
      </c>
      <c r="AD788" s="3280" t="s">
        <v>8516</v>
      </c>
      <c r="AE788" s="3276" t="s">
        <v>3069</v>
      </c>
      <c r="AF788" s="3268" t="s">
        <v>2966</v>
      </c>
      <c r="AG788" s="3268" t="s">
        <v>2967</v>
      </c>
      <c r="AH788" s="3268" t="s">
        <v>2968</v>
      </c>
      <c r="AI788" s="3279" t="s">
        <v>2992</v>
      </c>
      <c r="AJ788" s="3290" t="s">
        <v>2968</v>
      </c>
      <c r="AK788" s="3278" t="s">
        <v>3148</v>
      </c>
      <c r="AL788" s="3276" t="s">
        <v>8489</v>
      </c>
      <c r="AM788" s="3267" t="s">
        <v>8517</v>
      </c>
      <c r="AN788" s="3279" t="s">
        <v>3114</v>
      </c>
      <c r="AO788" s="3276"/>
      <c r="AP788" s="3276" t="s">
        <v>3069</v>
      </c>
      <c r="AQ788" s="3267" t="s">
        <v>3228</v>
      </c>
      <c r="AR788" s="3267">
        <v>2006</v>
      </c>
      <c r="AS788" s="3267">
        <v>10</v>
      </c>
      <c r="AT788" s="3267">
        <v>17</v>
      </c>
      <c r="AU788" s="3267"/>
      <c r="AV788" s="3277"/>
      <c r="AW788" s="3276" t="s">
        <v>3171</v>
      </c>
      <c r="AX788" s="3268"/>
      <c r="AY788" s="3268"/>
      <c r="AZ788" s="3268" t="s">
        <v>8515</v>
      </c>
      <c r="BA788" s="3268"/>
      <c r="BB788" s="3280"/>
      <c r="BC788" s="3268"/>
      <c r="BD788" s="3268"/>
      <c r="BE788" s="3268"/>
      <c r="BF788" s="3281"/>
      <c r="BG788" s="3307">
        <v>38978</v>
      </c>
      <c r="BH788" s="3268"/>
      <c r="BI788" s="3267" t="s">
        <v>3069</v>
      </c>
      <c r="BJ788" s="3299">
        <v>38979</v>
      </c>
      <c r="BK788" s="3284"/>
      <c r="BL788" s="3267" t="s">
        <v>2998</v>
      </c>
      <c r="BM788" s="3276" t="s">
        <v>2879</v>
      </c>
      <c r="BN788" s="3276" t="s">
        <v>3111</v>
      </c>
      <c r="BO788" s="3276" t="s">
        <v>3146</v>
      </c>
      <c r="BP788" s="3276"/>
      <c r="BQ788" s="3276" t="e">
        <v>#VALUE!</v>
      </c>
      <c r="BR788" s="3276" t="e">
        <v>#VALUE!</v>
      </c>
      <c r="BS788" s="3285"/>
      <c r="BT788" s="3285"/>
      <c r="BU788" s="3285"/>
    </row>
    <row r="789" spans="1:16384" hidden="1">
      <c r="A789" s="3268" t="s">
        <v>8518</v>
      </c>
      <c r="B789" s="3267" t="s">
        <v>8519</v>
      </c>
      <c r="C789" s="3269" t="s">
        <v>8520</v>
      </c>
      <c r="D789" s="3269" t="s">
        <v>8521</v>
      </c>
      <c r="E789" s="3267" t="s">
        <v>2985</v>
      </c>
      <c r="F789" s="3267" t="s">
        <v>4709</v>
      </c>
      <c r="G789" s="3267"/>
      <c r="H789" s="3267" t="s">
        <v>4253</v>
      </c>
      <c r="I789" s="3267"/>
      <c r="J789" s="3269" t="s">
        <v>6265</v>
      </c>
      <c r="K789" s="3267" t="s">
        <v>8522</v>
      </c>
      <c r="L789" s="3267">
        <v>79.569999999999993</v>
      </c>
      <c r="M789" s="3267">
        <v>3</v>
      </c>
      <c r="N789" s="3267" t="s">
        <v>3122</v>
      </c>
      <c r="O789" s="3267"/>
      <c r="P789" s="3267" t="s">
        <v>2963</v>
      </c>
      <c r="Q789" s="3271">
        <v>360000</v>
      </c>
      <c r="R789" s="3267">
        <v>4524</v>
      </c>
      <c r="S789" s="3272">
        <v>37.369999999999997</v>
      </c>
      <c r="T789" s="3273">
        <v>373700</v>
      </c>
      <c r="U789" s="3267">
        <v>4697</v>
      </c>
      <c r="V789" s="3289">
        <v>0.2</v>
      </c>
      <c r="W789" s="3272">
        <v>29.89</v>
      </c>
      <c r="X789" s="3275">
        <v>298900</v>
      </c>
      <c r="Y789" s="3276">
        <v>2006</v>
      </c>
      <c r="Z789" s="3276">
        <v>10</v>
      </c>
      <c r="AA789" s="3276">
        <v>10</v>
      </c>
      <c r="AB789" s="3267">
        <v>1120</v>
      </c>
      <c r="AC789" s="3267" t="s">
        <v>2980</v>
      </c>
      <c r="AD789" s="3280" t="s">
        <v>8523</v>
      </c>
      <c r="AE789" s="3276" t="s">
        <v>3069</v>
      </c>
      <c r="AF789" s="3267" t="s">
        <v>2966</v>
      </c>
      <c r="AG789" s="3279" t="s">
        <v>2967</v>
      </c>
      <c r="AH789" s="3267" t="s">
        <v>2968</v>
      </c>
      <c r="AI789" s="3279" t="s">
        <v>2992</v>
      </c>
      <c r="AJ789" s="3284" t="s">
        <v>2968</v>
      </c>
      <c r="AK789" s="3278" t="s">
        <v>3148</v>
      </c>
      <c r="AL789" s="3276" t="s">
        <v>5508</v>
      </c>
      <c r="AM789" s="3276"/>
      <c r="AN789" s="3279" t="s">
        <v>3140</v>
      </c>
      <c r="AO789" s="3276" t="s">
        <v>2968</v>
      </c>
      <c r="AP789" s="3276" t="s">
        <v>3069</v>
      </c>
      <c r="AQ789" s="3267" t="s">
        <v>3228</v>
      </c>
      <c r="AR789" s="3276">
        <v>2006</v>
      </c>
      <c r="AS789" s="3276">
        <v>10</v>
      </c>
      <c r="AT789" s="3276">
        <v>10</v>
      </c>
      <c r="AU789" s="3276"/>
      <c r="AV789" s="3276" t="s">
        <v>2968</v>
      </c>
      <c r="AW789" s="3276" t="s">
        <v>3171</v>
      </c>
      <c r="AX789" s="3276"/>
      <c r="AY789" s="3291"/>
      <c r="AZ789" s="3276" t="s">
        <v>8522</v>
      </c>
      <c r="BA789" s="3276"/>
      <c r="BB789" s="3291"/>
      <c r="BC789" s="3276"/>
      <c r="BD789" s="3292"/>
      <c r="BE789" s="3276"/>
      <c r="BF789" s="3281"/>
      <c r="BG789" s="3307">
        <v>38979</v>
      </c>
      <c r="BH789" s="3276"/>
      <c r="BI789" s="3267" t="s">
        <v>3069</v>
      </c>
      <c r="BJ789" s="3299">
        <v>38979</v>
      </c>
      <c r="BK789" s="3283"/>
      <c r="BL789" s="3267" t="s">
        <v>2998</v>
      </c>
      <c r="BM789" s="3276" t="s">
        <v>2879</v>
      </c>
      <c r="BN789" s="3276" t="s">
        <v>2999</v>
      </c>
      <c r="BO789" s="3276" t="s">
        <v>3146</v>
      </c>
      <c r="BP789" s="3276"/>
      <c r="BQ789" s="3276" t="e">
        <v>#DIV/0!</v>
      </c>
      <c r="BR789" s="3276" t="e">
        <v>#DIV/0!</v>
      </c>
      <c r="BS789" s="3285"/>
      <c r="BT789" s="3285"/>
      <c r="BU789" s="3285"/>
    </row>
    <row r="790" spans="1:16384" hidden="1">
      <c r="A790" s="3268" t="s">
        <v>8524</v>
      </c>
      <c r="B790" s="3267" t="s">
        <v>8525</v>
      </c>
      <c r="C790" s="3269" t="s">
        <v>8526</v>
      </c>
      <c r="D790" s="3269" t="s">
        <v>8527</v>
      </c>
      <c r="E790" s="3267" t="s">
        <v>2985</v>
      </c>
      <c r="F790" s="3268" t="s">
        <v>7860</v>
      </c>
      <c r="G790" s="3267"/>
      <c r="H790" s="3267" t="s">
        <v>4737</v>
      </c>
      <c r="I790" s="3267"/>
      <c r="J790" s="3267" t="s">
        <v>6385</v>
      </c>
      <c r="K790" s="3267" t="s">
        <v>8525</v>
      </c>
      <c r="L790" s="3267">
        <v>60.63</v>
      </c>
      <c r="M790" s="3267">
        <v>6</v>
      </c>
      <c r="N790" s="3267" t="s">
        <v>3122</v>
      </c>
      <c r="O790" s="3267"/>
      <c r="P790" s="3267" t="s">
        <v>2963</v>
      </c>
      <c r="Q790" s="3271">
        <v>525000</v>
      </c>
      <c r="R790" s="3267">
        <v>8659</v>
      </c>
      <c r="S790" s="3272">
        <v>46.29</v>
      </c>
      <c r="T790" s="3273">
        <v>462900</v>
      </c>
      <c r="U790" s="3267">
        <v>7636</v>
      </c>
      <c r="V790" s="3289">
        <v>0.2</v>
      </c>
      <c r="W790" s="3272">
        <v>37.03</v>
      </c>
      <c r="X790" s="3275">
        <v>370300</v>
      </c>
      <c r="Y790" s="3267">
        <v>2006</v>
      </c>
      <c r="Z790" s="3267">
        <v>10</v>
      </c>
      <c r="AA790" s="3276">
        <v>27</v>
      </c>
      <c r="AB790" s="3267">
        <v>1385</v>
      </c>
      <c r="AC790" s="3267" t="s">
        <v>2980</v>
      </c>
      <c r="AD790" s="3373">
        <v>91302006091326</v>
      </c>
      <c r="AE790" s="3267" t="s">
        <v>3487</v>
      </c>
      <c r="AF790" s="3267" t="s">
        <v>2966</v>
      </c>
      <c r="AG790" s="3267" t="s">
        <v>2967</v>
      </c>
      <c r="AH790" s="3267" t="s">
        <v>2968</v>
      </c>
      <c r="AI790" s="3279" t="s">
        <v>2992</v>
      </c>
      <c r="AJ790" s="3284"/>
      <c r="AK790" s="3278" t="s">
        <v>3148</v>
      </c>
      <c r="AL790" s="3276">
        <v>41</v>
      </c>
      <c r="AM790" s="3267" t="s">
        <v>8528</v>
      </c>
      <c r="AN790" s="3267" t="s">
        <v>3114</v>
      </c>
      <c r="AO790" s="3276" t="s">
        <v>2968</v>
      </c>
      <c r="AP790" s="3279" t="s">
        <v>3537</v>
      </c>
      <c r="AQ790" s="3267" t="s">
        <v>3228</v>
      </c>
      <c r="AR790" s="3276"/>
      <c r="AS790" s="3276"/>
      <c r="AT790" s="3276"/>
      <c r="AU790" s="3276"/>
      <c r="AV790" s="3276" t="s">
        <v>2968</v>
      </c>
      <c r="AW790" s="3276" t="s">
        <v>3171</v>
      </c>
      <c r="AX790" s="3276"/>
      <c r="AY790" s="3291"/>
      <c r="AZ790" s="3267" t="s">
        <v>8529</v>
      </c>
      <c r="BA790" s="3276"/>
      <c r="BB790" s="3291"/>
      <c r="BC790" s="3276"/>
      <c r="BD790" s="3292"/>
      <c r="BE790" s="3276"/>
      <c r="BF790" s="3281"/>
      <c r="BG790" s="3284">
        <v>38979</v>
      </c>
      <c r="BH790" s="3276"/>
      <c r="BI790" s="3267" t="s">
        <v>3537</v>
      </c>
      <c r="BJ790" s="3284">
        <v>38980</v>
      </c>
      <c r="BK790" s="3283"/>
      <c r="BL790" s="3267" t="s">
        <v>2998</v>
      </c>
      <c r="BM790" s="3267" t="s">
        <v>2879</v>
      </c>
      <c r="BN790" s="3276" t="s">
        <v>3111</v>
      </c>
      <c r="BO790" s="3267" t="s">
        <v>3146</v>
      </c>
      <c r="BP790" s="3268"/>
      <c r="BQ790" s="3276" t="e">
        <v>#DIV/0!</v>
      </c>
      <c r="BR790" s="3276" t="e">
        <v>#DIV/0!</v>
      </c>
      <c r="BS790" s="3285"/>
      <c r="BT790" s="3285"/>
      <c r="BU790" s="3285"/>
    </row>
    <row r="791" spans="1:16384" hidden="1">
      <c r="A791" s="3267" t="s">
        <v>8530</v>
      </c>
      <c r="B791" s="3267" t="s">
        <v>8531</v>
      </c>
      <c r="C791" s="3269" t="s">
        <v>8532</v>
      </c>
      <c r="D791" s="3269" t="s">
        <v>8533</v>
      </c>
      <c r="E791" s="3268" t="s">
        <v>2985</v>
      </c>
      <c r="F791" s="3268" t="s">
        <v>3777</v>
      </c>
      <c r="G791" s="3267"/>
      <c r="H791" s="3267" t="s">
        <v>3178</v>
      </c>
      <c r="I791" s="3268" t="s">
        <v>2968</v>
      </c>
      <c r="J791" s="3267" t="s">
        <v>8534</v>
      </c>
      <c r="K791" s="3267" t="s">
        <v>8531</v>
      </c>
      <c r="L791" s="3267">
        <v>57.25</v>
      </c>
      <c r="M791" s="3269">
        <v>2</v>
      </c>
      <c r="N791" s="3267" t="s">
        <v>3122</v>
      </c>
      <c r="O791" s="3267"/>
      <c r="P791" s="3267" t="s">
        <v>2963</v>
      </c>
      <c r="Q791" s="3271">
        <v>265000</v>
      </c>
      <c r="R791" s="3267">
        <v>4629</v>
      </c>
      <c r="S791" s="3272">
        <v>34.799999999999997</v>
      </c>
      <c r="T791" s="3273">
        <v>348000</v>
      </c>
      <c r="U791" s="3267">
        <v>6080</v>
      </c>
      <c r="V791" s="3289">
        <v>0.2</v>
      </c>
      <c r="W791" s="3272">
        <v>27.84</v>
      </c>
      <c r="X791" s="3275">
        <v>278400</v>
      </c>
      <c r="Y791" s="3276">
        <v>2006</v>
      </c>
      <c r="Z791" s="3276">
        <v>10</v>
      </c>
      <c r="AA791" s="3276">
        <v>19</v>
      </c>
      <c r="AB791" s="3267">
        <v>1040</v>
      </c>
      <c r="AC791" s="3267" t="s">
        <v>2980</v>
      </c>
      <c r="AD791" s="3269" t="s">
        <v>8535</v>
      </c>
      <c r="AE791" s="3279" t="s">
        <v>3344</v>
      </c>
      <c r="AF791" s="3268" t="s">
        <v>2966</v>
      </c>
      <c r="AG791" s="3279" t="s">
        <v>2967</v>
      </c>
      <c r="AH791" s="3267"/>
      <c r="AI791" s="3279" t="s">
        <v>2992</v>
      </c>
      <c r="AJ791" s="3284"/>
      <c r="AK791" s="3316" t="s">
        <v>3148</v>
      </c>
      <c r="AL791" s="3276">
        <v>38</v>
      </c>
      <c r="AM791" s="3267" t="s">
        <v>8536</v>
      </c>
      <c r="AN791" s="3276" t="s">
        <v>3140</v>
      </c>
      <c r="AO791" s="3267"/>
      <c r="AP791" s="3276" t="s">
        <v>3305</v>
      </c>
      <c r="AQ791" s="3267" t="s">
        <v>3228</v>
      </c>
      <c r="AR791" s="3276"/>
      <c r="AS791" s="3276"/>
      <c r="AT791" s="3276"/>
      <c r="AU791" s="3276"/>
      <c r="AV791" s="3276"/>
      <c r="AW791" s="3276" t="s">
        <v>2997</v>
      </c>
      <c r="AX791" s="3276"/>
      <c r="AY791" s="3291"/>
      <c r="AZ791" s="3267" t="s">
        <v>8537</v>
      </c>
      <c r="BA791" s="3296"/>
      <c r="BB791" s="3297"/>
      <c r="BC791" s="3296"/>
      <c r="BD791" s="3298"/>
      <c r="BE791" s="3276"/>
      <c r="BF791" s="3281"/>
      <c r="BG791" s="3293">
        <v>38974</v>
      </c>
      <c r="BH791" s="3267" t="s">
        <v>2998</v>
      </c>
      <c r="BI791" s="3276" t="s">
        <v>3305</v>
      </c>
      <c r="BJ791" s="3283">
        <v>38980</v>
      </c>
      <c r="BK791" s="3283"/>
      <c r="BL791" s="3267" t="s">
        <v>3249</v>
      </c>
      <c r="BM791" s="3276" t="s">
        <v>2879</v>
      </c>
      <c r="BN791" s="3276" t="s">
        <v>2999</v>
      </c>
      <c r="BO791" s="3276" t="s">
        <v>3146</v>
      </c>
      <c r="BP791" s="3276"/>
      <c r="BQ791" s="3276" t="e">
        <v>#DIV/0!</v>
      </c>
      <c r="BR791" s="3276" t="e">
        <v>#DIV/0!</v>
      </c>
      <c r="BS791" s="3285"/>
      <c r="BT791" s="3285"/>
      <c r="BU791" s="3285"/>
    </row>
    <row r="792" spans="1:16384" hidden="1">
      <c r="A792" s="3267" t="s">
        <v>8538</v>
      </c>
      <c r="B792" s="3267" t="s">
        <v>8539</v>
      </c>
      <c r="C792" s="3269" t="s">
        <v>8540</v>
      </c>
      <c r="D792" s="3269" t="s">
        <v>8541</v>
      </c>
      <c r="E792" s="3267" t="s">
        <v>2985</v>
      </c>
      <c r="F792" s="3267" t="s">
        <v>3324</v>
      </c>
      <c r="G792" s="3267"/>
      <c r="H792" s="3267" t="s">
        <v>3500</v>
      </c>
      <c r="I792" s="3267"/>
      <c r="J792" s="3267" t="s">
        <v>8542</v>
      </c>
      <c r="K792" s="3267" t="s">
        <v>8543</v>
      </c>
      <c r="L792" s="3267">
        <v>109.89</v>
      </c>
      <c r="M792" s="3267">
        <v>18</v>
      </c>
      <c r="N792" s="3267" t="s">
        <v>3116</v>
      </c>
      <c r="O792" s="3267"/>
      <c r="P792" s="3267" t="s">
        <v>2963</v>
      </c>
      <c r="Q792" s="3267">
        <v>745000</v>
      </c>
      <c r="R792" s="3288">
        <v>6780</v>
      </c>
      <c r="S792" s="3272">
        <v>69.53</v>
      </c>
      <c r="T792" s="3273">
        <v>695300</v>
      </c>
      <c r="U792" s="3267">
        <v>6328</v>
      </c>
      <c r="V792" s="3289">
        <v>0.3</v>
      </c>
      <c r="W792" s="3272">
        <v>48.67</v>
      </c>
      <c r="X792" s="3273">
        <v>486700</v>
      </c>
      <c r="Y792" s="3267">
        <v>2006</v>
      </c>
      <c r="Z792" s="3276">
        <v>9</v>
      </c>
      <c r="AA792" s="3276">
        <v>28</v>
      </c>
      <c r="AB792" s="3267">
        <v>1500</v>
      </c>
      <c r="AC792" s="3267" t="s">
        <v>2980</v>
      </c>
      <c r="AD792" s="3269" t="s">
        <v>8544</v>
      </c>
      <c r="AE792" s="3279" t="s">
        <v>3344</v>
      </c>
      <c r="AF792" s="3267" t="s">
        <v>2966</v>
      </c>
      <c r="AG792" s="3267" t="s">
        <v>2967</v>
      </c>
      <c r="AH792" s="3267" t="s">
        <v>2968</v>
      </c>
      <c r="AI792" s="3279" t="s">
        <v>2992</v>
      </c>
      <c r="AJ792" s="3267"/>
      <c r="AK792" s="3278">
        <v>9</v>
      </c>
      <c r="AL792" s="3267">
        <v>51</v>
      </c>
      <c r="AM792" s="3267"/>
      <c r="AN792" s="3279" t="s">
        <v>3099</v>
      </c>
      <c r="AO792" s="3267"/>
      <c r="AP792" s="3279" t="s">
        <v>3305</v>
      </c>
      <c r="AQ792" s="3267" t="s">
        <v>3228</v>
      </c>
      <c r="AR792" s="3267"/>
      <c r="AS792" s="3267"/>
      <c r="AT792" s="3267"/>
      <c r="AU792" s="3267"/>
      <c r="AV792" s="3267"/>
      <c r="AW792" s="3267" t="s">
        <v>2997</v>
      </c>
      <c r="AX792" s="3267"/>
      <c r="AY792" s="3267"/>
      <c r="AZ792" s="3267" t="s">
        <v>8543</v>
      </c>
      <c r="BA792" s="3267"/>
      <c r="BB792" s="3267"/>
      <c r="BC792" s="3267"/>
      <c r="BD792" s="3267"/>
      <c r="BE792" s="3267">
        <v>13601089570</v>
      </c>
      <c r="BF792" s="3281"/>
      <c r="BG792" s="3284">
        <v>38959</v>
      </c>
      <c r="BH792" s="3354" t="s">
        <v>2998</v>
      </c>
      <c r="BI792" s="3314" t="s">
        <v>3305</v>
      </c>
      <c r="BJ792" s="3284">
        <v>38980</v>
      </c>
      <c r="BK792" s="3267"/>
      <c r="BL792" s="3267" t="s">
        <v>3249</v>
      </c>
      <c r="BM792" s="3267" t="s">
        <v>2879</v>
      </c>
      <c r="BN792" s="3267" t="s">
        <v>2999</v>
      </c>
      <c r="BO792" s="3267" t="s">
        <v>3000</v>
      </c>
      <c r="BP792" s="3267"/>
      <c r="BQ792" s="3276" t="e">
        <v>#DIV/0!</v>
      </c>
      <c r="BR792" s="3276" t="e">
        <v>#DIV/0!</v>
      </c>
      <c r="BS792" s="3285"/>
      <c r="BT792" s="3285"/>
      <c r="BU792" s="3285"/>
    </row>
    <row r="793" spans="1:16384" hidden="1">
      <c r="A793" s="3267" t="s">
        <v>8545</v>
      </c>
      <c r="B793" s="3267" t="s">
        <v>8546</v>
      </c>
      <c r="C793" s="3269" t="s">
        <v>8547</v>
      </c>
      <c r="D793" s="3269" t="s">
        <v>8548</v>
      </c>
      <c r="E793" s="3268" t="s">
        <v>2985</v>
      </c>
      <c r="F793" s="3268" t="s">
        <v>3372</v>
      </c>
      <c r="G793" s="3267"/>
      <c r="H793" s="3267" t="s">
        <v>8549</v>
      </c>
      <c r="I793" s="3268" t="s">
        <v>3190</v>
      </c>
      <c r="J793" s="3267" t="s">
        <v>3512</v>
      </c>
      <c r="K793" s="3267" t="s">
        <v>8546</v>
      </c>
      <c r="L793" s="3267">
        <v>61.19</v>
      </c>
      <c r="M793" s="3267">
        <v>5</v>
      </c>
      <c r="N793" s="3267" t="s">
        <v>3122</v>
      </c>
      <c r="O793" s="3267"/>
      <c r="P793" s="3267" t="s">
        <v>2963</v>
      </c>
      <c r="Q793" s="3271">
        <v>470000</v>
      </c>
      <c r="R793" s="3267">
        <v>7681</v>
      </c>
      <c r="S793" s="3272">
        <v>38.409999999999997</v>
      </c>
      <c r="T793" s="3273">
        <v>384100</v>
      </c>
      <c r="U793" s="3267">
        <v>6278</v>
      </c>
      <c r="V793" s="3289">
        <v>0.2</v>
      </c>
      <c r="W793" s="3272">
        <v>30.72</v>
      </c>
      <c r="X793" s="3275">
        <v>307200</v>
      </c>
      <c r="Y793" s="3267">
        <v>2006</v>
      </c>
      <c r="Z793" s="3276">
        <v>10</v>
      </c>
      <c r="AA793" s="3276">
        <v>24</v>
      </c>
      <c r="AB793" s="3267">
        <v>1150</v>
      </c>
      <c r="AC793" s="3267" t="s">
        <v>2980</v>
      </c>
      <c r="AD793" s="3269" t="s">
        <v>8550</v>
      </c>
      <c r="AE793" s="3279" t="s">
        <v>3344</v>
      </c>
      <c r="AF793" s="3268" t="s">
        <v>2966</v>
      </c>
      <c r="AG793" s="3279" t="s">
        <v>2967</v>
      </c>
      <c r="AH793" s="3267"/>
      <c r="AI793" s="3279" t="s">
        <v>2992</v>
      </c>
      <c r="AJ793" s="3284"/>
      <c r="AK793" s="3278" t="s">
        <v>3148</v>
      </c>
      <c r="AL793" s="3276">
        <v>38</v>
      </c>
      <c r="AM793" s="3267" t="s">
        <v>8551</v>
      </c>
      <c r="AN793" s="3279" t="s">
        <v>3099</v>
      </c>
      <c r="AO793" s="3267"/>
      <c r="AP793" s="3279" t="s">
        <v>4230</v>
      </c>
      <c r="AQ793" s="3267" t="s">
        <v>3228</v>
      </c>
      <c r="AR793" s="3276"/>
      <c r="AS793" s="3276"/>
      <c r="AT793" s="3276"/>
      <c r="AU793" s="3276"/>
      <c r="AV793" s="3276"/>
      <c r="AW793" s="3276" t="s">
        <v>2997</v>
      </c>
      <c r="AX793" s="3276"/>
      <c r="AY793" s="3291"/>
      <c r="AZ793" s="3267" t="s">
        <v>8552</v>
      </c>
      <c r="BA793" s="3296"/>
      <c r="BB793" s="3297"/>
      <c r="BC793" s="3296"/>
      <c r="BD793" s="3298"/>
      <c r="BE793" s="3276"/>
      <c r="BF793" s="3281"/>
      <c r="BG793" s="3293">
        <v>38981</v>
      </c>
      <c r="BH793" s="3354" t="s">
        <v>2998</v>
      </c>
      <c r="BI793" s="3314" t="s">
        <v>4230</v>
      </c>
      <c r="BJ793" s="3283">
        <v>38982</v>
      </c>
      <c r="BK793" s="3283"/>
      <c r="BL793" s="3267" t="s">
        <v>3249</v>
      </c>
      <c r="BM793" s="3276" t="s">
        <v>2879</v>
      </c>
      <c r="BN793" s="3276" t="s">
        <v>2999</v>
      </c>
      <c r="BO793" s="3276" t="s">
        <v>3146</v>
      </c>
      <c r="BP793" s="3276"/>
      <c r="BQ793" s="3276" t="e">
        <v>#DIV/0!</v>
      </c>
      <c r="BR793" s="3276" t="e">
        <v>#DIV/0!</v>
      </c>
      <c r="BS793" s="3285"/>
      <c r="BT793" s="3285"/>
      <c r="BU793" s="3285"/>
    </row>
    <row r="794" spans="1:16384" hidden="1">
      <c r="A794" s="3267" t="s">
        <v>8553</v>
      </c>
      <c r="B794" s="3267" t="s">
        <v>8554</v>
      </c>
      <c r="C794" s="3269" t="s">
        <v>8555</v>
      </c>
      <c r="D794" s="3269" t="s">
        <v>8556</v>
      </c>
      <c r="E794" s="3267" t="s">
        <v>2985</v>
      </c>
      <c r="F794" s="3244" t="s">
        <v>4400</v>
      </c>
      <c r="G794" s="3267"/>
      <c r="H794" s="3267" t="s">
        <v>3124</v>
      </c>
      <c r="I794" s="3267"/>
      <c r="J794" s="3269" t="s">
        <v>8557</v>
      </c>
      <c r="K794" s="3267" t="s">
        <v>8558</v>
      </c>
      <c r="L794" s="3267">
        <v>42.88</v>
      </c>
      <c r="M794" s="3267">
        <v>6</v>
      </c>
      <c r="N794" s="3267" t="s">
        <v>3152</v>
      </c>
      <c r="O794" s="3267"/>
      <c r="P794" s="3267" t="s">
        <v>2963</v>
      </c>
      <c r="Q794" s="3271">
        <v>240000</v>
      </c>
      <c r="R794" s="3267">
        <v>5597</v>
      </c>
      <c r="S794" s="3272">
        <v>23.58</v>
      </c>
      <c r="T794" s="3273">
        <v>235800</v>
      </c>
      <c r="U794" s="3267">
        <v>5500</v>
      </c>
      <c r="V794" s="3289">
        <v>0.2</v>
      </c>
      <c r="W794" s="3272">
        <v>18.86</v>
      </c>
      <c r="X794" s="3275">
        <v>188600</v>
      </c>
      <c r="Y794" s="3276">
        <v>2006</v>
      </c>
      <c r="Z794" s="3276">
        <v>9</v>
      </c>
      <c r="AA794" s="3276">
        <v>29</v>
      </c>
      <c r="AB794" s="3267">
        <v>705</v>
      </c>
      <c r="AC794" s="3267" t="s">
        <v>2980</v>
      </c>
      <c r="AD794" s="3280" t="s">
        <v>8559</v>
      </c>
      <c r="AE794" s="3267" t="s">
        <v>3180</v>
      </c>
      <c r="AF794" s="3267" t="s">
        <v>2966</v>
      </c>
      <c r="AG794" s="3279" t="s">
        <v>2967</v>
      </c>
      <c r="AH794" s="3267" t="s">
        <v>8560</v>
      </c>
      <c r="AI794" s="3267" t="s">
        <v>2992</v>
      </c>
      <c r="AJ794" s="3284"/>
      <c r="AK794" s="3316" t="s">
        <v>3154</v>
      </c>
      <c r="AL794" s="3276">
        <v>38</v>
      </c>
      <c r="AM794" s="3276"/>
      <c r="AN794" s="3276" t="s">
        <v>3099</v>
      </c>
      <c r="AO794" s="3276" t="s">
        <v>2968</v>
      </c>
      <c r="AP794" s="3276" t="s">
        <v>3180</v>
      </c>
      <c r="AQ794" s="3267" t="s">
        <v>3228</v>
      </c>
      <c r="AR794" s="3276"/>
      <c r="AS794" s="3276"/>
      <c r="AT794" s="3276"/>
      <c r="AU794" s="3276"/>
      <c r="AV794" s="3276" t="s">
        <v>2968</v>
      </c>
      <c r="AW794" s="3276" t="s">
        <v>3171</v>
      </c>
      <c r="AX794" s="3276"/>
      <c r="AY794" s="3291"/>
      <c r="AZ794" s="3276" t="s">
        <v>8558</v>
      </c>
      <c r="BA794" s="3276"/>
      <c r="BB794" s="3291"/>
      <c r="BC794" s="3276"/>
      <c r="BD794" s="3292"/>
      <c r="BE794" s="3276"/>
      <c r="BF794" s="3281"/>
      <c r="BG794" s="3299">
        <v>38978</v>
      </c>
      <c r="BH794" s="3276"/>
      <c r="BI794" s="3276" t="s">
        <v>3180</v>
      </c>
      <c r="BJ794" s="3283">
        <v>38982</v>
      </c>
      <c r="BK794" s="3283"/>
      <c r="BL794" s="3267" t="s">
        <v>2998</v>
      </c>
      <c r="BM794" s="3267" t="s">
        <v>8561</v>
      </c>
      <c r="BN794" s="3267" t="s">
        <v>2999</v>
      </c>
      <c r="BO794" s="3267" t="s">
        <v>3146</v>
      </c>
      <c r="BP794" s="3267"/>
      <c r="BQ794" s="3276" t="e">
        <v>#DIV/0!</v>
      </c>
      <c r="BR794" s="3276" t="e">
        <v>#DIV/0!</v>
      </c>
      <c r="BS794" s="3285"/>
      <c r="BT794" s="3285"/>
      <c r="BU794" s="3285"/>
    </row>
    <row r="795" spans="1:16384" hidden="1">
      <c r="A795" s="3267" t="s">
        <v>8562</v>
      </c>
      <c r="B795" s="3267" t="s">
        <v>8563</v>
      </c>
      <c r="C795" s="3269" t="s">
        <v>8564</v>
      </c>
      <c r="D795" s="3269" t="s">
        <v>8565</v>
      </c>
      <c r="E795" s="3268" t="s">
        <v>2985</v>
      </c>
      <c r="F795" s="3268" t="s">
        <v>3884</v>
      </c>
      <c r="G795" s="3267"/>
      <c r="H795" s="3267" t="s">
        <v>5290</v>
      </c>
      <c r="I795" s="3268" t="s">
        <v>3254</v>
      </c>
      <c r="J795" s="3267" t="s">
        <v>3634</v>
      </c>
      <c r="K795" s="3267" t="s">
        <v>8563</v>
      </c>
      <c r="L795" s="3267">
        <v>58.79</v>
      </c>
      <c r="M795" s="3267">
        <v>6</v>
      </c>
      <c r="N795" s="3267" t="s">
        <v>3152</v>
      </c>
      <c r="O795" s="3267">
        <v>46.83</v>
      </c>
      <c r="P795" s="3267" t="s">
        <v>2963</v>
      </c>
      <c r="Q795" s="3271">
        <v>400000</v>
      </c>
      <c r="R795" s="3288">
        <v>6804</v>
      </c>
      <c r="S795" s="3272">
        <v>41.83</v>
      </c>
      <c r="T795" s="3273">
        <v>418300</v>
      </c>
      <c r="U795" s="3267">
        <v>7116</v>
      </c>
      <c r="V795" s="3289">
        <v>0.2</v>
      </c>
      <c r="W795" s="3272">
        <v>33.46</v>
      </c>
      <c r="X795" s="3273">
        <v>334600</v>
      </c>
      <c r="Y795" s="3267">
        <v>2006</v>
      </c>
      <c r="Z795" s="3276">
        <v>10</v>
      </c>
      <c r="AA795" s="3276">
        <v>18</v>
      </c>
      <c r="AB795" s="3267">
        <v>1250</v>
      </c>
      <c r="AC795" s="3267" t="s">
        <v>2980</v>
      </c>
      <c r="AD795" s="3280" t="s">
        <v>8566</v>
      </c>
      <c r="AE795" s="3279" t="s">
        <v>3344</v>
      </c>
      <c r="AF795" s="3268" t="s">
        <v>2966</v>
      </c>
      <c r="AG795" s="3279" t="s">
        <v>2967</v>
      </c>
      <c r="AH795" s="3267"/>
      <c r="AI795" s="3279" t="s">
        <v>2992</v>
      </c>
      <c r="AJ795" s="3284"/>
      <c r="AK795" s="3316" t="s">
        <v>3148</v>
      </c>
      <c r="AL795" s="3276">
        <v>59</v>
      </c>
      <c r="AM795" s="3267" t="s">
        <v>8567</v>
      </c>
      <c r="AN795" s="3276" t="s">
        <v>3140</v>
      </c>
      <c r="AO795" s="3267"/>
      <c r="AP795" s="3276" t="s">
        <v>3305</v>
      </c>
      <c r="AQ795" s="3267" t="s">
        <v>3228</v>
      </c>
      <c r="AR795" s="3276"/>
      <c r="AS795" s="3276"/>
      <c r="AT795" s="3276"/>
      <c r="AU795" s="3276"/>
      <c r="AV795" s="3276"/>
      <c r="AW795" s="3276" t="s">
        <v>2997</v>
      </c>
      <c r="AX795" s="3276"/>
      <c r="AY795" s="3291"/>
      <c r="AZ795" s="3267" t="s">
        <v>8568</v>
      </c>
      <c r="BA795" s="3296"/>
      <c r="BB795" s="3297"/>
      <c r="BC795" s="3296"/>
      <c r="BD795" s="3298"/>
      <c r="BE795" s="3276"/>
      <c r="BF795" s="3281"/>
      <c r="BG795" s="3293">
        <v>38982</v>
      </c>
      <c r="BH795" s="3354" t="s">
        <v>2998</v>
      </c>
      <c r="BI795" s="3276" t="s">
        <v>3305</v>
      </c>
      <c r="BJ795" s="3283">
        <v>38982</v>
      </c>
      <c r="BK795" s="3283"/>
      <c r="BL795" s="3267" t="s">
        <v>3249</v>
      </c>
      <c r="BM795" s="3276" t="s">
        <v>2879</v>
      </c>
      <c r="BN795" s="3276" t="s">
        <v>2999</v>
      </c>
      <c r="BO795" s="3276" t="s">
        <v>3146</v>
      </c>
      <c r="BP795" s="3276"/>
      <c r="BQ795" s="3276">
        <v>8932</v>
      </c>
      <c r="BR795" s="3276">
        <v>8542</v>
      </c>
      <c r="BS795" s="3285"/>
      <c r="BT795" s="3285"/>
      <c r="BU795" s="3285"/>
    </row>
    <row r="796" spans="1:16384" hidden="1">
      <c r="A796" s="3267" t="s">
        <v>8569</v>
      </c>
      <c r="B796" s="3267" t="s">
        <v>8570</v>
      </c>
      <c r="C796" s="3269" t="s">
        <v>8571</v>
      </c>
      <c r="D796" s="3269" t="s">
        <v>8572</v>
      </c>
      <c r="E796" s="3267" t="s">
        <v>2985</v>
      </c>
      <c r="F796" s="3267" t="s">
        <v>8573</v>
      </c>
      <c r="G796" s="3267"/>
      <c r="H796" s="3267" t="s">
        <v>3139</v>
      </c>
      <c r="I796" s="3267"/>
      <c r="J796" s="3269" t="s">
        <v>8574</v>
      </c>
      <c r="K796" s="3267" t="s">
        <v>8575</v>
      </c>
      <c r="L796" s="3286">
        <v>62.81</v>
      </c>
      <c r="M796" s="3267">
        <v>1</v>
      </c>
      <c r="N796" s="3268" t="s">
        <v>3122</v>
      </c>
      <c r="O796" s="3267"/>
      <c r="P796" s="3267" t="s">
        <v>2963</v>
      </c>
      <c r="Q796" s="3287">
        <v>420000</v>
      </c>
      <c r="R796" s="3267">
        <v>6687</v>
      </c>
      <c r="S796" s="3272">
        <v>44.57</v>
      </c>
      <c r="T796" s="3273">
        <v>445700</v>
      </c>
      <c r="U796" s="3267">
        <v>7097</v>
      </c>
      <c r="V796" s="3274">
        <v>0.2</v>
      </c>
      <c r="W796" s="3272">
        <v>35.65</v>
      </c>
      <c r="X796" s="3275">
        <v>356500</v>
      </c>
      <c r="Y796" s="3276">
        <v>2006</v>
      </c>
      <c r="Z796" s="3267">
        <v>9</v>
      </c>
      <c r="AA796" s="3276">
        <v>28</v>
      </c>
      <c r="AB796" s="3267">
        <v>1335</v>
      </c>
      <c r="AC796" s="3267" t="s">
        <v>2980</v>
      </c>
      <c r="AD796" s="3280" t="s">
        <v>8576</v>
      </c>
      <c r="AE796" s="3276" t="s">
        <v>3304</v>
      </c>
      <c r="AF796" s="3267" t="s">
        <v>2966</v>
      </c>
      <c r="AG796" s="3279" t="s">
        <v>2967</v>
      </c>
      <c r="AH796" s="3267"/>
      <c r="AI796" s="3267" t="s">
        <v>3295</v>
      </c>
      <c r="AJ796" s="3284"/>
      <c r="AK796" s="3267" t="s">
        <v>3154</v>
      </c>
      <c r="AL796" s="3267">
        <v>52</v>
      </c>
      <c r="AM796" s="3267"/>
      <c r="AN796" s="3267" t="s">
        <v>3099</v>
      </c>
      <c r="AO796" s="3267"/>
      <c r="AP796" s="3279" t="s">
        <v>3537</v>
      </c>
      <c r="AQ796" s="3268" t="s">
        <v>3113</v>
      </c>
      <c r="AR796" s="3276"/>
      <c r="AS796" s="3276"/>
      <c r="AT796" s="3276"/>
      <c r="AU796" s="3276"/>
      <c r="AV796" s="3276"/>
      <c r="AW796" s="3268" t="s">
        <v>3119</v>
      </c>
      <c r="AX796" s="3276"/>
      <c r="AY796" s="3291"/>
      <c r="AZ796" s="3267" t="s">
        <v>8575</v>
      </c>
      <c r="BA796" s="3276"/>
      <c r="BB796" s="3291"/>
      <c r="BC796" s="3276"/>
      <c r="BD796" s="3292"/>
      <c r="BE796" s="3276"/>
      <c r="BF796" s="3281"/>
      <c r="BG796" s="3307">
        <v>38972</v>
      </c>
      <c r="BH796" s="3276"/>
      <c r="BI796" s="3267" t="s">
        <v>3537</v>
      </c>
      <c r="BJ796" s="3284">
        <v>38982</v>
      </c>
      <c r="BK796" s="3283"/>
      <c r="BL796" s="3267" t="s">
        <v>2998</v>
      </c>
      <c r="BM796" s="3276" t="s">
        <v>8577</v>
      </c>
      <c r="BN796" s="3276" t="s">
        <v>3111</v>
      </c>
      <c r="BO796" s="3276" t="s">
        <v>3146</v>
      </c>
      <c r="BP796" s="3276"/>
      <c r="BQ796" s="3276"/>
      <c r="BR796" s="3276"/>
      <c r="BS796" s="3285"/>
      <c r="BT796" s="3285"/>
      <c r="BU796" s="3285"/>
    </row>
    <row r="797" spans="1:16384">
      <c r="A797" s="3267" t="s">
        <v>8578</v>
      </c>
      <c r="B797" s="3267" t="s">
        <v>8579</v>
      </c>
      <c r="C797" s="3269" t="s">
        <v>8580</v>
      </c>
      <c r="D797" s="3269" t="s">
        <v>8581</v>
      </c>
      <c r="E797" s="3268" t="s">
        <v>2985</v>
      </c>
      <c r="F797" s="3268" t="s">
        <v>8582</v>
      </c>
      <c r="G797" s="3267"/>
      <c r="H797" s="3267" t="s">
        <v>3150</v>
      </c>
      <c r="I797" s="3268" t="s">
        <v>2968</v>
      </c>
      <c r="J797" s="3267" t="s">
        <v>8583</v>
      </c>
      <c r="K797" s="3267" t="s">
        <v>8579</v>
      </c>
      <c r="L797" s="3267">
        <v>65.930000000000007</v>
      </c>
      <c r="M797" s="3267">
        <v>18</v>
      </c>
      <c r="N797" s="3267" t="s">
        <v>3122</v>
      </c>
      <c r="O797" s="3267"/>
      <c r="P797" s="3267" t="s">
        <v>2963</v>
      </c>
      <c r="Q797" s="3271">
        <v>575000</v>
      </c>
      <c r="R797" s="3288">
        <v>8721</v>
      </c>
      <c r="S797" s="3272">
        <v>45.74</v>
      </c>
      <c r="T797" s="3273">
        <v>457400</v>
      </c>
      <c r="U797" s="3267">
        <v>6939</v>
      </c>
      <c r="V797" s="3289">
        <v>0.2</v>
      </c>
      <c r="W797" s="3272">
        <v>36.590000000000003</v>
      </c>
      <c r="X797" s="3273">
        <v>365900</v>
      </c>
      <c r="Y797" s="3267">
        <v>2006</v>
      </c>
      <c r="Z797" s="3276">
        <v>11</v>
      </c>
      <c r="AA797" s="3276">
        <v>28</v>
      </c>
      <c r="AB797" s="3267">
        <v>1370</v>
      </c>
      <c r="AC797" s="3267" t="s">
        <v>2980</v>
      </c>
      <c r="AD797" s="3280" t="s">
        <v>8584</v>
      </c>
      <c r="AE797" s="3279" t="s">
        <v>3344</v>
      </c>
      <c r="AF797" s="3268" t="s">
        <v>2966</v>
      </c>
      <c r="AG797" s="3279" t="s">
        <v>2967</v>
      </c>
      <c r="AH797" s="3267"/>
      <c r="AI797" s="3279" t="s">
        <v>2992</v>
      </c>
      <c r="AJ797" s="3284"/>
      <c r="AK797" s="3278" t="s">
        <v>3137</v>
      </c>
      <c r="AL797" s="3276">
        <v>44</v>
      </c>
      <c r="AM797" s="3267" t="s">
        <v>8585</v>
      </c>
      <c r="AN797" s="3279" t="s">
        <v>2994</v>
      </c>
      <c r="AO797" s="3267"/>
      <c r="AP797" s="3279" t="s">
        <v>5706</v>
      </c>
      <c r="AQ797" s="3267" t="s">
        <v>3228</v>
      </c>
      <c r="AR797" s="3276"/>
      <c r="AS797" s="3276"/>
      <c r="AT797" s="3276"/>
      <c r="AU797" s="3276"/>
      <c r="AV797" s="3276"/>
      <c r="AW797" s="3276" t="s">
        <v>2997</v>
      </c>
      <c r="AX797" s="3276"/>
      <c r="AY797" s="3291"/>
      <c r="AZ797" s="3267" t="s">
        <v>8586</v>
      </c>
      <c r="BA797" s="3296"/>
      <c r="BB797" s="3297"/>
      <c r="BC797" s="3296"/>
      <c r="BD797" s="3298"/>
      <c r="BE797" s="3276">
        <v>62041906</v>
      </c>
      <c r="BF797" s="3281"/>
      <c r="BG797" s="3293">
        <v>38981</v>
      </c>
      <c r="BH797" s="3354" t="s">
        <v>2998</v>
      </c>
      <c r="BI797" s="3314" t="s">
        <v>5706</v>
      </c>
      <c r="BJ797" s="3283">
        <v>38982</v>
      </c>
      <c r="BK797" s="3283"/>
      <c r="BL797" s="3267" t="s">
        <v>3249</v>
      </c>
      <c r="BM797" s="3276" t="s">
        <v>2879</v>
      </c>
      <c r="BN797" s="3276" t="s">
        <v>2999</v>
      </c>
      <c r="BO797" s="3276" t="s">
        <v>3146</v>
      </c>
      <c r="BP797" s="3276"/>
      <c r="BQ797" s="3276" t="e">
        <v>#DIV/0!</v>
      </c>
      <c r="BR797" s="3276" t="e">
        <v>#DIV/0!</v>
      </c>
      <c r="BS797" s="3285"/>
      <c r="BT797" s="3285"/>
      <c r="BU797" s="3285"/>
    </row>
    <row r="798" spans="1:16384" hidden="1">
      <c r="A798" s="3267" t="s">
        <v>8587</v>
      </c>
      <c r="B798" s="3267" t="s">
        <v>8588</v>
      </c>
      <c r="C798" s="3269" t="s">
        <v>8589</v>
      </c>
      <c r="D798" s="3269" t="s">
        <v>8590</v>
      </c>
      <c r="E798" s="3267" t="s">
        <v>2985</v>
      </c>
      <c r="F798" s="3269" t="s">
        <v>7571</v>
      </c>
      <c r="G798" s="3267"/>
      <c r="H798" s="3267" t="s">
        <v>3712</v>
      </c>
      <c r="I798" s="3268" t="s">
        <v>3318</v>
      </c>
      <c r="J798" s="3268" t="s">
        <v>3189</v>
      </c>
      <c r="K798" s="3267" t="s">
        <v>8588</v>
      </c>
      <c r="L798" s="3267">
        <v>57.9</v>
      </c>
      <c r="M798" s="3267">
        <v>1</v>
      </c>
      <c r="N798" s="3267" t="s">
        <v>3125</v>
      </c>
      <c r="O798" s="3267"/>
      <c r="P798" s="3267" t="s">
        <v>2963</v>
      </c>
      <c r="Q798" s="3271">
        <v>800000</v>
      </c>
      <c r="R798" s="3267">
        <v>13817</v>
      </c>
      <c r="S798" s="3272">
        <v>47.06</v>
      </c>
      <c r="T798" s="3273">
        <v>470600</v>
      </c>
      <c r="U798" s="3267">
        <v>8129</v>
      </c>
      <c r="V798" s="3289">
        <v>0.2</v>
      </c>
      <c r="W798" s="3272">
        <v>37.64</v>
      </c>
      <c r="X798" s="3275">
        <v>376400</v>
      </c>
      <c r="Y798" s="3276">
        <v>2006</v>
      </c>
      <c r="Z798" s="3276">
        <v>10</v>
      </c>
      <c r="AA798" s="3276">
        <v>16</v>
      </c>
      <c r="AB798" s="3267">
        <v>1410</v>
      </c>
      <c r="AC798" s="3267" t="s">
        <v>2980</v>
      </c>
      <c r="AD798" s="3366">
        <v>91302006091759</v>
      </c>
      <c r="AE798" s="3279" t="s">
        <v>2991</v>
      </c>
      <c r="AF798" s="3268"/>
      <c r="AG798" s="3279" t="s">
        <v>2967</v>
      </c>
      <c r="AH798" s="3267"/>
      <c r="AI798" s="3279" t="s">
        <v>2992</v>
      </c>
      <c r="AJ798" s="3284"/>
      <c r="AK798" s="3278" t="s">
        <v>3148</v>
      </c>
      <c r="AL798" s="3276">
        <v>29</v>
      </c>
      <c r="AM798" s="3276" t="s">
        <v>8591</v>
      </c>
      <c r="AN798" s="3279" t="s">
        <v>3114</v>
      </c>
      <c r="AO798" s="3267"/>
      <c r="AP798" s="3279" t="s">
        <v>2991</v>
      </c>
      <c r="AQ798" s="3267" t="s">
        <v>3228</v>
      </c>
      <c r="AR798" s="3276">
        <v>2006</v>
      </c>
      <c r="AS798" s="3276">
        <v>10</v>
      </c>
      <c r="AT798" s="3276">
        <v>16</v>
      </c>
      <c r="AU798" s="3276"/>
      <c r="AV798" s="3276"/>
      <c r="AW798" s="3276" t="s">
        <v>2997</v>
      </c>
      <c r="AX798" s="3276"/>
      <c r="AY798" s="3291"/>
      <c r="AZ798" s="3267" t="s">
        <v>8592</v>
      </c>
      <c r="BA798" s="3296"/>
      <c r="BB798" s="3297"/>
      <c r="BC798" s="3296"/>
      <c r="BD798" s="3298"/>
      <c r="BE798" s="3276"/>
      <c r="BF798" s="3281"/>
      <c r="BG798" s="3293">
        <v>38987</v>
      </c>
      <c r="BH798" s="3267"/>
      <c r="BI798" s="3267" t="s">
        <v>2991</v>
      </c>
      <c r="BJ798" s="3299">
        <v>38987</v>
      </c>
      <c r="BK798" s="3283"/>
      <c r="BL798" s="3267" t="s">
        <v>2998</v>
      </c>
      <c r="BM798" s="3276" t="s">
        <v>3935</v>
      </c>
      <c r="BN798" s="3276" t="s">
        <v>2999</v>
      </c>
      <c r="BO798" s="3276" t="s">
        <v>3146</v>
      </c>
      <c r="BP798" s="3276"/>
      <c r="BQ798" s="3276" t="e">
        <v>#DIV/0!</v>
      </c>
      <c r="BR798" s="3276" t="e">
        <v>#DIV/0!</v>
      </c>
      <c r="BS798" s="3285"/>
      <c r="BT798" s="3285"/>
      <c r="BU798" s="3285"/>
      <c r="BY798" s="3262" t="s">
        <v>3262</v>
      </c>
      <c r="BZ798" s="3262" t="s">
        <v>3262</v>
      </c>
      <c r="CA798" s="3262" t="s">
        <v>3262</v>
      </c>
      <c r="CB798" s="3262" t="s">
        <v>3262</v>
      </c>
      <c r="CC798" s="3262" t="s">
        <v>3262</v>
      </c>
      <c r="CD798" s="3262" t="s">
        <v>3262</v>
      </c>
      <c r="CE798" s="3262" t="s">
        <v>3262</v>
      </c>
      <c r="CF798" s="3262" t="s">
        <v>3262</v>
      </c>
      <c r="CG798" s="3262" t="s">
        <v>3262</v>
      </c>
      <c r="CH798" s="3262" t="s">
        <v>3262</v>
      </c>
      <c r="CI798" s="3262" t="s">
        <v>3262</v>
      </c>
      <c r="CJ798" s="3262" t="s">
        <v>3262</v>
      </c>
      <c r="CK798" s="3262" t="s">
        <v>3262</v>
      </c>
      <c r="CL798" s="3262" t="s">
        <v>3262</v>
      </c>
      <c r="CM798" s="3262" t="s">
        <v>3262</v>
      </c>
      <c r="CN798" s="3262" t="s">
        <v>3262</v>
      </c>
      <c r="CO798" s="3262" t="s">
        <v>3262</v>
      </c>
      <c r="CP798" s="3262" t="s">
        <v>3262</v>
      </c>
      <c r="CQ798" s="3262" t="s">
        <v>3262</v>
      </c>
      <c r="CR798" s="3262" t="s">
        <v>3262</v>
      </c>
      <c r="CS798" s="3262" t="s">
        <v>3262</v>
      </c>
      <c r="CT798" s="3262" t="s">
        <v>3262</v>
      </c>
      <c r="CU798" s="3262" t="s">
        <v>3262</v>
      </c>
      <c r="CV798" s="3262" t="s">
        <v>3262</v>
      </c>
      <c r="CW798" s="3262" t="s">
        <v>3262</v>
      </c>
      <c r="CX798" s="3262" t="s">
        <v>3262</v>
      </c>
      <c r="CY798" s="3262" t="s">
        <v>3262</v>
      </c>
      <c r="CZ798" s="3262" t="s">
        <v>3262</v>
      </c>
      <c r="DA798" s="3262" t="s">
        <v>3262</v>
      </c>
      <c r="DB798" s="3262" t="s">
        <v>3262</v>
      </c>
      <c r="DC798" s="3262" t="s">
        <v>3262</v>
      </c>
      <c r="DD798" s="3262" t="s">
        <v>3262</v>
      </c>
      <c r="DE798" s="3262" t="s">
        <v>3262</v>
      </c>
      <c r="DF798" s="3262" t="s">
        <v>3262</v>
      </c>
      <c r="DG798" s="3262" t="s">
        <v>3262</v>
      </c>
      <c r="DH798" s="3262" t="s">
        <v>3262</v>
      </c>
      <c r="DI798" s="3262" t="s">
        <v>3262</v>
      </c>
      <c r="DJ798" s="3262" t="s">
        <v>3262</v>
      </c>
      <c r="DK798" s="3262" t="s">
        <v>3262</v>
      </c>
      <c r="DL798" s="3262" t="s">
        <v>3262</v>
      </c>
      <c r="DM798" s="3262" t="s">
        <v>3262</v>
      </c>
      <c r="DN798" s="3262" t="s">
        <v>3262</v>
      </c>
      <c r="DO798" s="3262" t="s">
        <v>3262</v>
      </c>
      <c r="DP798" s="3262" t="s">
        <v>3262</v>
      </c>
      <c r="DQ798" s="3262" t="s">
        <v>3262</v>
      </c>
      <c r="DR798" s="3262" t="s">
        <v>3262</v>
      </c>
      <c r="DS798" s="3262" t="s">
        <v>3262</v>
      </c>
      <c r="DT798" s="3262" t="s">
        <v>3262</v>
      </c>
      <c r="DU798" s="3262" t="s">
        <v>3262</v>
      </c>
      <c r="DV798" s="3262" t="s">
        <v>3262</v>
      </c>
      <c r="DW798" s="3262" t="s">
        <v>3262</v>
      </c>
      <c r="DX798" s="3262" t="s">
        <v>3262</v>
      </c>
      <c r="DY798" s="3262" t="s">
        <v>3262</v>
      </c>
      <c r="DZ798" s="3262" t="s">
        <v>3262</v>
      </c>
      <c r="EA798" s="3262" t="s">
        <v>3262</v>
      </c>
      <c r="EB798" s="3262" t="s">
        <v>3262</v>
      </c>
      <c r="EC798" s="3262" t="s">
        <v>3262</v>
      </c>
      <c r="ED798" s="3262" t="s">
        <v>3262</v>
      </c>
      <c r="EE798" s="3262" t="s">
        <v>3262</v>
      </c>
      <c r="EF798" s="3262" t="s">
        <v>3262</v>
      </c>
      <c r="EG798" s="3262" t="s">
        <v>3262</v>
      </c>
      <c r="EH798" s="3262" t="s">
        <v>3262</v>
      </c>
      <c r="EI798" s="3262" t="s">
        <v>3262</v>
      </c>
      <c r="EJ798" s="3262" t="s">
        <v>3262</v>
      </c>
      <c r="EK798" s="3262" t="s">
        <v>3262</v>
      </c>
      <c r="EL798" s="3262" t="s">
        <v>3262</v>
      </c>
      <c r="EM798" s="3262" t="s">
        <v>3262</v>
      </c>
      <c r="EN798" s="3262" t="s">
        <v>3262</v>
      </c>
      <c r="EO798" s="3262" t="s">
        <v>3262</v>
      </c>
      <c r="EP798" s="3262" t="s">
        <v>3262</v>
      </c>
      <c r="EQ798" s="3262" t="s">
        <v>3262</v>
      </c>
      <c r="ER798" s="3262" t="s">
        <v>3262</v>
      </c>
      <c r="ES798" s="3262" t="s">
        <v>3262</v>
      </c>
      <c r="ET798" s="3262" t="s">
        <v>3262</v>
      </c>
      <c r="EU798" s="3262" t="s">
        <v>3262</v>
      </c>
      <c r="EV798" s="3262" t="s">
        <v>3262</v>
      </c>
      <c r="EW798" s="3262" t="s">
        <v>3262</v>
      </c>
      <c r="EX798" s="3262" t="s">
        <v>3262</v>
      </c>
      <c r="EY798" s="3262" t="s">
        <v>3262</v>
      </c>
      <c r="EZ798" s="3262" t="s">
        <v>3262</v>
      </c>
      <c r="FA798" s="3262" t="s">
        <v>3262</v>
      </c>
      <c r="FB798" s="3262" t="s">
        <v>3262</v>
      </c>
      <c r="FC798" s="3262" t="s">
        <v>3262</v>
      </c>
      <c r="FD798" s="3262" t="s">
        <v>3262</v>
      </c>
      <c r="FE798" s="3262" t="s">
        <v>3262</v>
      </c>
      <c r="FF798" s="3262" t="s">
        <v>3262</v>
      </c>
      <c r="FG798" s="3262" t="s">
        <v>3262</v>
      </c>
      <c r="FH798" s="3262" t="s">
        <v>3262</v>
      </c>
      <c r="FI798" s="3262" t="s">
        <v>3262</v>
      </c>
      <c r="FJ798" s="3262" t="s">
        <v>3262</v>
      </c>
      <c r="FK798" s="3262" t="s">
        <v>3262</v>
      </c>
      <c r="FL798" s="3262" t="s">
        <v>3262</v>
      </c>
      <c r="FM798" s="3262" t="s">
        <v>3262</v>
      </c>
      <c r="FN798" s="3262" t="s">
        <v>3262</v>
      </c>
      <c r="FO798" s="3262" t="s">
        <v>3262</v>
      </c>
      <c r="FP798" s="3262" t="s">
        <v>3262</v>
      </c>
      <c r="FQ798" s="3262" t="s">
        <v>3262</v>
      </c>
      <c r="FR798" s="3262" t="s">
        <v>3262</v>
      </c>
      <c r="FS798" s="3262" t="s">
        <v>3262</v>
      </c>
      <c r="FT798" s="3262" t="s">
        <v>3262</v>
      </c>
      <c r="FU798" s="3262" t="s">
        <v>3262</v>
      </c>
      <c r="FV798" s="3262" t="s">
        <v>3262</v>
      </c>
      <c r="FW798" s="3262" t="s">
        <v>3262</v>
      </c>
      <c r="FX798" s="3262" t="s">
        <v>3262</v>
      </c>
      <c r="FY798" s="3262" t="s">
        <v>3262</v>
      </c>
      <c r="FZ798" s="3262" t="s">
        <v>3262</v>
      </c>
      <c r="GA798" s="3262" t="s">
        <v>3262</v>
      </c>
      <c r="GB798" s="3262" t="s">
        <v>3262</v>
      </c>
      <c r="GC798" s="3262" t="s">
        <v>3262</v>
      </c>
      <c r="GD798" s="3262" t="s">
        <v>3262</v>
      </c>
      <c r="GE798" s="3262" t="s">
        <v>3262</v>
      </c>
      <c r="GF798" s="3262" t="s">
        <v>3262</v>
      </c>
      <c r="GG798" s="3262" t="s">
        <v>3262</v>
      </c>
      <c r="GH798" s="3262" t="s">
        <v>3262</v>
      </c>
      <c r="GI798" s="3262" t="s">
        <v>3262</v>
      </c>
      <c r="GJ798" s="3262" t="s">
        <v>3262</v>
      </c>
      <c r="GK798" s="3262" t="s">
        <v>3262</v>
      </c>
      <c r="GL798" s="3262" t="s">
        <v>3262</v>
      </c>
      <c r="GM798" s="3262" t="s">
        <v>3262</v>
      </c>
      <c r="GN798" s="3262" t="s">
        <v>3262</v>
      </c>
      <c r="GO798" s="3262" t="s">
        <v>3262</v>
      </c>
      <c r="GP798" s="3262" t="s">
        <v>3262</v>
      </c>
      <c r="GQ798" s="3262" t="s">
        <v>3262</v>
      </c>
      <c r="GR798" s="3262" t="s">
        <v>3262</v>
      </c>
      <c r="GS798" s="3262" t="s">
        <v>3262</v>
      </c>
      <c r="GT798" s="3262" t="s">
        <v>3262</v>
      </c>
      <c r="GU798" s="3262" t="s">
        <v>3262</v>
      </c>
      <c r="GV798" s="3262" t="s">
        <v>3262</v>
      </c>
      <c r="GW798" s="3262" t="s">
        <v>3262</v>
      </c>
      <c r="GX798" s="3262" t="s">
        <v>3262</v>
      </c>
      <c r="GY798" s="3262" t="s">
        <v>3262</v>
      </c>
      <c r="GZ798" s="3262" t="s">
        <v>3262</v>
      </c>
      <c r="HA798" s="3262" t="s">
        <v>3262</v>
      </c>
      <c r="HB798" s="3262" t="s">
        <v>3262</v>
      </c>
      <c r="HC798" s="3262" t="s">
        <v>3262</v>
      </c>
      <c r="HD798" s="3262" t="s">
        <v>3262</v>
      </c>
      <c r="HE798" s="3262" t="s">
        <v>3262</v>
      </c>
      <c r="HF798" s="3262" t="s">
        <v>3262</v>
      </c>
      <c r="HG798" s="3262" t="s">
        <v>3262</v>
      </c>
      <c r="HH798" s="3262" t="s">
        <v>3262</v>
      </c>
      <c r="HI798" s="3262" t="s">
        <v>3262</v>
      </c>
      <c r="HJ798" s="3262" t="s">
        <v>3262</v>
      </c>
      <c r="HK798" s="3262" t="s">
        <v>3262</v>
      </c>
      <c r="HL798" s="3262" t="s">
        <v>3262</v>
      </c>
      <c r="HM798" s="3262" t="s">
        <v>3262</v>
      </c>
      <c r="HN798" s="3262" t="s">
        <v>3262</v>
      </c>
      <c r="HO798" s="3262" t="s">
        <v>3262</v>
      </c>
      <c r="HP798" s="3262" t="s">
        <v>3262</v>
      </c>
      <c r="HQ798" s="3262" t="s">
        <v>3262</v>
      </c>
      <c r="HR798" s="3262" t="s">
        <v>3262</v>
      </c>
      <c r="HS798" s="3262" t="s">
        <v>3262</v>
      </c>
      <c r="HT798" s="3262" t="s">
        <v>3262</v>
      </c>
      <c r="HU798" s="3262" t="s">
        <v>3262</v>
      </c>
      <c r="HV798" s="3262" t="s">
        <v>3262</v>
      </c>
      <c r="HW798" s="3262" t="s">
        <v>3262</v>
      </c>
      <c r="HX798" s="3262" t="s">
        <v>3262</v>
      </c>
      <c r="HY798" s="3262" t="s">
        <v>3262</v>
      </c>
      <c r="HZ798" s="3262" t="s">
        <v>3262</v>
      </c>
      <c r="IA798" s="3262" t="s">
        <v>3262</v>
      </c>
      <c r="IB798" s="3262" t="s">
        <v>3262</v>
      </c>
      <c r="IC798" s="3262" t="s">
        <v>3262</v>
      </c>
      <c r="ID798" s="3262" t="s">
        <v>3262</v>
      </c>
      <c r="IE798" s="3262" t="s">
        <v>3262</v>
      </c>
      <c r="IF798" s="3262" t="s">
        <v>3262</v>
      </c>
      <c r="IG798" s="3262" t="s">
        <v>3262</v>
      </c>
      <c r="IH798" s="3262" t="s">
        <v>3262</v>
      </c>
      <c r="II798" s="3262" t="s">
        <v>3262</v>
      </c>
      <c r="IJ798" s="3262" t="s">
        <v>3262</v>
      </c>
      <c r="IK798" s="3262" t="s">
        <v>3262</v>
      </c>
      <c r="IL798" s="3262" t="s">
        <v>3262</v>
      </c>
      <c r="IM798" s="3262" t="s">
        <v>3262</v>
      </c>
      <c r="IN798" s="3262" t="s">
        <v>3262</v>
      </c>
      <c r="IO798" s="3262" t="s">
        <v>3262</v>
      </c>
    </row>
    <row r="799" spans="1:16384">
      <c r="A799" s="3267" t="s">
        <v>8593</v>
      </c>
      <c r="B799" s="3267" t="s">
        <v>8594</v>
      </c>
      <c r="C799" s="3269" t="s">
        <v>8595</v>
      </c>
      <c r="D799" s="3269" t="s">
        <v>8596</v>
      </c>
      <c r="E799" s="3268" t="s">
        <v>2985</v>
      </c>
      <c r="F799" s="3789" t="s">
        <v>3661</v>
      </c>
      <c r="G799" s="3267"/>
      <c r="H799" s="3267" t="s">
        <v>3225</v>
      </c>
      <c r="I799" s="3268" t="s">
        <v>5976</v>
      </c>
      <c r="J799" s="3267" t="s">
        <v>3126</v>
      </c>
      <c r="K799" s="3268" t="s">
        <v>8597</v>
      </c>
      <c r="L799" s="3791">
        <v>57.43</v>
      </c>
      <c r="M799" s="3791">
        <v>6</v>
      </c>
      <c r="N799" s="3791" t="s">
        <v>3122</v>
      </c>
      <c r="O799" s="3267"/>
      <c r="P799" s="3267" t="s">
        <v>2963</v>
      </c>
      <c r="Q799" s="3271">
        <v>350000</v>
      </c>
      <c r="R799" s="3791">
        <v>6094</v>
      </c>
      <c r="S799" s="3272">
        <v>36.549999999999997</v>
      </c>
      <c r="T799" s="3273">
        <v>365500</v>
      </c>
      <c r="U799" s="3267">
        <v>6365</v>
      </c>
      <c r="V799" s="3289">
        <v>0.2</v>
      </c>
      <c r="W799" s="3272">
        <v>29.24</v>
      </c>
      <c r="X799" s="3275">
        <v>292400</v>
      </c>
      <c r="Y799" s="3276">
        <v>2006</v>
      </c>
      <c r="Z799" s="3276">
        <v>9</v>
      </c>
      <c r="AA799" s="3276">
        <v>29</v>
      </c>
      <c r="AB799" s="3267">
        <v>1095</v>
      </c>
      <c r="AC799" s="3267" t="s">
        <v>2980</v>
      </c>
      <c r="AD799" s="3280" t="s">
        <v>8598</v>
      </c>
      <c r="AE799" s="3279" t="s">
        <v>3344</v>
      </c>
      <c r="AF799" s="3268" t="s">
        <v>2966</v>
      </c>
      <c r="AG799" s="3279" t="s">
        <v>2967</v>
      </c>
      <c r="AH799" s="3267"/>
      <c r="AI799" s="3279" t="s">
        <v>2992</v>
      </c>
      <c r="AJ799" s="3284"/>
      <c r="AK799" s="3278">
        <v>9</v>
      </c>
      <c r="AL799" s="3276">
        <v>38</v>
      </c>
      <c r="AM799" s="3276"/>
      <c r="AN799" s="3279" t="s">
        <v>3099</v>
      </c>
      <c r="AO799" s="3267"/>
      <c r="AP799" s="3279" t="s">
        <v>3305</v>
      </c>
      <c r="AQ799" s="3267" t="s">
        <v>3228</v>
      </c>
      <c r="AR799" s="3276"/>
      <c r="AS799" s="3276"/>
      <c r="AT799" s="3276"/>
      <c r="AU799" s="3276"/>
      <c r="AV799" s="3276"/>
      <c r="AW799" s="3276" t="s">
        <v>2997</v>
      </c>
      <c r="AX799" s="3276"/>
      <c r="AY799" s="3291"/>
      <c r="AZ799" s="3267" t="s">
        <v>8597</v>
      </c>
      <c r="BA799" s="3296"/>
      <c r="BB799" s="3297"/>
      <c r="BC799" s="3296"/>
      <c r="BD799" s="3298"/>
      <c r="BE799" s="3276"/>
      <c r="BF799" s="3281"/>
      <c r="BG799" s="3797">
        <v>38981</v>
      </c>
      <c r="BH799" s="3267" t="s">
        <v>2998</v>
      </c>
      <c r="BI799" s="3314" t="s">
        <v>3305</v>
      </c>
      <c r="BJ799" s="3283">
        <v>38985</v>
      </c>
      <c r="BK799" s="3283"/>
      <c r="BL799" s="3791" t="s">
        <v>3249</v>
      </c>
      <c r="BM799" s="3794" t="s">
        <v>2879</v>
      </c>
      <c r="BN799" s="3794" t="s">
        <v>2999</v>
      </c>
      <c r="BO799" s="3794" t="s">
        <v>3146</v>
      </c>
      <c r="BP799" s="3794"/>
      <c r="BQ799" s="3794" t="e">
        <v>#DIV/0!</v>
      </c>
      <c r="BR799" s="3794" t="e">
        <v>#DIV/0!</v>
      </c>
      <c r="BS799" s="3795"/>
      <c r="BT799" s="3795"/>
      <c r="BU799" s="3795"/>
      <c r="BV799" s="3796"/>
      <c r="BW799" s="3796"/>
      <c r="BX799" s="3796"/>
      <c r="BY799" s="3796"/>
      <c r="BZ799" s="3796"/>
      <c r="CA799" s="3796"/>
      <c r="CB799" s="3796"/>
      <c r="CC799" s="3796"/>
      <c r="CD799" s="3796"/>
      <c r="CE799" s="3796"/>
      <c r="CF799" s="3796"/>
      <c r="CG799" s="3796"/>
      <c r="CH799" s="3796"/>
      <c r="CI799" s="3796"/>
      <c r="CJ799" s="3796"/>
      <c r="CK799" s="3796"/>
      <c r="CL799" s="3796"/>
      <c r="CM799" s="3796"/>
      <c r="CN799" s="3796"/>
      <c r="CO799" s="3796"/>
      <c r="CP799" s="3796"/>
      <c r="CQ799" s="3796"/>
      <c r="CR799" s="3796"/>
      <c r="CS799" s="3796"/>
      <c r="CT799" s="3796"/>
      <c r="CU799" s="3796"/>
      <c r="CV799" s="3796"/>
      <c r="CW799" s="3796"/>
      <c r="CX799" s="3796"/>
      <c r="CY799" s="3796"/>
      <c r="CZ799" s="3796"/>
      <c r="DA799" s="3796"/>
      <c r="DB799" s="3796"/>
      <c r="DC799" s="3796"/>
      <c r="DD799" s="3796"/>
      <c r="DE799" s="3796"/>
      <c r="DF799" s="3796"/>
      <c r="DG799" s="3796"/>
      <c r="DH799" s="3796"/>
      <c r="DI799" s="3796"/>
      <c r="DJ799" s="3796"/>
      <c r="DK799" s="3796"/>
      <c r="DL799" s="3796"/>
      <c r="DM799" s="3796"/>
      <c r="DN799" s="3796"/>
      <c r="DO799" s="3796"/>
      <c r="DP799" s="3796"/>
      <c r="DQ799" s="3796"/>
      <c r="DR799" s="3796"/>
      <c r="DS799" s="3796"/>
      <c r="DT799" s="3796"/>
      <c r="DU799" s="3796"/>
      <c r="DV799" s="3796"/>
      <c r="DW799" s="3796"/>
      <c r="DX799" s="3796"/>
      <c r="DY799" s="3796"/>
      <c r="DZ799" s="3796"/>
      <c r="EA799" s="3796"/>
      <c r="EB799" s="3796"/>
      <c r="EC799" s="3796"/>
      <c r="ED799" s="3796"/>
      <c r="EE799" s="3796"/>
      <c r="EF799" s="3796"/>
      <c r="EG799" s="3796"/>
      <c r="EH799" s="3796"/>
      <c r="EI799" s="3796"/>
      <c r="EJ799" s="3796"/>
      <c r="EK799" s="3796"/>
      <c r="EL799" s="3796"/>
      <c r="EM799" s="3796"/>
      <c r="EN799" s="3796"/>
      <c r="EO799" s="3796"/>
      <c r="EP799" s="3796"/>
      <c r="EQ799" s="3796"/>
      <c r="ER799" s="3796"/>
      <c r="ES799" s="3796"/>
      <c r="ET799" s="3796"/>
      <c r="EU799" s="3796"/>
      <c r="EV799" s="3796"/>
      <c r="EW799" s="3796"/>
      <c r="EX799" s="3796"/>
      <c r="EY799" s="3796"/>
      <c r="EZ799" s="3796"/>
      <c r="FA799" s="3796"/>
      <c r="FB799" s="3796"/>
      <c r="FC799" s="3796"/>
      <c r="FD799" s="3796"/>
      <c r="FE799" s="3796"/>
      <c r="FF799" s="3796"/>
      <c r="FG799" s="3796"/>
      <c r="FH799" s="3796"/>
      <c r="FI799" s="3796"/>
      <c r="FJ799" s="3796"/>
      <c r="FK799" s="3796"/>
      <c r="FL799" s="3796"/>
      <c r="FM799" s="3796"/>
      <c r="FN799" s="3796"/>
      <c r="FO799" s="3796"/>
      <c r="FP799" s="3796"/>
      <c r="FQ799" s="3796"/>
      <c r="FR799" s="3796"/>
      <c r="FS799" s="3796"/>
      <c r="FT799" s="3796"/>
      <c r="FU799" s="3796"/>
      <c r="FV799" s="3796"/>
      <c r="FW799" s="3796"/>
      <c r="FX799" s="3796"/>
      <c r="FY799" s="3796"/>
      <c r="FZ799" s="3796"/>
      <c r="GA799" s="3796"/>
      <c r="GB799" s="3796"/>
      <c r="GC799" s="3796"/>
      <c r="GD799" s="3796"/>
      <c r="GE799" s="3796"/>
      <c r="GF799" s="3796"/>
      <c r="GG799" s="3796"/>
      <c r="GH799" s="3796"/>
      <c r="GI799" s="3796"/>
      <c r="GJ799" s="3796"/>
      <c r="GK799" s="3796"/>
      <c r="GL799" s="3796"/>
      <c r="GM799" s="3796"/>
      <c r="GN799" s="3796"/>
      <c r="GO799" s="3796"/>
      <c r="GP799" s="3796"/>
      <c r="GQ799" s="3796"/>
      <c r="GR799" s="3796"/>
      <c r="GS799" s="3796"/>
      <c r="GT799" s="3796"/>
      <c r="GU799" s="3796"/>
      <c r="GV799" s="3796"/>
      <c r="GW799" s="3796"/>
      <c r="GX799" s="3796"/>
      <c r="GY799" s="3796"/>
      <c r="GZ799" s="3796"/>
      <c r="HA799" s="3796"/>
      <c r="HB799" s="3796"/>
      <c r="HC799" s="3796"/>
      <c r="HD799" s="3796"/>
      <c r="HE799" s="3796"/>
      <c r="HF799" s="3796"/>
      <c r="HG799" s="3796"/>
      <c r="HH799" s="3796"/>
      <c r="HI799" s="3796"/>
      <c r="HJ799" s="3796"/>
      <c r="HK799" s="3796"/>
      <c r="HL799" s="3796"/>
      <c r="HM799" s="3796"/>
      <c r="HN799" s="3796"/>
      <c r="HO799" s="3796"/>
      <c r="HP799" s="3796"/>
      <c r="HQ799" s="3796"/>
      <c r="HR799" s="3796"/>
      <c r="HS799" s="3796"/>
      <c r="HT799" s="3796"/>
      <c r="HU799" s="3796"/>
      <c r="HV799" s="3796"/>
      <c r="HW799" s="3796"/>
      <c r="HX799" s="3796"/>
      <c r="HY799" s="3796"/>
      <c r="HZ799" s="3796"/>
      <c r="IA799" s="3796"/>
      <c r="IB799" s="3796"/>
      <c r="IC799" s="3796"/>
      <c r="ID799" s="3796"/>
      <c r="IE799" s="3796"/>
      <c r="IF799" s="3796"/>
      <c r="IG799" s="3796"/>
      <c r="IH799" s="3796"/>
      <c r="II799" s="3796"/>
      <c r="IJ799" s="3796"/>
      <c r="IK799" s="3796"/>
      <c r="IL799" s="3796"/>
      <c r="IM799" s="3796"/>
      <c r="IN799" s="3796"/>
      <c r="IO799" s="3796"/>
      <c r="IP799" s="3796"/>
      <c r="IQ799" s="3796"/>
      <c r="IR799" s="3796"/>
      <c r="IS799" s="3796"/>
      <c r="IT799" s="3796"/>
      <c r="IU799" s="3796"/>
      <c r="IV799" s="3796"/>
      <c r="IW799" s="3796"/>
      <c r="JB799" s="3796"/>
      <c r="JH799" s="3796"/>
      <c r="JI799" s="3796"/>
      <c r="JJ799" s="3796"/>
      <c r="JN799" s="3796"/>
      <c r="JU799" s="3796"/>
      <c r="JV799" s="3796"/>
      <c r="JW799" s="3796"/>
      <c r="JX799" s="3796"/>
      <c r="JY799" s="3796"/>
      <c r="JZ799" s="3796"/>
      <c r="KA799" s="3796"/>
      <c r="KB799" s="3796"/>
      <c r="KC799" s="3796"/>
      <c r="KD799" s="3796"/>
      <c r="KE799" s="3796"/>
      <c r="KF799" s="3796"/>
      <c r="KG799" s="3796"/>
      <c r="KH799" s="3796"/>
      <c r="KI799" s="3796"/>
      <c r="KJ799" s="3796"/>
      <c r="KK799" s="3796"/>
      <c r="KL799" s="3796"/>
      <c r="KM799" s="3796"/>
      <c r="KN799" s="3796"/>
      <c r="KO799" s="3796"/>
      <c r="KP799" s="3796"/>
      <c r="KQ799" s="3796"/>
      <c r="KR799" s="3796"/>
      <c r="KS799" s="3796"/>
      <c r="KT799" s="3796"/>
      <c r="KU799" s="3796"/>
      <c r="KV799" s="3796"/>
      <c r="KW799" s="3796"/>
      <c r="KX799" s="3796"/>
      <c r="KY799" s="3796"/>
      <c r="KZ799" s="3796"/>
      <c r="LA799" s="3796"/>
      <c r="LB799" s="3796"/>
      <c r="LC799" s="3796"/>
      <c r="LD799" s="3796"/>
      <c r="LE799" s="3796"/>
      <c r="LF799" s="3796"/>
      <c r="LG799" s="3796"/>
      <c r="LH799" s="3796"/>
      <c r="LI799" s="3796"/>
      <c r="LJ799" s="3796"/>
      <c r="LK799" s="3796"/>
      <c r="LL799" s="3796"/>
      <c r="LM799" s="3796"/>
      <c r="LN799" s="3796"/>
      <c r="LO799" s="3796"/>
      <c r="LP799" s="3796"/>
      <c r="LQ799" s="3796"/>
      <c r="LR799" s="3796"/>
      <c r="LS799" s="3796"/>
      <c r="LT799" s="3796"/>
      <c r="LU799" s="3796"/>
      <c r="LV799" s="3796"/>
      <c r="LW799" s="3796"/>
      <c r="LX799" s="3796"/>
      <c r="LY799" s="3796"/>
      <c r="LZ799" s="3796"/>
      <c r="MA799" s="3796"/>
      <c r="MB799" s="3796"/>
      <c r="MC799" s="3796"/>
      <c r="MD799" s="3796"/>
      <c r="ME799" s="3796"/>
      <c r="MF799" s="3796"/>
      <c r="MG799" s="3796"/>
      <c r="MH799" s="3796"/>
      <c r="MI799" s="3796"/>
      <c r="MJ799" s="3796"/>
      <c r="MK799" s="3796"/>
      <c r="ML799" s="3796"/>
      <c r="MM799" s="3796"/>
      <c r="MN799" s="3796"/>
      <c r="MO799" s="3796"/>
      <c r="MP799" s="3796"/>
      <c r="MQ799" s="3796"/>
      <c r="MR799" s="3796"/>
      <c r="MS799" s="3796"/>
      <c r="MT799" s="3796"/>
      <c r="MU799" s="3796"/>
      <c r="MV799" s="3796"/>
      <c r="MW799" s="3796"/>
      <c r="MX799" s="3796"/>
      <c r="MY799" s="3796"/>
      <c r="MZ799" s="3796"/>
      <c r="NA799" s="3796"/>
      <c r="NB799" s="3796"/>
      <c r="NC799" s="3796"/>
      <c r="ND799" s="3796"/>
      <c r="NE799" s="3796"/>
      <c r="NF799" s="3796"/>
      <c r="NG799" s="3796"/>
      <c r="NH799" s="3796"/>
      <c r="NI799" s="3796"/>
      <c r="NJ799" s="3796"/>
      <c r="NK799" s="3796"/>
      <c r="NL799" s="3796"/>
      <c r="NM799" s="3796"/>
      <c r="NN799" s="3796"/>
      <c r="NO799" s="3796"/>
      <c r="NP799" s="3796"/>
      <c r="NQ799" s="3796"/>
      <c r="NR799" s="3796"/>
      <c r="NS799" s="3796"/>
      <c r="NT799" s="3796"/>
      <c r="NU799" s="3796"/>
      <c r="NV799" s="3796"/>
      <c r="NW799" s="3796"/>
      <c r="NX799" s="3796"/>
      <c r="NY799" s="3796"/>
      <c r="NZ799" s="3796"/>
      <c r="OA799" s="3796"/>
      <c r="OB799" s="3796"/>
      <c r="OC799" s="3796"/>
      <c r="OD799" s="3796"/>
      <c r="OE799" s="3796"/>
      <c r="OF799" s="3796"/>
      <c r="OG799" s="3796"/>
      <c r="OH799" s="3796"/>
      <c r="OI799" s="3796"/>
      <c r="OJ799" s="3796"/>
      <c r="OK799" s="3796"/>
      <c r="OL799" s="3796"/>
      <c r="OM799" s="3796"/>
      <c r="ON799" s="3796"/>
      <c r="OO799" s="3796"/>
      <c r="OP799" s="3796"/>
      <c r="OQ799" s="3796"/>
      <c r="OR799" s="3796"/>
      <c r="OS799" s="3796"/>
      <c r="OT799" s="3796"/>
      <c r="OU799" s="3796"/>
      <c r="OV799" s="3796"/>
      <c r="OW799" s="3796"/>
      <c r="OX799" s="3796"/>
      <c r="OY799" s="3796"/>
      <c r="OZ799" s="3796"/>
      <c r="PA799" s="3796"/>
      <c r="PB799" s="3796"/>
      <c r="PC799" s="3796"/>
      <c r="PD799" s="3796"/>
      <c r="PE799" s="3796"/>
      <c r="PF799" s="3796"/>
      <c r="PG799" s="3796"/>
      <c r="PH799" s="3796"/>
      <c r="PI799" s="3796"/>
      <c r="PJ799" s="3796"/>
      <c r="PK799" s="3796"/>
      <c r="PL799" s="3796"/>
      <c r="PM799" s="3796"/>
      <c r="PN799" s="3796"/>
      <c r="PO799" s="3796"/>
      <c r="PP799" s="3796"/>
      <c r="PQ799" s="3796"/>
      <c r="PR799" s="3796"/>
      <c r="PS799" s="3796"/>
      <c r="PT799" s="3796"/>
      <c r="PU799" s="3796"/>
      <c r="PV799" s="3796"/>
      <c r="PW799" s="3796"/>
      <c r="PX799" s="3796"/>
      <c r="PY799" s="3796"/>
      <c r="PZ799" s="3796"/>
      <c r="QA799" s="3796"/>
      <c r="QB799" s="3796"/>
      <c r="QC799" s="3796"/>
      <c r="QD799" s="3796"/>
      <c r="QE799" s="3796"/>
      <c r="QF799" s="3796"/>
      <c r="QG799" s="3796"/>
      <c r="QH799" s="3796"/>
      <c r="QI799" s="3796"/>
      <c r="QJ799" s="3796"/>
      <c r="QK799" s="3796"/>
      <c r="QL799" s="3796"/>
      <c r="QM799" s="3796"/>
      <c r="QN799" s="3796"/>
      <c r="QO799" s="3796"/>
      <c r="QP799" s="3796"/>
      <c r="QQ799" s="3796"/>
      <c r="QR799" s="3796"/>
      <c r="QS799" s="3796"/>
      <c r="QT799" s="3796"/>
      <c r="QU799" s="3796"/>
      <c r="QV799" s="3796"/>
      <c r="QW799" s="3796"/>
      <c r="QX799" s="3796"/>
      <c r="QY799" s="3796"/>
      <c r="QZ799" s="3796"/>
      <c r="RA799" s="3796"/>
      <c r="RB799" s="3796"/>
      <c r="RC799" s="3796"/>
      <c r="RD799" s="3796"/>
      <c r="RE799" s="3796"/>
      <c r="RF799" s="3796"/>
      <c r="RG799" s="3796"/>
      <c r="RH799" s="3796"/>
      <c r="RI799" s="3796"/>
      <c r="RJ799" s="3796"/>
      <c r="RK799" s="3796"/>
      <c r="RL799" s="3796"/>
      <c r="RM799" s="3796"/>
      <c r="RN799" s="3796"/>
      <c r="RO799" s="3796"/>
      <c r="RP799" s="3796"/>
      <c r="RQ799" s="3796"/>
      <c r="RR799" s="3796"/>
      <c r="RS799" s="3796"/>
      <c r="RT799" s="3796"/>
      <c r="RU799" s="3796"/>
      <c r="RV799" s="3796"/>
      <c r="RW799" s="3796"/>
      <c r="RX799" s="3796"/>
      <c r="RY799" s="3796"/>
      <c r="RZ799" s="3796"/>
      <c r="SA799" s="3796"/>
      <c r="SB799" s="3796"/>
      <c r="SC799" s="3796"/>
      <c r="SD799" s="3796"/>
      <c r="SE799" s="3796"/>
      <c r="SF799" s="3796"/>
      <c r="SG799" s="3796"/>
      <c r="SH799" s="3796"/>
      <c r="SI799" s="3796"/>
      <c r="SJ799" s="3796"/>
      <c r="SK799" s="3796"/>
      <c r="SL799" s="3796"/>
      <c r="SM799" s="3796"/>
      <c r="SN799" s="3796"/>
      <c r="SO799" s="3796"/>
      <c r="SP799" s="3796"/>
      <c r="SQ799" s="3796"/>
      <c r="SR799" s="3796"/>
      <c r="SS799" s="3796"/>
      <c r="SX799" s="3796"/>
      <c r="TD799" s="3796"/>
      <c r="TE799" s="3796"/>
      <c r="TF799" s="3796"/>
      <c r="TJ799" s="3796"/>
      <c r="TQ799" s="3796"/>
      <c r="TR799" s="3796"/>
      <c r="TS799" s="3796"/>
      <c r="TT799" s="3796"/>
      <c r="TU799" s="3796"/>
      <c r="TV799" s="3796"/>
      <c r="TW799" s="3796"/>
      <c r="TX799" s="3796"/>
      <c r="TY799" s="3796"/>
      <c r="TZ799" s="3796"/>
      <c r="UA799" s="3796"/>
      <c r="UB799" s="3796"/>
      <c r="UC799" s="3796"/>
      <c r="UD799" s="3796"/>
      <c r="UE799" s="3796"/>
      <c r="UF799" s="3796"/>
      <c r="UG799" s="3796"/>
      <c r="UH799" s="3796"/>
      <c r="UI799" s="3796"/>
      <c r="UJ799" s="3796"/>
      <c r="UK799" s="3796"/>
      <c r="UL799" s="3796"/>
      <c r="UM799" s="3796"/>
      <c r="UN799" s="3796"/>
      <c r="UO799" s="3796"/>
      <c r="UP799" s="3796"/>
      <c r="UQ799" s="3796"/>
      <c r="UR799" s="3796"/>
      <c r="US799" s="3796"/>
      <c r="UT799" s="3796"/>
      <c r="UU799" s="3796"/>
      <c r="UV799" s="3796"/>
      <c r="UW799" s="3796"/>
      <c r="UX799" s="3796"/>
      <c r="UY799" s="3796"/>
      <c r="UZ799" s="3796"/>
      <c r="VA799" s="3796"/>
      <c r="VB799" s="3796"/>
      <c r="VC799" s="3796"/>
      <c r="VD799" s="3796"/>
      <c r="VE799" s="3796"/>
      <c r="VF799" s="3796"/>
      <c r="VG799" s="3796"/>
      <c r="VH799" s="3796"/>
      <c r="VI799" s="3796"/>
      <c r="VJ799" s="3796"/>
      <c r="VK799" s="3796"/>
      <c r="VL799" s="3796"/>
      <c r="VM799" s="3796"/>
      <c r="VN799" s="3796"/>
      <c r="VO799" s="3796"/>
      <c r="VP799" s="3796"/>
      <c r="VQ799" s="3796"/>
      <c r="VR799" s="3796"/>
      <c r="VS799" s="3796"/>
      <c r="VT799" s="3796"/>
      <c r="VU799" s="3796"/>
      <c r="VV799" s="3796"/>
      <c r="VW799" s="3796"/>
      <c r="VX799" s="3796"/>
      <c r="VY799" s="3796"/>
      <c r="VZ799" s="3796"/>
      <c r="WA799" s="3796"/>
      <c r="WB799" s="3796"/>
      <c r="WC799" s="3796"/>
      <c r="WD799" s="3796"/>
      <c r="WE799" s="3796"/>
      <c r="WF799" s="3796"/>
      <c r="WG799" s="3796"/>
      <c r="WH799" s="3796"/>
      <c r="WI799" s="3796"/>
      <c r="WJ799" s="3796"/>
      <c r="WK799" s="3796"/>
      <c r="WL799" s="3796"/>
      <c r="WM799" s="3796"/>
      <c r="WN799" s="3796"/>
      <c r="WO799" s="3796"/>
      <c r="WP799" s="3796"/>
      <c r="WQ799" s="3796"/>
      <c r="WR799" s="3796"/>
      <c r="WS799" s="3796"/>
      <c r="WT799" s="3796"/>
      <c r="WU799" s="3796"/>
      <c r="WV799" s="3796"/>
      <c r="WW799" s="3796"/>
      <c r="WX799" s="3796"/>
      <c r="WY799" s="3796"/>
      <c r="WZ799" s="3796"/>
      <c r="XA799" s="3796"/>
      <c r="XB799" s="3796"/>
      <c r="XC799" s="3796"/>
      <c r="XD799" s="3796"/>
      <c r="XE799" s="3796"/>
      <c r="XF799" s="3796"/>
      <c r="XG799" s="3796"/>
      <c r="XH799" s="3796"/>
      <c r="XI799" s="3796"/>
      <c r="XJ799" s="3796"/>
      <c r="XK799" s="3796"/>
      <c r="XL799" s="3796"/>
      <c r="XM799" s="3796"/>
      <c r="XN799" s="3796"/>
      <c r="XO799" s="3796"/>
      <c r="XP799" s="3796"/>
      <c r="XQ799" s="3796"/>
      <c r="XR799" s="3796"/>
      <c r="XS799" s="3796"/>
      <c r="XT799" s="3796"/>
      <c r="XU799" s="3796"/>
      <c r="XV799" s="3796"/>
      <c r="XW799" s="3796"/>
      <c r="XX799" s="3796"/>
      <c r="XY799" s="3796"/>
      <c r="XZ799" s="3796"/>
      <c r="YA799" s="3796"/>
      <c r="YB799" s="3796"/>
      <c r="YC799" s="3796"/>
      <c r="YD799" s="3796"/>
      <c r="YE799" s="3796"/>
      <c r="YF799" s="3796"/>
      <c r="YG799" s="3796"/>
      <c r="YH799" s="3796"/>
      <c r="YI799" s="3796"/>
      <c r="YJ799" s="3796"/>
      <c r="YK799" s="3796"/>
      <c r="YL799" s="3796"/>
      <c r="YM799" s="3796"/>
      <c r="YN799" s="3796"/>
      <c r="YO799" s="3796"/>
      <c r="YP799" s="3796"/>
      <c r="YQ799" s="3796"/>
      <c r="YR799" s="3796"/>
      <c r="YS799" s="3796"/>
      <c r="YT799" s="3796"/>
      <c r="YU799" s="3796"/>
      <c r="YV799" s="3796"/>
      <c r="YW799" s="3796"/>
      <c r="YX799" s="3796"/>
      <c r="YY799" s="3796"/>
      <c r="YZ799" s="3796"/>
      <c r="ZA799" s="3796"/>
      <c r="ZB799" s="3796"/>
      <c r="ZC799" s="3796"/>
      <c r="ZD799" s="3796"/>
      <c r="ZE799" s="3796"/>
      <c r="ZF799" s="3796"/>
      <c r="ZG799" s="3796"/>
      <c r="ZH799" s="3796"/>
      <c r="ZI799" s="3796"/>
      <c r="ZJ799" s="3796"/>
      <c r="ZK799" s="3796"/>
      <c r="ZL799" s="3796"/>
      <c r="ZM799" s="3796"/>
      <c r="ZN799" s="3796"/>
      <c r="ZO799" s="3796"/>
      <c r="ZP799" s="3796"/>
      <c r="ZQ799" s="3796"/>
      <c r="ZR799" s="3796"/>
      <c r="ZS799" s="3796"/>
      <c r="ZT799" s="3796"/>
      <c r="ZU799" s="3796"/>
      <c r="ZV799" s="3796"/>
      <c r="ZW799" s="3796"/>
      <c r="ZX799" s="3796"/>
      <c r="ZY799" s="3796"/>
      <c r="ZZ799" s="3796"/>
      <c r="AAA799" s="3796"/>
      <c r="AAB799" s="3796"/>
      <c r="AAC799" s="3796"/>
      <c r="AAD799" s="3796"/>
      <c r="AAE799" s="3796"/>
      <c r="AAF799" s="3796"/>
      <c r="AAG799" s="3796"/>
      <c r="AAH799" s="3796"/>
      <c r="AAI799" s="3796"/>
      <c r="AAJ799" s="3796"/>
      <c r="AAK799" s="3796"/>
      <c r="AAL799" s="3796"/>
      <c r="AAM799" s="3796"/>
      <c r="AAN799" s="3796"/>
      <c r="AAO799" s="3796"/>
      <c r="AAP799" s="3796"/>
      <c r="AAQ799" s="3796"/>
      <c r="AAR799" s="3796"/>
      <c r="AAS799" s="3796"/>
      <c r="AAT799" s="3796"/>
      <c r="AAU799" s="3796"/>
      <c r="AAV799" s="3796"/>
      <c r="AAW799" s="3796"/>
      <c r="AAX799" s="3796"/>
      <c r="AAY799" s="3796"/>
      <c r="AAZ799" s="3796"/>
      <c r="ABA799" s="3796"/>
      <c r="ABB799" s="3796"/>
      <c r="ABC799" s="3796"/>
      <c r="ABD799" s="3796"/>
      <c r="ABE799" s="3796"/>
      <c r="ABF799" s="3796"/>
      <c r="ABG799" s="3796"/>
      <c r="ABH799" s="3796"/>
      <c r="ABI799" s="3796"/>
      <c r="ABJ799" s="3796"/>
      <c r="ABK799" s="3796"/>
      <c r="ABL799" s="3796"/>
      <c r="ABM799" s="3796"/>
      <c r="ABN799" s="3796"/>
      <c r="ABO799" s="3796"/>
      <c r="ABP799" s="3796"/>
      <c r="ABQ799" s="3796"/>
      <c r="ABR799" s="3796"/>
      <c r="ABS799" s="3796"/>
      <c r="ABT799" s="3796"/>
      <c r="ABU799" s="3796"/>
      <c r="ABV799" s="3796"/>
      <c r="ABW799" s="3796"/>
      <c r="ABX799" s="3796"/>
      <c r="ABY799" s="3796"/>
      <c r="ABZ799" s="3796"/>
      <c r="ACA799" s="3796"/>
      <c r="ACB799" s="3796"/>
      <c r="ACC799" s="3796"/>
      <c r="ACD799" s="3796"/>
      <c r="ACE799" s="3796"/>
      <c r="ACF799" s="3796"/>
      <c r="ACG799" s="3796"/>
      <c r="ACH799" s="3796"/>
      <c r="ACI799" s="3796"/>
      <c r="ACJ799" s="3796"/>
      <c r="ACK799" s="3796"/>
      <c r="ACL799" s="3796"/>
      <c r="ACM799" s="3796"/>
      <c r="ACN799" s="3796"/>
      <c r="ACO799" s="3796"/>
      <c r="ACT799" s="3796"/>
      <c r="ACZ799" s="3796"/>
      <c r="ADA799" s="3796"/>
      <c r="ADB799" s="3796"/>
      <c r="ADF799" s="3796"/>
      <c r="ADM799" s="3796"/>
      <c r="ADN799" s="3796"/>
      <c r="ADO799" s="3796"/>
      <c r="ADP799" s="3796"/>
      <c r="ADQ799" s="3796"/>
      <c r="ADR799" s="3796"/>
      <c r="ADS799" s="3796"/>
      <c r="ADT799" s="3796"/>
      <c r="ADU799" s="3796"/>
      <c r="ADV799" s="3796"/>
      <c r="ADW799" s="3796"/>
      <c r="ADX799" s="3796"/>
      <c r="ADY799" s="3796"/>
      <c r="ADZ799" s="3796"/>
      <c r="AEA799" s="3796"/>
      <c r="AEB799" s="3796"/>
      <c r="AEC799" s="3796"/>
      <c r="AED799" s="3796"/>
      <c r="AEE799" s="3796"/>
      <c r="AEF799" s="3796"/>
      <c r="AEG799" s="3796"/>
      <c r="AEH799" s="3796"/>
      <c r="AEI799" s="3796"/>
      <c r="AEJ799" s="3796"/>
      <c r="AEK799" s="3796"/>
      <c r="AEL799" s="3796"/>
      <c r="AEM799" s="3796"/>
      <c r="AEN799" s="3796"/>
      <c r="AEO799" s="3796"/>
      <c r="AEP799" s="3796"/>
      <c r="AEQ799" s="3796"/>
      <c r="AER799" s="3796"/>
      <c r="AES799" s="3796"/>
      <c r="AET799" s="3796"/>
      <c r="AEU799" s="3796"/>
      <c r="AEV799" s="3796"/>
      <c r="AEW799" s="3796"/>
      <c r="AEX799" s="3796"/>
      <c r="AEY799" s="3796"/>
      <c r="AEZ799" s="3796"/>
      <c r="AFA799" s="3796"/>
      <c r="AFB799" s="3796"/>
      <c r="AFC799" s="3796"/>
      <c r="AFD799" s="3796"/>
      <c r="AFE799" s="3796"/>
      <c r="AFF799" s="3796"/>
      <c r="AFG799" s="3796"/>
      <c r="AFH799" s="3796"/>
      <c r="AFI799" s="3796"/>
      <c r="AFJ799" s="3796"/>
      <c r="AFK799" s="3796"/>
      <c r="AFL799" s="3796"/>
      <c r="AFM799" s="3796"/>
      <c r="AFN799" s="3796"/>
      <c r="AFO799" s="3796"/>
      <c r="AFP799" s="3796"/>
      <c r="AFQ799" s="3796"/>
      <c r="AFR799" s="3796"/>
      <c r="AFS799" s="3796"/>
      <c r="AFT799" s="3796"/>
      <c r="AFU799" s="3796"/>
      <c r="AFV799" s="3796"/>
      <c r="AFW799" s="3796"/>
      <c r="AFX799" s="3796"/>
      <c r="AFY799" s="3796"/>
      <c r="AFZ799" s="3796"/>
      <c r="AGA799" s="3796"/>
      <c r="AGB799" s="3796"/>
      <c r="AGC799" s="3796"/>
      <c r="AGD799" s="3796"/>
      <c r="AGE799" s="3796"/>
      <c r="AGF799" s="3796"/>
      <c r="AGG799" s="3796"/>
      <c r="AGH799" s="3796"/>
      <c r="AGI799" s="3796"/>
      <c r="AGJ799" s="3796"/>
      <c r="AGK799" s="3796"/>
      <c r="AGL799" s="3796"/>
      <c r="AGM799" s="3796"/>
      <c r="AGN799" s="3796"/>
      <c r="AGO799" s="3796"/>
      <c r="AGP799" s="3796"/>
      <c r="AGQ799" s="3796"/>
      <c r="AGR799" s="3796"/>
      <c r="AGS799" s="3796"/>
      <c r="AGT799" s="3796"/>
      <c r="AGU799" s="3796"/>
      <c r="AGV799" s="3796"/>
      <c r="AGW799" s="3796"/>
      <c r="AGX799" s="3796"/>
      <c r="AGY799" s="3796"/>
      <c r="AGZ799" s="3796"/>
      <c r="AHA799" s="3796"/>
      <c r="AHB799" s="3796"/>
      <c r="AHC799" s="3796"/>
      <c r="AHD799" s="3796"/>
      <c r="AHE799" s="3796"/>
      <c r="AHF799" s="3796"/>
      <c r="AHG799" s="3796"/>
      <c r="AHH799" s="3796"/>
      <c r="AHI799" s="3796"/>
      <c r="AHJ799" s="3796"/>
      <c r="AHK799" s="3796"/>
      <c r="AHL799" s="3796"/>
      <c r="AHM799" s="3796"/>
      <c r="AHN799" s="3796"/>
      <c r="AHO799" s="3796"/>
      <c r="AHP799" s="3796"/>
      <c r="AHQ799" s="3796"/>
      <c r="AHR799" s="3796"/>
      <c r="AHS799" s="3796"/>
      <c r="AHT799" s="3796"/>
      <c r="AHU799" s="3796"/>
      <c r="AHV799" s="3796"/>
      <c r="AHW799" s="3796"/>
      <c r="AHX799" s="3796"/>
      <c r="AHY799" s="3796"/>
      <c r="AHZ799" s="3796"/>
      <c r="AIA799" s="3796"/>
      <c r="AIB799" s="3796"/>
      <c r="AIC799" s="3796"/>
      <c r="AID799" s="3796"/>
      <c r="AIE799" s="3796"/>
      <c r="AIF799" s="3796"/>
      <c r="AIG799" s="3796"/>
      <c r="AIH799" s="3796"/>
      <c r="AII799" s="3796"/>
      <c r="AIJ799" s="3796"/>
      <c r="AIK799" s="3796"/>
      <c r="AIL799" s="3796"/>
      <c r="AIM799" s="3796"/>
      <c r="AIN799" s="3796"/>
      <c r="AIO799" s="3796"/>
      <c r="AIP799" s="3796"/>
      <c r="AIQ799" s="3796"/>
      <c r="AIR799" s="3796"/>
      <c r="AIS799" s="3796"/>
      <c r="AIT799" s="3796"/>
      <c r="AIU799" s="3796"/>
      <c r="AIV799" s="3796"/>
      <c r="AIW799" s="3796"/>
      <c r="AIX799" s="3796"/>
      <c r="AIY799" s="3796"/>
      <c r="AIZ799" s="3796"/>
      <c r="AJA799" s="3796"/>
      <c r="AJB799" s="3796"/>
      <c r="AJC799" s="3796"/>
      <c r="AJD799" s="3796"/>
      <c r="AJE799" s="3796"/>
      <c r="AJF799" s="3796"/>
      <c r="AJG799" s="3796"/>
      <c r="AJH799" s="3796"/>
      <c r="AJI799" s="3796"/>
      <c r="AJJ799" s="3796"/>
      <c r="AJK799" s="3796"/>
      <c r="AJL799" s="3796"/>
      <c r="AJM799" s="3796"/>
      <c r="AJN799" s="3796"/>
      <c r="AJO799" s="3796"/>
      <c r="AJP799" s="3796"/>
      <c r="AJQ799" s="3796"/>
      <c r="AJR799" s="3796"/>
      <c r="AJS799" s="3796"/>
      <c r="AJT799" s="3796"/>
      <c r="AJU799" s="3796"/>
      <c r="AJV799" s="3796"/>
      <c r="AJW799" s="3796"/>
      <c r="AJX799" s="3796"/>
      <c r="AJY799" s="3796"/>
      <c r="AJZ799" s="3796"/>
      <c r="AKA799" s="3796"/>
      <c r="AKB799" s="3796"/>
      <c r="AKC799" s="3796"/>
      <c r="AKD799" s="3796"/>
      <c r="AKE799" s="3796"/>
      <c r="AKF799" s="3796"/>
      <c r="AKG799" s="3796"/>
      <c r="AKH799" s="3796"/>
      <c r="AKI799" s="3796"/>
      <c r="AKJ799" s="3796"/>
      <c r="AKK799" s="3796"/>
      <c r="AKL799" s="3796"/>
      <c r="AKM799" s="3796"/>
      <c r="AKN799" s="3796"/>
      <c r="AKO799" s="3796"/>
      <c r="AKP799" s="3796"/>
      <c r="AKQ799" s="3796"/>
      <c r="AKR799" s="3796"/>
      <c r="AKS799" s="3796"/>
      <c r="AKT799" s="3796"/>
      <c r="AKU799" s="3796"/>
      <c r="AKV799" s="3796"/>
      <c r="AKW799" s="3796"/>
      <c r="AKX799" s="3796"/>
      <c r="AKY799" s="3796"/>
      <c r="AKZ799" s="3796"/>
      <c r="ALA799" s="3796"/>
      <c r="ALB799" s="3796"/>
      <c r="ALC799" s="3796"/>
      <c r="ALD799" s="3796"/>
      <c r="ALE799" s="3796"/>
      <c r="ALF799" s="3796"/>
      <c r="ALG799" s="3796"/>
      <c r="ALH799" s="3796"/>
      <c r="ALI799" s="3796"/>
      <c r="ALJ799" s="3796"/>
      <c r="ALK799" s="3796"/>
      <c r="ALL799" s="3796"/>
      <c r="ALM799" s="3796"/>
      <c r="ALN799" s="3796"/>
      <c r="ALO799" s="3796"/>
      <c r="ALP799" s="3796"/>
      <c r="ALQ799" s="3796"/>
      <c r="ALR799" s="3796"/>
      <c r="ALS799" s="3796"/>
      <c r="ALT799" s="3796"/>
      <c r="ALU799" s="3796"/>
      <c r="ALV799" s="3796"/>
      <c r="ALW799" s="3796"/>
      <c r="ALX799" s="3796"/>
      <c r="ALY799" s="3796"/>
      <c r="ALZ799" s="3796"/>
      <c r="AMA799" s="3796"/>
      <c r="AMB799" s="3796"/>
      <c r="AMC799" s="3796"/>
      <c r="AMD799" s="3796"/>
      <c r="AME799" s="3796"/>
      <c r="AMF799" s="3796"/>
      <c r="AMG799" s="3796"/>
      <c r="AMH799" s="3796"/>
      <c r="AMI799" s="3796"/>
      <c r="AMJ799" s="3796"/>
      <c r="AMK799" s="3796"/>
      <c r="AMP799" s="3796"/>
      <c r="AMV799" s="3796"/>
      <c r="AMW799" s="3796"/>
      <c r="AMX799" s="3796"/>
      <c r="ANB799" s="3796"/>
      <c r="ANI799" s="3796"/>
      <c r="ANJ799" s="3796"/>
      <c r="ANK799" s="3796"/>
      <c r="ANL799" s="3796"/>
      <c r="ANM799" s="3796"/>
      <c r="ANN799" s="3796"/>
      <c r="ANO799" s="3796"/>
      <c r="ANP799" s="3796"/>
      <c r="ANQ799" s="3796"/>
      <c r="ANR799" s="3796"/>
      <c r="ANS799" s="3796"/>
      <c r="ANT799" s="3796"/>
      <c r="ANU799" s="3796"/>
      <c r="ANV799" s="3796"/>
      <c r="ANW799" s="3796"/>
      <c r="ANX799" s="3796"/>
      <c r="ANY799" s="3796"/>
      <c r="ANZ799" s="3796"/>
      <c r="AOA799" s="3796"/>
      <c r="AOB799" s="3796"/>
      <c r="AOC799" s="3796"/>
      <c r="AOD799" s="3796"/>
      <c r="AOE799" s="3796"/>
      <c r="AOF799" s="3796"/>
      <c r="AOG799" s="3796"/>
      <c r="AOH799" s="3796"/>
      <c r="AOI799" s="3796"/>
      <c r="AOJ799" s="3796"/>
      <c r="AOK799" s="3796"/>
      <c r="AOL799" s="3796"/>
      <c r="AOM799" s="3796"/>
      <c r="AON799" s="3796"/>
      <c r="AOO799" s="3796"/>
      <c r="AOP799" s="3796"/>
      <c r="AOQ799" s="3796"/>
      <c r="AOR799" s="3796"/>
      <c r="AOS799" s="3796"/>
      <c r="AOT799" s="3796"/>
      <c r="AOU799" s="3796"/>
      <c r="AOV799" s="3796"/>
      <c r="AOW799" s="3796"/>
      <c r="AOX799" s="3796"/>
      <c r="AOY799" s="3796"/>
      <c r="AOZ799" s="3796"/>
      <c r="APA799" s="3796"/>
      <c r="APB799" s="3796"/>
      <c r="APC799" s="3796"/>
      <c r="APD799" s="3796"/>
      <c r="APE799" s="3796"/>
      <c r="APF799" s="3796"/>
      <c r="APG799" s="3796"/>
      <c r="APH799" s="3796"/>
      <c r="API799" s="3796"/>
      <c r="APJ799" s="3796"/>
      <c r="APK799" s="3796"/>
      <c r="APL799" s="3796"/>
      <c r="APM799" s="3796"/>
      <c r="APN799" s="3796"/>
      <c r="APO799" s="3796"/>
      <c r="APP799" s="3796"/>
      <c r="APQ799" s="3796"/>
      <c r="APR799" s="3796"/>
      <c r="APS799" s="3796"/>
      <c r="APT799" s="3796"/>
      <c r="APU799" s="3796"/>
      <c r="APV799" s="3796"/>
      <c r="APW799" s="3796"/>
      <c r="APX799" s="3796"/>
      <c r="APY799" s="3796"/>
      <c r="APZ799" s="3796"/>
      <c r="AQA799" s="3796"/>
      <c r="AQB799" s="3796"/>
      <c r="AQC799" s="3796"/>
      <c r="AQD799" s="3796"/>
      <c r="AQE799" s="3796"/>
      <c r="AQF799" s="3796"/>
      <c r="AQG799" s="3796"/>
      <c r="AQH799" s="3796"/>
      <c r="AQI799" s="3796"/>
      <c r="AQJ799" s="3796"/>
      <c r="AQK799" s="3796"/>
      <c r="AQL799" s="3796"/>
      <c r="AQM799" s="3796"/>
      <c r="AQN799" s="3796"/>
      <c r="AQO799" s="3796"/>
      <c r="AQP799" s="3796"/>
      <c r="AQQ799" s="3796"/>
      <c r="AQR799" s="3796"/>
      <c r="AQS799" s="3796"/>
      <c r="AQT799" s="3796"/>
      <c r="AQU799" s="3796"/>
      <c r="AQV799" s="3796"/>
      <c r="AQW799" s="3796"/>
      <c r="AQX799" s="3796"/>
      <c r="AQY799" s="3796"/>
      <c r="AQZ799" s="3796"/>
      <c r="ARA799" s="3796"/>
      <c r="ARB799" s="3796"/>
      <c r="ARC799" s="3796"/>
      <c r="ARD799" s="3796"/>
      <c r="ARE799" s="3796"/>
      <c r="ARF799" s="3796"/>
      <c r="ARG799" s="3796"/>
      <c r="ARH799" s="3796"/>
      <c r="ARI799" s="3796"/>
      <c r="ARJ799" s="3796"/>
      <c r="ARK799" s="3796"/>
      <c r="ARL799" s="3796"/>
      <c r="ARM799" s="3796"/>
      <c r="ARN799" s="3796"/>
      <c r="ARO799" s="3796"/>
      <c r="ARP799" s="3796"/>
      <c r="ARQ799" s="3796"/>
      <c r="ARR799" s="3796"/>
      <c r="ARS799" s="3796"/>
      <c r="ART799" s="3796"/>
      <c r="ARU799" s="3796"/>
      <c r="ARV799" s="3796"/>
      <c r="ARW799" s="3796"/>
      <c r="ARX799" s="3796"/>
      <c r="ARY799" s="3796"/>
      <c r="ARZ799" s="3796"/>
      <c r="ASA799" s="3796"/>
      <c r="ASB799" s="3796"/>
      <c r="ASC799" s="3796"/>
      <c r="ASD799" s="3796"/>
      <c r="ASE799" s="3796"/>
      <c r="ASF799" s="3796"/>
      <c r="ASG799" s="3796"/>
      <c r="ASH799" s="3796"/>
      <c r="ASI799" s="3796"/>
      <c r="ASJ799" s="3796"/>
      <c r="ASK799" s="3796"/>
      <c r="ASL799" s="3796"/>
      <c r="ASM799" s="3796"/>
      <c r="ASN799" s="3796"/>
      <c r="ASO799" s="3796"/>
      <c r="ASP799" s="3796"/>
      <c r="ASQ799" s="3796"/>
      <c r="ASR799" s="3796"/>
      <c r="ASS799" s="3796"/>
      <c r="AST799" s="3796"/>
      <c r="ASU799" s="3796"/>
      <c r="ASV799" s="3796"/>
      <c r="ASW799" s="3796"/>
      <c r="ASX799" s="3796"/>
      <c r="ASY799" s="3796"/>
      <c r="ASZ799" s="3796"/>
      <c r="ATA799" s="3796"/>
      <c r="ATB799" s="3796"/>
      <c r="ATC799" s="3796"/>
      <c r="ATD799" s="3796"/>
      <c r="ATE799" s="3796"/>
      <c r="ATF799" s="3796"/>
      <c r="ATG799" s="3796"/>
      <c r="ATH799" s="3796"/>
      <c r="ATI799" s="3796"/>
      <c r="ATJ799" s="3796"/>
      <c r="ATK799" s="3796"/>
      <c r="ATL799" s="3796"/>
      <c r="ATM799" s="3796"/>
      <c r="ATN799" s="3796"/>
      <c r="ATO799" s="3796"/>
      <c r="ATP799" s="3796"/>
      <c r="ATQ799" s="3796"/>
      <c r="ATR799" s="3796"/>
      <c r="ATS799" s="3796"/>
      <c r="ATT799" s="3796"/>
      <c r="ATU799" s="3796"/>
      <c r="ATV799" s="3796"/>
      <c r="ATW799" s="3796"/>
      <c r="ATX799" s="3796"/>
      <c r="ATY799" s="3796"/>
      <c r="ATZ799" s="3796"/>
      <c r="AUA799" s="3796"/>
      <c r="AUB799" s="3796"/>
      <c r="AUC799" s="3796"/>
      <c r="AUD799" s="3796"/>
      <c r="AUE799" s="3796"/>
      <c r="AUF799" s="3796"/>
      <c r="AUG799" s="3796"/>
      <c r="AUH799" s="3796"/>
      <c r="AUI799" s="3796"/>
      <c r="AUJ799" s="3796"/>
      <c r="AUK799" s="3796"/>
      <c r="AUL799" s="3796"/>
      <c r="AUM799" s="3796"/>
      <c r="AUN799" s="3796"/>
      <c r="AUO799" s="3796"/>
      <c r="AUP799" s="3796"/>
      <c r="AUQ799" s="3796"/>
      <c r="AUR799" s="3796"/>
      <c r="AUS799" s="3796"/>
      <c r="AUT799" s="3796"/>
      <c r="AUU799" s="3796"/>
      <c r="AUV799" s="3796"/>
      <c r="AUW799" s="3796"/>
      <c r="AUX799" s="3796"/>
      <c r="AUY799" s="3796"/>
      <c r="AUZ799" s="3796"/>
      <c r="AVA799" s="3796"/>
      <c r="AVB799" s="3796"/>
      <c r="AVC799" s="3796"/>
      <c r="AVD799" s="3796"/>
      <c r="AVE799" s="3796"/>
      <c r="AVF799" s="3796"/>
      <c r="AVG799" s="3796"/>
      <c r="AVH799" s="3796"/>
      <c r="AVI799" s="3796"/>
      <c r="AVJ799" s="3796"/>
      <c r="AVK799" s="3796"/>
      <c r="AVL799" s="3796"/>
      <c r="AVM799" s="3796"/>
      <c r="AVN799" s="3796"/>
      <c r="AVO799" s="3796"/>
      <c r="AVP799" s="3796"/>
      <c r="AVQ799" s="3796"/>
      <c r="AVR799" s="3796"/>
      <c r="AVS799" s="3796"/>
      <c r="AVT799" s="3796"/>
      <c r="AVU799" s="3796"/>
      <c r="AVV799" s="3796"/>
      <c r="AVW799" s="3796"/>
      <c r="AVX799" s="3796"/>
      <c r="AVY799" s="3796"/>
      <c r="AVZ799" s="3796"/>
      <c r="AWA799" s="3796"/>
      <c r="AWB799" s="3796"/>
      <c r="AWC799" s="3796"/>
      <c r="AWD799" s="3796"/>
      <c r="AWE799" s="3796"/>
      <c r="AWF799" s="3796"/>
      <c r="AWG799" s="3796"/>
      <c r="AWL799" s="3796"/>
      <c r="AWR799" s="3796"/>
      <c r="AWS799" s="3796"/>
      <c r="AWT799" s="3796"/>
      <c r="AWX799" s="3796"/>
      <c r="AXE799" s="3796"/>
      <c r="AXF799" s="3796"/>
      <c r="AXG799" s="3796"/>
      <c r="AXH799" s="3796"/>
      <c r="AXI799" s="3796"/>
      <c r="AXJ799" s="3796"/>
      <c r="AXK799" s="3796"/>
      <c r="AXL799" s="3796"/>
      <c r="AXM799" s="3796"/>
      <c r="AXN799" s="3796"/>
      <c r="AXO799" s="3796"/>
      <c r="AXP799" s="3796"/>
      <c r="AXQ799" s="3796"/>
      <c r="AXR799" s="3796"/>
      <c r="AXS799" s="3796"/>
      <c r="AXT799" s="3796"/>
      <c r="AXU799" s="3796"/>
      <c r="AXV799" s="3796"/>
      <c r="AXW799" s="3796"/>
      <c r="AXX799" s="3796"/>
      <c r="AXY799" s="3796"/>
      <c r="AXZ799" s="3796"/>
      <c r="AYA799" s="3796"/>
      <c r="AYB799" s="3796"/>
      <c r="AYC799" s="3796"/>
      <c r="AYD799" s="3796"/>
      <c r="AYE799" s="3796"/>
      <c r="AYF799" s="3796"/>
      <c r="AYG799" s="3796"/>
      <c r="AYH799" s="3796"/>
      <c r="AYI799" s="3796"/>
      <c r="AYJ799" s="3796"/>
      <c r="AYK799" s="3796"/>
      <c r="AYL799" s="3796"/>
      <c r="AYM799" s="3796"/>
      <c r="AYN799" s="3796"/>
      <c r="AYO799" s="3796"/>
      <c r="AYP799" s="3796"/>
      <c r="AYQ799" s="3796"/>
      <c r="AYR799" s="3796"/>
      <c r="AYS799" s="3796"/>
      <c r="AYT799" s="3796"/>
      <c r="AYU799" s="3796"/>
      <c r="AYV799" s="3796"/>
      <c r="AYW799" s="3796"/>
      <c r="AYX799" s="3796"/>
      <c r="AYY799" s="3796"/>
      <c r="AYZ799" s="3796"/>
      <c r="AZA799" s="3796"/>
      <c r="AZB799" s="3796"/>
      <c r="AZC799" s="3796"/>
      <c r="AZD799" s="3796"/>
      <c r="AZE799" s="3796"/>
      <c r="AZF799" s="3796"/>
      <c r="AZG799" s="3796"/>
      <c r="AZH799" s="3796"/>
      <c r="AZI799" s="3796"/>
      <c r="AZJ799" s="3796"/>
      <c r="AZK799" s="3796"/>
      <c r="AZL799" s="3796"/>
      <c r="AZM799" s="3796"/>
      <c r="AZN799" s="3796"/>
      <c r="AZO799" s="3796"/>
      <c r="AZP799" s="3796"/>
      <c r="AZQ799" s="3796"/>
      <c r="AZR799" s="3796"/>
      <c r="AZS799" s="3796"/>
      <c r="AZT799" s="3796"/>
      <c r="AZU799" s="3796"/>
      <c r="AZV799" s="3796"/>
      <c r="AZW799" s="3796"/>
      <c r="AZX799" s="3796"/>
      <c r="AZY799" s="3796"/>
      <c r="AZZ799" s="3796"/>
      <c r="BAA799" s="3796"/>
      <c r="BAB799" s="3796"/>
      <c r="BAC799" s="3796"/>
      <c r="BAD799" s="3796"/>
      <c r="BAE799" s="3796"/>
      <c r="BAF799" s="3796"/>
      <c r="BAG799" s="3796"/>
      <c r="BAH799" s="3796"/>
      <c r="BAI799" s="3796"/>
      <c r="BAJ799" s="3796"/>
      <c r="BAK799" s="3796"/>
      <c r="BAL799" s="3796"/>
      <c r="BAM799" s="3796"/>
      <c r="BAN799" s="3796"/>
      <c r="BAO799" s="3796"/>
      <c r="BAP799" s="3796"/>
      <c r="BAQ799" s="3796"/>
      <c r="BAR799" s="3796"/>
      <c r="BAS799" s="3796"/>
      <c r="BAT799" s="3796"/>
      <c r="BAU799" s="3796"/>
      <c r="BAV799" s="3796"/>
      <c r="BAW799" s="3796"/>
      <c r="BAX799" s="3796"/>
      <c r="BAY799" s="3796"/>
      <c r="BAZ799" s="3796"/>
      <c r="BBA799" s="3796"/>
      <c r="BBB799" s="3796"/>
      <c r="BBC799" s="3796"/>
      <c r="BBD799" s="3796"/>
      <c r="BBE799" s="3796"/>
      <c r="BBF799" s="3796"/>
      <c r="BBG799" s="3796"/>
      <c r="BBH799" s="3796"/>
      <c r="BBI799" s="3796"/>
      <c r="BBJ799" s="3796"/>
      <c r="BBK799" s="3796"/>
      <c r="BBL799" s="3796"/>
      <c r="BBM799" s="3796"/>
      <c r="BBN799" s="3796"/>
      <c r="BBO799" s="3796"/>
      <c r="BBP799" s="3796"/>
      <c r="BBQ799" s="3796"/>
      <c r="BBR799" s="3796"/>
      <c r="BBS799" s="3796"/>
      <c r="BBT799" s="3796"/>
      <c r="BBU799" s="3796"/>
      <c r="BBV799" s="3796"/>
      <c r="BBW799" s="3796"/>
      <c r="BBX799" s="3796"/>
      <c r="BBY799" s="3796"/>
      <c r="BBZ799" s="3796"/>
      <c r="BCA799" s="3796"/>
      <c r="BCB799" s="3796"/>
      <c r="BCC799" s="3796"/>
      <c r="BCD799" s="3796"/>
      <c r="BCE799" s="3796"/>
      <c r="BCF799" s="3796"/>
      <c r="BCG799" s="3796"/>
      <c r="BCH799" s="3796"/>
      <c r="BCI799" s="3796"/>
      <c r="BCJ799" s="3796"/>
      <c r="BCK799" s="3796"/>
      <c r="BCL799" s="3796"/>
      <c r="BCM799" s="3796"/>
      <c r="BCN799" s="3796"/>
      <c r="BCO799" s="3796"/>
      <c r="BCP799" s="3796"/>
      <c r="BCQ799" s="3796"/>
      <c r="BCR799" s="3796"/>
      <c r="BCS799" s="3796"/>
      <c r="BCT799" s="3796"/>
      <c r="BCU799" s="3796"/>
      <c r="BCV799" s="3796"/>
      <c r="BCW799" s="3796"/>
      <c r="BCX799" s="3796"/>
      <c r="BCY799" s="3796"/>
      <c r="BCZ799" s="3796"/>
      <c r="BDA799" s="3796"/>
      <c r="BDB799" s="3796"/>
      <c r="BDC799" s="3796"/>
      <c r="BDD799" s="3796"/>
      <c r="BDE799" s="3796"/>
      <c r="BDF799" s="3796"/>
      <c r="BDG799" s="3796"/>
      <c r="BDH799" s="3796"/>
      <c r="BDI799" s="3796"/>
      <c r="BDJ799" s="3796"/>
      <c r="BDK799" s="3796"/>
      <c r="BDL799" s="3796"/>
      <c r="BDM799" s="3796"/>
      <c r="BDN799" s="3796"/>
      <c r="BDO799" s="3796"/>
      <c r="BDP799" s="3796"/>
      <c r="BDQ799" s="3796"/>
      <c r="BDR799" s="3796"/>
      <c r="BDS799" s="3796"/>
      <c r="BDT799" s="3796"/>
      <c r="BDU799" s="3796"/>
      <c r="BDV799" s="3796"/>
      <c r="BDW799" s="3796"/>
      <c r="BDX799" s="3796"/>
      <c r="BDY799" s="3796"/>
      <c r="BDZ799" s="3796"/>
      <c r="BEA799" s="3796"/>
      <c r="BEB799" s="3796"/>
      <c r="BEC799" s="3796"/>
      <c r="BED799" s="3796"/>
      <c r="BEE799" s="3796"/>
      <c r="BEF799" s="3796"/>
      <c r="BEG799" s="3796"/>
      <c r="BEH799" s="3796"/>
      <c r="BEI799" s="3796"/>
      <c r="BEJ799" s="3796"/>
      <c r="BEK799" s="3796"/>
      <c r="BEL799" s="3796"/>
      <c r="BEM799" s="3796"/>
      <c r="BEN799" s="3796"/>
      <c r="BEO799" s="3796"/>
      <c r="BEP799" s="3796"/>
      <c r="BEQ799" s="3796"/>
      <c r="BER799" s="3796"/>
      <c r="BES799" s="3796"/>
      <c r="BET799" s="3796"/>
      <c r="BEU799" s="3796"/>
      <c r="BEV799" s="3796"/>
      <c r="BEW799" s="3796"/>
      <c r="BEX799" s="3796"/>
      <c r="BEY799" s="3796"/>
      <c r="BEZ799" s="3796"/>
      <c r="BFA799" s="3796"/>
      <c r="BFB799" s="3796"/>
      <c r="BFC799" s="3796"/>
      <c r="BFD799" s="3796"/>
      <c r="BFE799" s="3796"/>
      <c r="BFF799" s="3796"/>
      <c r="BFG799" s="3796"/>
      <c r="BFH799" s="3796"/>
      <c r="BFI799" s="3796"/>
      <c r="BFJ799" s="3796"/>
      <c r="BFK799" s="3796"/>
      <c r="BFL799" s="3796"/>
      <c r="BFM799" s="3796"/>
      <c r="BFN799" s="3796"/>
      <c r="BFO799" s="3796"/>
      <c r="BFP799" s="3796"/>
      <c r="BFQ799" s="3796"/>
      <c r="BFR799" s="3796"/>
      <c r="BFS799" s="3796"/>
      <c r="BFT799" s="3796"/>
      <c r="BFU799" s="3796"/>
      <c r="BFV799" s="3796"/>
      <c r="BFW799" s="3796"/>
      <c r="BFX799" s="3796"/>
      <c r="BFY799" s="3796"/>
      <c r="BFZ799" s="3796"/>
      <c r="BGA799" s="3796"/>
      <c r="BGB799" s="3796"/>
      <c r="BGC799" s="3796"/>
      <c r="BGH799" s="3796"/>
      <c r="BGN799" s="3796"/>
      <c r="BGO799" s="3796"/>
      <c r="BGP799" s="3796"/>
      <c r="BGT799" s="3796"/>
      <c r="BHA799" s="3796"/>
      <c r="BHB799" s="3796"/>
      <c r="BHC799" s="3796"/>
      <c r="BHD799" s="3796"/>
      <c r="BHE799" s="3796"/>
      <c r="BHF799" s="3796"/>
      <c r="BHG799" s="3796"/>
      <c r="BHH799" s="3796"/>
      <c r="BHI799" s="3796"/>
      <c r="BHJ799" s="3796"/>
      <c r="BHK799" s="3796"/>
      <c r="BHL799" s="3796"/>
      <c r="BHM799" s="3796"/>
      <c r="BHN799" s="3796"/>
      <c r="BHO799" s="3796"/>
      <c r="BHP799" s="3796"/>
      <c r="BHQ799" s="3796"/>
      <c r="BHR799" s="3796"/>
      <c r="BHS799" s="3796"/>
      <c r="BHT799" s="3796"/>
      <c r="BHU799" s="3796"/>
      <c r="BHV799" s="3796"/>
      <c r="BHW799" s="3796"/>
      <c r="BHX799" s="3796"/>
      <c r="BHY799" s="3796"/>
      <c r="BHZ799" s="3796"/>
      <c r="BIA799" s="3796"/>
      <c r="BIB799" s="3796"/>
      <c r="BIC799" s="3796"/>
      <c r="BID799" s="3796"/>
      <c r="BIE799" s="3796"/>
      <c r="BIF799" s="3796"/>
      <c r="BIG799" s="3796"/>
      <c r="BIH799" s="3796"/>
      <c r="BII799" s="3796"/>
      <c r="BIJ799" s="3796"/>
      <c r="BIK799" s="3796"/>
      <c r="BIL799" s="3796"/>
      <c r="BIM799" s="3796"/>
      <c r="BIN799" s="3796"/>
      <c r="BIO799" s="3796"/>
      <c r="BIP799" s="3796"/>
      <c r="BIQ799" s="3796"/>
      <c r="BIR799" s="3796"/>
      <c r="BIS799" s="3796"/>
      <c r="BIT799" s="3796"/>
      <c r="BIU799" s="3796"/>
      <c r="BIV799" s="3796"/>
      <c r="BIW799" s="3796"/>
      <c r="BIX799" s="3796"/>
      <c r="BIY799" s="3796"/>
      <c r="BIZ799" s="3796"/>
      <c r="BJA799" s="3796"/>
      <c r="BJB799" s="3796"/>
      <c r="BJC799" s="3796"/>
      <c r="BJD799" s="3796"/>
      <c r="BJE799" s="3796"/>
      <c r="BJF799" s="3796"/>
      <c r="BJG799" s="3796"/>
      <c r="BJH799" s="3796"/>
      <c r="BJI799" s="3796"/>
      <c r="BJJ799" s="3796"/>
      <c r="BJK799" s="3796"/>
      <c r="BJL799" s="3796"/>
      <c r="BJM799" s="3796"/>
      <c r="BJN799" s="3796"/>
      <c r="BJO799" s="3796"/>
      <c r="BJP799" s="3796"/>
      <c r="BJQ799" s="3796"/>
      <c r="BJR799" s="3796"/>
      <c r="BJS799" s="3796"/>
      <c r="BJT799" s="3796"/>
      <c r="BJU799" s="3796"/>
      <c r="BJV799" s="3796"/>
      <c r="BJW799" s="3796"/>
      <c r="BJX799" s="3796"/>
      <c r="BJY799" s="3796"/>
      <c r="BJZ799" s="3796"/>
      <c r="BKA799" s="3796"/>
      <c r="BKB799" s="3796"/>
      <c r="BKC799" s="3796"/>
      <c r="BKD799" s="3796"/>
      <c r="BKE799" s="3796"/>
      <c r="BKF799" s="3796"/>
      <c r="BKG799" s="3796"/>
      <c r="BKH799" s="3796"/>
      <c r="BKI799" s="3796"/>
      <c r="BKJ799" s="3796"/>
      <c r="BKK799" s="3796"/>
      <c r="BKL799" s="3796"/>
      <c r="BKM799" s="3796"/>
      <c r="BKN799" s="3796"/>
      <c r="BKO799" s="3796"/>
      <c r="BKP799" s="3796"/>
      <c r="BKQ799" s="3796"/>
      <c r="BKR799" s="3796"/>
      <c r="BKS799" s="3796"/>
      <c r="BKT799" s="3796"/>
      <c r="BKU799" s="3796"/>
      <c r="BKV799" s="3796"/>
      <c r="BKW799" s="3796"/>
      <c r="BKX799" s="3796"/>
      <c r="BKY799" s="3796"/>
      <c r="BKZ799" s="3796"/>
      <c r="BLA799" s="3796"/>
      <c r="BLB799" s="3796"/>
      <c r="BLC799" s="3796"/>
      <c r="BLD799" s="3796"/>
      <c r="BLE799" s="3796"/>
      <c r="BLF799" s="3796"/>
      <c r="BLG799" s="3796"/>
      <c r="BLH799" s="3796"/>
      <c r="BLI799" s="3796"/>
      <c r="BLJ799" s="3796"/>
      <c r="BLK799" s="3796"/>
      <c r="BLL799" s="3796"/>
      <c r="BLM799" s="3796"/>
      <c r="BLN799" s="3796"/>
      <c r="BLO799" s="3796"/>
      <c r="BLP799" s="3796"/>
      <c r="BLQ799" s="3796"/>
      <c r="BLR799" s="3796"/>
      <c r="BLS799" s="3796"/>
      <c r="BLT799" s="3796"/>
      <c r="BLU799" s="3796"/>
      <c r="BLV799" s="3796"/>
      <c r="BLW799" s="3796"/>
      <c r="BLX799" s="3796"/>
      <c r="BLY799" s="3796"/>
      <c r="BLZ799" s="3796"/>
      <c r="BMA799" s="3796"/>
      <c r="BMB799" s="3796"/>
      <c r="BMC799" s="3796"/>
      <c r="BMD799" s="3796"/>
      <c r="BME799" s="3796"/>
      <c r="BMF799" s="3796"/>
      <c r="BMG799" s="3796"/>
      <c r="BMH799" s="3796"/>
      <c r="BMI799" s="3796"/>
      <c r="BMJ799" s="3796"/>
      <c r="BMK799" s="3796"/>
      <c r="BML799" s="3796"/>
      <c r="BMM799" s="3796"/>
      <c r="BMN799" s="3796"/>
      <c r="BMO799" s="3796"/>
      <c r="BMP799" s="3796"/>
      <c r="BMQ799" s="3796"/>
      <c r="BMR799" s="3796"/>
      <c r="BMS799" s="3796"/>
      <c r="BMT799" s="3796"/>
      <c r="BMU799" s="3796"/>
      <c r="BMV799" s="3796"/>
      <c r="BMW799" s="3796"/>
      <c r="BMX799" s="3796"/>
      <c r="BMY799" s="3796"/>
      <c r="BMZ799" s="3796"/>
      <c r="BNA799" s="3796"/>
      <c r="BNB799" s="3796"/>
      <c r="BNC799" s="3796"/>
      <c r="BND799" s="3796"/>
      <c r="BNE799" s="3796"/>
      <c r="BNF799" s="3796"/>
      <c r="BNG799" s="3796"/>
      <c r="BNH799" s="3796"/>
      <c r="BNI799" s="3796"/>
      <c r="BNJ799" s="3796"/>
      <c r="BNK799" s="3796"/>
      <c r="BNL799" s="3796"/>
      <c r="BNM799" s="3796"/>
      <c r="BNN799" s="3796"/>
      <c r="BNO799" s="3796"/>
      <c r="BNP799" s="3796"/>
      <c r="BNQ799" s="3796"/>
      <c r="BNR799" s="3796"/>
      <c r="BNS799" s="3796"/>
      <c r="BNT799" s="3796"/>
      <c r="BNU799" s="3796"/>
      <c r="BNV799" s="3796"/>
      <c r="BNW799" s="3796"/>
      <c r="BNX799" s="3796"/>
      <c r="BNY799" s="3796"/>
      <c r="BNZ799" s="3796"/>
      <c r="BOA799" s="3796"/>
      <c r="BOB799" s="3796"/>
      <c r="BOC799" s="3796"/>
      <c r="BOD799" s="3796"/>
      <c r="BOE799" s="3796"/>
      <c r="BOF799" s="3796"/>
      <c r="BOG799" s="3796"/>
      <c r="BOH799" s="3796"/>
      <c r="BOI799" s="3796"/>
      <c r="BOJ799" s="3796"/>
      <c r="BOK799" s="3796"/>
      <c r="BOL799" s="3796"/>
      <c r="BOM799" s="3796"/>
      <c r="BON799" s="3796"/>
      <c r="BOO799" s="3796"/>
      <c r="BOP799" s="3796"/>
      <c r="BOQ799" s="3796"/>
      <c r="BOR799" s="3796"/>
      <c r="BOS799" s="3796"/>
      <c r="BOT799" s="3796"/>
      <c r="BOU799" s="3796"/>
      <c r="BOV799" s="3796"/>
      <c r="BOW799" s="3796"/>
      <c r="BOX799" s="3796"/>
      <c r="BOY799" s="3796"/>
      <c r="BOZ799" s="3796"/>
      <c r="BPA799" s="3796"/>
      <c r="BPB799" s="3796"/>
      <c r="BPC799" s="3796"/>
      <c r="BPD799" s="3796"/>
      <c r="BPE799" s="3796"/>
      <c r="BPF799" s="3796"/>
      <c r="BPG799" s="3796"/>
      <c r="BPH799" s="3796"/>
      <c r="BPI799" s="3796"/>
      <c r="BPJ799" s="3796"/>
      <c r="BPK799" s="3796"/>
      <c r="BPL799" s="3796"/>
      <c r="BPM799" s="3796"/>
      <c r="BPN799" s="3796"/>
      <c r="BPO799" s="3796"/>
      <c r="BPP799" s="3796"/>
      <c r="BPQ799" s="3796"/>
      <c r="BPR799" s="3796"/>
      <c r="BPS799" s="3796"/>
      <c r="BPT799" s="3796"/>
      <c r="BPU799" s="3796"/>
      <c r="BPV799" s="3796"/>
      <c r="BPW799" s="3796"/>
      <c r="BPX799" s="3796"/>
      <c r="BPY799" s="3796"/>
      <c r="BQD799" s="3796"/>
      <c r="BQJ799" s="3796"/>
      <c r="BQK799" s="3796"/>
      <c r="BQL799" s="3796"/>
      <c r="BQP799" s="3796"/>
      <c r="BQW799" s="3796"/>
      <c r="BQX799" s="3796"/>
      <c r="BQY799" s="3796"/>
      <c r="BQZ799" s="3796"/>
      <c r="BRA799" s="3796"/>
      <c r="BRB799" s="3796"/>
      <c r="BRC799" s="3796"/>
      <c r="BRD799" s="3796"/>
      <c r="BRE799" s="3796"/>
      <c r="BRF799" s="3796"/>
      <c r="BRG799" s="3796"/>
      <c r="BRH799" s="3796"/>
      <c r="BRI799" s="3796"/>
      <c r="BRJ799" s="3796"/>
      <c r="BRK799" s="3796"/>
      <c r="BRL799" s="3796"/>
      <c r="BRM799" s="3796"/>
      <c r="BRN799" s="3796"/>
      <c r="BRO799" s="3796"/>
      <c r="BRP799" s="3796"/>
      <c r="BRQ799" s="3796"/>
      <c r="BRR799" s="3796"/>
      <c r="BRS799" s="3796"/>
      <c r="BRT799" s="3796"/>
      <c r="BRU799" s="3796"/>
      <c r="BRV799" s="3796"/>
      <c r="BRW799" s="3796"/>
      <c r="BRX799" s="3796"/>
      <c r="BRY799" s="3796"/>
      <c r="BRZ799" s="3796"/>
      <c r="BSA799" s="3796"/>
      <c r="BSB799" s="3796"/>
      <c r="BSC799" s="3796"/>
      <c r="BSD799" s="3796"/>
      <c r="BSE799" s="3796"/>
      <c r="BSF799" s="3796"/>
      <c r="BSG799" s="3796"/>
      <c r="BSH799" s="3796"/>
      <c r="BSI799" s="3796"/>
      <c r="BSJ799" s="3796"/>
      <c r="BSK799" s="3796"/>
      <c r="BSL799" s="3796"/>
      <c r="BSM799" s="3796"/>
      <c r="BSN799" s="3796"/>
      <c r="BSO799" s="3796"/>
      <c r="BSP799" s="3796"/>
      <c r="BSQ799" s="3796"/>
      <c r="BSR799" s="3796"/>
      <c r="BSS799" s="3796"/>
      <c r="BST799" s="3796"/>
      <c r="BSU799" s="3796"/>
      <c r="BSV799" s="3796"/>
      <c r="BSW799" s="3796"/>
      <c r="BSX799" s="3796"/>
      <c r="BSY799" s="3796"/>
      <c r="BSZ799" s="3796"/>
      <c r="BTA799" s="3796"/>
      <c r="BTB799" s="3796"/>
      <c r="BTC799" s="3796"/>
      <c r="BTD799" s="3796"/>
      <c r="BTE799" s="3796"/>
      <c r="BTF799" s="3796"/>
      <c r="BTG799" s="3796"/>
      <c r="BTH799" s="3796"/>
      <c r="BTI799" s="3796"/>
      <c r="BTJ799" s="3796"/>
      <c r="BTK799" s="3796"/>
      <c r="BTL799" s="3796"/>
      <c r="BTM799" s="3796"/>
      <c r="BTN799" s="3796"/>
      <c r="BTO799" s="3796"/>
      <c r="BTP799" s="3796"/>
      <c r="BTQ799" s="3796"/>
      <c r="BTR799" s="3796"/>
      <c r="BTS799" s="3796"/>
      <c r="BTT799" s="3796"/>
      <c r="BTU799" s="3796"/>
      <c r="BTV799" s="3796"/>
      <c r="BTW799" s="3796"/>
      <c r="BTX799" s="3796"/>
      <c r="BTY799" s="3796"/>
      <c r="BTZ799" s="3796"/>
      <c r="BUA799" s="3796"/>
      <c r="BUB799" s="3796"/>
      <c r="BUC799" s="3796"/>
      <c r="BUD799" s="3796"/>
      <c r="BUE799" s="3796"/>
      <c r="BUF799" s="3796"/>
      <c r="BUG799" s="3796"/>
      <c r="BUH799" s="3796"/>
      <c r="BUI799" s="3796"/>
      <c r="BUJ799" s="3796"/>
      <c r="BUK799" s="3796"/>
      <c r="BUL799" s="3796"/>
      <c r="BUM799" s="3796"/>
      <c r="BUN799" s="3796"/>
      <c r="BUO799" s="3796"/>
      <c r="BUP799" s="3796"/>
      <c r="BUQ799" s="3796"/>
      <c r="BUR799" s="3796"/>
      <c r="BUS799" s="3796"/>
      <c r="BUT799" s="3796"/>
      <c r="BUU799" s="3796"/>
      <c r="BUV799" s="3796"/>
      <c r="BUW799" s="3796"/>
      <c r="BUX799" s="3796"/>
      <c r="BUY799" s="3796"/>
      <c r="BUZ799" s="3796"/>
      <c r="BVA799" s="3796"/>
      <c r="BVB799" s="3796"/>
      <c r="BVC799" s="3796"/>
      <c r="BVD799" s="3796"/>
      <c r="BVE799" s="3796"/>
      <c r="BVF799" s="3796"/>
      <c r="BVG799" s="3796"/>
      <c r="BVH799" s="3796"/>
      <c r="BVI799" s="3796"/>
      <c r="BVJ799" s="3796"/>
      <c r="BVK799" s="3796"/>
      <c r="BVL799" s="3796"/>
      <c r="BVM799" s="3796"/>
      <c r="BVN799" s="3796"/>
      <c r="BVO799" s="3796"/>
      <c r="BVP799" s="3796"/>
      <c r="BVQ799" s="3796"/>
      <c r="BVR799" s="3796"/>
      <c r="BVS799" s="3796"/>
      <c r="BVT799" s="3796"/>
      <c r="BVU799" s="3796"/>
      <c r="BVV799" s="3796"/>
      <c r="BVW799" s="3796"/>
      <c r="BVX799" s="3796"/>
      <c r="BVY799" s="3796"/>
      <c r="BVZ799" s="3796"/>
      <c r="BWA799" s="3796"/>
      <c r="BWB799" s="3796"/>
      <c r="BWC799" s="3796"/>
      <c r="BWD799" s="3796"/>
      <c r="BWE799" s="3796"/>
      <c r="BWF799" s="3796"/>
      <c r="BWG799" s="3796"/>
      <c r="BWH799" s="3796"/>
      <c r="BWI799" s="3796"/>
      <c r="BWJ799" s="3796"/>
      <c r="BWK799" s="3796"/>
      <c r="BWL799" s="3796"/>
      <c r="BWM799" s="3796"/>
      <c r="BWN799" s="3796"/>
      <c r="BWO799" s="3796"/>
      <c r="BWP799" s="3796"/>
      <c r="BWQ799" s="3796"/>
      <c r="BWR799" s="3796"/>
      <c r="BWS799" s="3796"/>
      <c r="BWT799" s="3796"/>
      <c r="BWU799" s="3796"/>
      <c r="BWV799" s="3796"/>
      <c r="BWW799" s="3796"/>
      <c r="BWX799" s="3796"/>
      <c r="BWY799" s="3796"/>
      <c r="BWZ799" s="3796"/>
      <c r="BXA799" s="3796"/>
      <c r="BXB799" s="3796"/>
      <c r="BXC799" s="3796"/>
      <c r="BXD799" s="3796"/>
      <c r="BXE799" s="3796"/>
      <c r="BXF799" s="3796"/>
      <c r="BXG799" s="3796"/>
      <c r="BXH799" s="3796"/>
      <c r="BXI799" s="3796"/>
      <c r="BXJ799" s="3796"/>
      <c r="BXK799" s="3796"/>
      <c r="BXL799" s="3796"/>
      <c r="BXM799" s="3796"/>
      <c r="BXN799" s="3796"/>
      <c r="BXO799" s="3796"/>
      <c r="BXP799" s="3796"/>
      <c r="BXQ799" s="3796"/>
      <c r="BXR799" s="3796"/>
      <c r="BXS799" s="3796"/>
      <c r="BXT799" s="3796"/>
      <c r="BXU799" s="3796"/>
      <c r="BXV799" s="3796"/>
      <c r="BXW799" s="3796"/>
      <c r="BXX799" s="3796"/>
      <c r="BXY799" s="3796"/>
      <c r="BXZ799" s="3796"/>
      <c r="BYA799" s="3796"/>
      <c r="BYB799" s="3796"/>
      <c r="BYC799" s="3796"/>
      <c r="BYD799" s="3796"/>
      <c r="BYE799" s="3796"/>
      <c r="BYF799" s="3796"/>
      <c r="BYG799" s="3796"/>
      <c r="BYH799" s="3796"/>
      <c r="BYI799" s="3796"/>
      <c r="BYJ799" s="3796"/>
      <c r="BYK799" s="3796"/>
      <c r="BYL799" s="3796"/>
      <c r="BYM799" s="3796"/>
      <c r="BYN799" s="3796"/>
      <c r="BYO799" s="3796"/>
      <c r="BYP799" s="3796"/>
      <c r="BYQ799" s="3796"/>
      <c r="BYR799" s="3796"/>
      <c r="BYS799" s="3796"/>
      <c r="BYT799" s="3796"/>
      <c r="BYU799" s="3796"/>
      <c r="BYV799" s="3796"/>
      <c r="BYW799" s="3796"/>
      <c r="BYX799" s="3796"/>
      <c r="BYY799" s="3796"/>
      <c r="BYZ799" s="3796"/>
      <c r="BZA799" s="3796"/>
      <c r="BZB799" s="3796"/>
      <c r="BZC799" s="3796"/>
      <c r="BZD799" s="3796"/>
      <c r="BZE799" s="3796"/>
      <c r="BZF799" s="3796"/>
      <c r="BZG799" s="3796"/>
      <c r="BZH799" s="3796"/>
      <c r="BZI799" s="3796"/>
      <c r="BZJ799" s="3796"/>
      <c r="BZK799" s="3796"/>
      <c r="BZL799" s="3796"/>
      <c r="BZM799" s="3796"/>
      <c r="BZN799" s="3796"/>
      <c r="BZO799" s="3796"/>
      <c r="BZP799" s="3796"/>
      <c r="BZQ799" s="3796"/>
      <c r="BZR799" s="3796"/>
      <c r="BZS799" s="3796"/>
      <c r="BZT799" s="3796"/>
      <c r="BZU799" s="3796"/>
      <c r="BZZ799" s="3796"/>
      <c r="CAF799" s="3796"/>
      <c r="CAG799" s="3796"/>
      <c r="CAH799" s="3796"/>
      <c r="CAL799" s="3796"/>
      <c r="CAS799" s="3796"/>
      <c r="CAT799" s="3796"/>
      <c r="CAU799" s="3796"/>
      <c r="CAV799" s="3796"/>
      <c r="CAW799" s="3796"/>
      <c r="CAX799" s="3796"/>
      <c r="CAY799" s="3796"/>
      <c r="CAZ799" s="3796"/>
      <c r="CBA799" s="3796"/>
      <c r="CBB799" s="3796"/>
      <c r="CBC799" s="3796"/>
      <c r="CBD799" s="3796"/>
      <c r="CBE799" s="3796"/>
      <c r="CBF799" s="3796"/>
      <c r="CBG799" s="3796"/>
      <c r="CBH799" s="3796"/>
      <c r="CBI799" s="3796"/>
      <c r="CBJ799" s="3796"/>
      <c r="CBK799" s="3796"/>
      <c r="CBL799" s="3796"/>
      <c r="CBM799" s="3796"/>
      <c r="CBN799" s="3796"/>
      <c r="CBO799" s="3796"/>
      <c r="CBP799" s="3796"/>
      <c r="CBQ799" s="3796"/>
      <c r="CBR799" s="3796"/>
      <c r="CBS799" s="3796"/>
      <c r="CBT799" s="3796"/>
      <c r="CBU799" s="3796"/>
      <c r="CBV799" s="3796"/>
      <c r="CBW799" s="3796"/>
      <c r="CBX799" s="3796"/>
      <c r="CBY799" s="3796"/>
      <c r="CBZ799" s="3796"/>
      <c r="CCA799" s="3796"/>
      <c r="CCB799" s="3796"/>
      <c r="CCC799" s="3796"/>
      <c r="CCD799" s="3796"/>
      <c r="CCE799" s="3796"/>
      <c r="CCF799" s="3796"/>
      <c r="CCG799" s="3796"/>
      <c r="CCH799" s="3796"/>
      <c r="CCI799" s="3796"/>
      <c r="CCJ799" s="3796"/>
      <c r="CCK799" s="3796"/>
      <c r="CCL799" s="3796"/>
      <c r="CCM799" s="3796"/>
      <c r="CCN799" s="3796"/>
      <c r="CCO799" s="3796"/>
      <c r="CCP799" s="3796"/>
      <c r="CCQ799" s="3796"/>
      <c r="CCR799" s="3796"/>
      <c r="CCS799" s="3796"/>
      <c r="CCT799" s="3796"/>
      <c r="CCU799" s="3796"/>
      <c r="CCV799" s="3796"/>
      <c r="CCW799" s="3796"/>
      <c r="CCX799" s="3796"/>
      <c r="CCY799" s="3796"/>
      <c r="CCZ799" s="3796"/>
      <c r="CDA799" s="3796"/>
      <c r="CDB799" s="3796"/>
      <c r="CDC799" s="3796"/>
      <c r="CDD799" s="3796"/>
      <c r="CDE799" s="3796"/>
      <c r="CDF799" s="3796"/>
      <c r="CDG799" s="3796"/>
      <c r="CDH799" s="3796"/>
      <c r="CDI799" s="3796"/>
      <c r="CDJ799" s="3796"/>
      <c r="CDK799" s="3796"/>
      <c r="CDL799" s="3796"/>
      <c r="CDM799" s="3796"/>
      <c r="CDN799" s="3796"/>
      <c r="CDO799" s="3796"/>
      <c r="CDP799" s="3796"/>
      <c r="CDQ799" s="3796"/>
      <c r="CDR799" s="3796"/>
      <c r="CDS799" s="3796"/>
      <c r="CDT799" s="3796"/>
      <c r="CDU799" s="3796"/>
      <c r="CDV799" s="3796"/>
      <c r="CDW799" s="3796"/>
      <c r="CDX799" s="3796"/>
      <c r="CDY799" s="3796"/>
      <c r="CDZ799" s="3796"/>
      <c r="CEA799" s="3796"/>
      <c r="CEB799" s="3796"/>
      <c r="CEC799" s="3796"/>
      <c r="CED799" s="3796"/>
      <c r="CEE799" s="3796"/>
      <c r="CEF799" s="3796"/>
      <c r="CEG799" s="3796"/>
      <c r="CEH799" s="3796"/>
      <c r="CEI799" s="3796"/>
      <c r="CEJ799" s="3796"/>
      <c r="CEK799" s="3796"/>
      <c r="CEL799" s="3796"/>
      <c r="CEM799" s="3796"/>
      <c r="CEN799" s="3796"/>
      <c r="CEO799" s="3796"/>
      <c r="CEP799" s="3796"/>
      <c r="CEQ799" s="3796"/>
      <c r="CER799" s="3796"/>
      <c r="CES799" s="3796"/>
      <c r="CET799" s="3796"/>
      <c r="CEU799" s="3796"/>
      <c r="CEV799" s="3796"/>
      <c r="CEW799" s="3796"/>
      <c r="CEX799" s="3796"/>
      <c r="CEY799" s="3796"/>
      <c r="CEZ799" s="3796"/>
      <c r="CFA799" s="3796"/>
      <c r="CFB799" s="3796"/>
      <c r="CFC799" s="3796"/>
      <c r="CFD799" s="3796"/>
      <c r="CFE799" s="3796"/>
      <c r="CFF799" s="3796"/>
      <c r="CFG799" s="3796"/>
      <c r="CFH799" s="3796"/>
      <c r="CFI799" s="3796"/>
      <c r="CFJ799" s="3796"/>
      <c r="CFK799" s="3796"/>
      <c r="CFL799" s="3796"/>
      <c r="CFM799" s="3796"/>
      <c r="CFN799" s="3796"/>
      <c r="CFO799" s="3796"/>
      <c r="CFP799" s="3796"/>
      <c r="CFQ799" s="3796"/>
      <c r="CFR799" s="3796"/>
      <c r="CFS799" s="3796"/>
      <c r="CFT799" s="3796"/>
      <c r="CFU799" s="3796"/>
      <c r="CFV799" s="3796"/>
      <c r="CFW799" s="3796"/>
      <c r="CFX799" s="3796"/>
      <c r="CFY799" s="3796"/>
      <c r="CFZ799" s="3796"/>
      <c r="CGA799" s="3796"/>
      <c r="CGB799" s="3796"/>
      <c r="CGC799" s="3796"/>
      <c r="CGD799" s="3796"/>
      <c r="CGE799" s="3796"/>
      <c r="CGF799" s="3796"/>
      <c r="CGG799" s="3796"/>
      <c r="CGH799" s="3796"/>
      <c r="CGI799" s="3796"/>
      <c r="CGJ799" s="3796"/>
      <c r="CGK799" s="3796"/>
      <c r="CGL799" s="3796"/>
      <c r="CGM799" s="3796"/>
      <c r="CGN799" s="3796"/>
      <c r="CGO799" s="3796"/>
      <c r="CGP799" s="3796"/>
      <c r="CGQ799" s="3796"/>
      <c r="CGR799" s="3796"/>
      <c r="CGS799" s="3796"/>
      <c r="CGT799" s="3796"/>
      <c r="CGU799" s="3796"/>
      <c r="CGV799" s="3796"/>
      <c r="CGW799" s="3796"/>
      <c r="CGX799" s="3796"/>
      <c r="CGY799" s="3796"/>
      <c r="CGZ799" s="3796"/>
      <c r="CHA799" s="3796"/>
      <c r="CHB799" s="3796"/>
      <c r="CHC799" s="3796"/>
      <c r="CHD799" s="3796"/>
      <c r="CHE799" s="3796"/>
      <c r="CHF799" s="3796"/>
      <c r="CHG799" s="3796"/>
      <c r="CHH799" s="3796"/>
      <c r="CHI799" s="3796"/>
      <c r="CHJ799" s="3796"/>
      <c r="CHK799" s="3796"/>
      <c r="CHL799" s="3796"/>
      <c r="CHM799" s="3796"/>
      <c r="CHN799" s="3796"/>
      <c r="CHO799" s="3796"/>
      <c r="CHP799" s="3796"/>
      <c r="CHQ799" s="3796"/>
      <c r="CHR799" s="3796"/>
      <c r="CHS799" s="3796"/>
      <c r="CHT799" s="3796"/>
      <c r="CHU799" s="3796"/>
      <c r="CHV799" s="3796"/>
      <c r="CHW799" s="3796"/>
      <c r="CHX799" s="3796"/>
      <c r="CHY799" s="3796"/>
      <c r="CHZ799" s="3796"/>
      <c r="CIA799" s="3796"/>
      <c r="CIB799" s="3796"/>
      <c r="CIC799" s="3796"/>
      <c r="CID799" s="3796"/>
      <c r="CIE799" s="3796"/>
      <c r="CIF799" s="3796"/>
      <c r="CIG799" s="3796"/>
      <c r="CIH799" s="3796"/>
      <c r="CII799" s="3796"/>
      <c r="CIJ799" s="3796"/>
      <c r="CIK799" s="3796"/>
      <c r="CIL799" s="3796"/>
      <c r="CIM799" s="3796"/>
      <c r="CIN799" s="3796"/>
      <c r="CIO799" s="3796"/>
      <c r="CIP799" s="3796"/>
      <c r="CIQ799" s="3796"/>
      <c r="CIR799" s="3796"/>
      <c r="CIS799" s="3796"/>
      <c r="CIT799" s="3796"/>
      <c r="CIU799" s="3796"/>
      <c r="CIV799" s="3796"/>
      <c r="CIW799" s="3796"/>
      <c r="CIX799" s="3796"/>
      <c r="CIY799" s="3796"/>
      <c r="CIZ799" s="3796"/>
      <c r="CJA799" s="3796"/>
      <c r="CJB799" s="3796"/>
      <c r="CJC799" s="3796"/>
      <c r="CJD799" s="3796"/>
      <c r="CJE799" s="3796"/>
      <c r="CJF799" s="3796"/>
      <c r="CJG799" s="3796"/>
      <c r="CJH799" s="3796"/>
      <c r="CJI799" s="3796"/>
      <c r="CJJ799" s="3796"/>
      <c r="CJK799" s="3796"/>
      <c r="CJL799" s="3796"/>
      <c r="CJM799" s="3796"/>
      <c r="CJN799" s="3796"/>
      <c r="CJO799" s="3796"/>
      <c r="CJP799" s="3796"/>
      <c r="CJQ799" s="3796"/>
      <c r="CJV799" s="3796"/>
      <c r="CKB799" s="3796"/>
      <c r="CKC799" s="3796"/>
      <c r="CKD799" s="3796"/>
      <c r="CKH799" s="3796"/>
      <c r="CKO799" s="3796"/>
      <c r="CKP799" s="3796"/>
      <c r="CKQ799" s="3796"/>
      <c r="CKR799" s="3796"/>
      <c r="CKS799" s="3796"/>
      <c r="CKT799" s="3796"/>
      <c r="CKU799" s="3796"/>
      <c r="CKV799" s="3796"/>
      <c r="CKW799" s="3796"/>
      <c r="CKX799" s="3796"/>
      <c r="CKY799" s="3796"/>
      <c r="CKZ799" s="3796"/>
      <c r="CLA799" s="3796"/>
      <c r="CLB799" s="3796"/>
      <c r="CLC799" s="3796"/>
      <c r="CLD799" s="3796"/>
      <c r="CLE799" s="3796"/>
      <c r="CLF799" s="3796"/>
      <c r="CLG799" s="3796"/>
      <c r="CLH799" s="3796"/>
      <c r="CLI799" s="3796"/>
      <c r="CLJ799" s="3796"/>
      <c r="CLK799" s="3796"/>
      <c r="CLL799" s="3796"/>
      <c r="CLM799" s="3796"/>
      <c r="CLN799" s="3796"/>
      <c r="CLO799" s="3796"/>
      <c r="CLP799" s="3796"/>
      <c r="CLQ799" s="3796"/>
      <c r="CLR799" s="3796"/>
      <c r="CLS799" s="3796"/>
      <c r="CLT799" s="3796"/>
      <c r="CLU799" s="3796"/>
      <c r="CLV799" s="3796"/>
      <c r="CLW799" s="3796"/>
      <c r="CLX799" s="3796"/>
      <c r="CLY799" s="3796"/>
      <c r="CLZ799" s="3796"/>
      <c r="CMA799" s="3796"/>
      <c r="CMB799" s="3796"/>
      <c r="CMC799" s="3796"/>
      <c r="CMD799" s="3796"/>
      <c r="CME799" s="3796"/>
      <c r="CMF799" s="3796"/>
      <c r="CMG799" s="3796"/>
      <c r="CMH799" s="3796"/>
      <c r="CMI799" s="3796"/>
      <c r="CMJ799" s="3796"/>
      <c r="CMK799" s="3796"/>
      <c r="CML799" s="3796"/>
      <c r="CMM799" s="3796"/>
      <c r="CMN799" s="3796"/>
      <c r="CMO799" s="3796"/>
      <c r="CMP799" s="3796"/>
      <c r="CMQ799" s="3796"/>
      <c r="CMR799" s="3796"/>
      <c r="CMS799" s="3796"/>
      <c r="CMT799" s="3796"/>
      <c r="CMU799" s="3796"/>
      <c r="CMV799" s="3796"/>
      <c r="CMW799" s="3796"/>
      <c r="CMX799" s="3796"/>
      <c r="CMY799" s="3796"/>
      <c r="CMZ799" s="3796"/>
      <c r="CNA799" s="3796"/>
      <c r="CNB799" s="3796"/>
      <c r="CNC799" s="3796"/>
      <c r="CND799" s="3796"/>
      <c r="CNE799" s="3796"/>
      <c r="CNF799" s="3796"/>
      <c r="CNG799" s="3796"/>
      <c r="CNH799" s="3796"/>
      <c r="CNI799" s="3796"/>
      <c r="CNJ799" s="3796"/>
      <c r="CNK799" s="3796"/>
      <c r="CNL799" s="3796"/>
      <c r="CNM799" s="3796"/>
      <c r="CNN799" s="3796"/>
      <c r="CNO799" s="3796"/>
      <c r="CNP799" s="3796"/>
      <c r="CNQ799" s="3796"/>
      <c r="CNR799" s="3796"/>
      <c r="CNS799" s="3796"/>
      <c r="CNT799" s="3796"/>
      <c r="CNU799" s="3796"/>
      <c r="CNV799" s="3796"/>
      <c r="CNW799" s="3796"/>
      <c r="CNX799" s="3796"/>
      <c r="CNY799" s="3796"/>
      <c r="CNZ799" s="3796"/>
      <c r="COA799" s="3796"/>
      <c r="COB799" s="3796"/>
      <c r="COC799" s="3796"/>
      <c r="COD799" s="3796"/>
      <c r="COE799" s="3796"/>
      <c r="COF799" s="3796"/>
      <c r="COG799" s="3796"/>
      <c r="COH799" s="3796"/>
      <c r="COI799" s="3796"/>
      <c r="COJ799" s="3796"/>
      <c r="COK799" s="3796"/>
      <c r="COL799" s="3796"/>
      <c r="COM799" s="3796"/>
      <c r="CON799" s="3796"/>
      <c r="COO799" s="3796"/>
      <c r="COP799" s="3796"/>
      <c r="COQ799" s="3796"/>
      <c r="COR799" s="3796"/>
      <c r="COS799" s="3796"/>
      <c r="COT799" s="3796"/>
      <c r="COU799" s="3796"/>
      <c r="COV799" s="3796"/>
      <c r="COW799" s="3796"/>
      <c r="COX799" s="3796"/>
      <c r="COY799" s="3796"/>
      <c r="COZ799" s="3796"/>
      <c r="CPA799" s="3796"/>
      <c r="CPB799" s="3796"/>
      <c r="CPC799" s="3796"/>
      <c r="CPD799" s="3796"/>
      <c r="CPE799" s="3796"/>
      <c r="CPF799" s="3796"/>
      <c r="CPG799" s="3796"/>
      <c r="CPH799" s="3796"/>
      <c r="CPI799" s="3796"/>
      <c r="CPJ799" s="3796"/>
      <c r="CPK799" s="3796"/>
      <c r="CPL799" s="3796"/>
      <c r="CPM799" s="3796"/>
      <c r="CPN799" s="3796"/>
      <c r="CPO799" s="3796"/>
      <c r="CPP799" s="3796"/>
      <c r="CPQ799" s="3796"/>
      <c r="CPR799" s="3796"/>
      <c r="CPS799" s="3796"/>
      <c r="CPT799" s="3796"/>
      <c r="CPU799" s="3796"/>
      <c r="CPV799" s="3796"/>
      <c r="CPW799" s="3796"/>
      <c r="CPX799" s="3796"/>
      <c r="CPY799" s="3796"/>
      <c r="CPZ799" s="3796"/>
      <c r="CQA799" s="3796"/>
      <c r="CQB799" s="3796"/>
      <c r="CQC799" s="3796"/>
      <c r="CQD799" s="3796"/>
      <c r="CQE799" s="3796"/>
      <c r="CQF799" s="3796"/>
      <c r="CQG799" s="3796"/>
      <c r="CQH799" s="3796"/>
      <c r="CQI799" s="3796"/>
      <c r="CQJ799" s="3796"/>
      <c r="CQK799" s="3796"/>
      <c r="CQL799" s="3796"/>
      <c r="CQM799" s="3796"/>
      <c r="CQN799" s="3796"/>
      <c r="CQO799" s="3796"/>
      <c r="CQP799" s="3796"/>
      <c r="CQQ799" s="3796"/>
      <c r="CQR799" s="3796"/>
      <c r="CQS799" s="3796"/>
      <c r="CQT799" s="3796"/>
      <c r="CQU799" s="3796"/>
      <c r="CQV799" s="3796"/>
      <c r="CQW799" s="3796"/>
      <c r="CQX799" s="3796"/>
      <c r="CQY799" s="3796"/>
      <c r="CQZ799" s="3796"/>
      <c r="CRA799" s="3796"/>
      <c r="CRB799" s="3796"/>
      <c r="CRC799" s="3796"/>
      <c r="CRD799" s="3796"/>
      <c r="CRE799" s="3796"/>
      <c r="CRF799" s="3796"/>
      <c r="CRG799" s="3796"/>
      <c r="CRH799" s="3796"/>
      <c r="CRI799" s="3796"/>
      <c r="CRJ799" s="3796"/>
      <c r="CRK799" s="3796"/>
      <c r="CRL799" s="3796"/>
      <c r="CRM799" s="3796"/>
      <c r="CRN799" s="3796"/>
      <c r="CRO799" s="3796"/>
      <c r="CRP799" s="3796"/>
      <c r="CRQ799" s="3796"/>
      <c r="CRR799" s="3796"/>
      <c r="CRS799" s="3796"/>
      <c r="CRT799" s="3796"/>
      <c r="CRU799" s="3796"/>
      <c r="CRV799" s="3796"/>
      <c r="CRW799" s="3796"/>
      <c r="CRX799" s="3796"/>
      <c r="CRY799" s="3796"/>
      <c r="CRZ799" s="3796"/>
      <c r="CSA799" s="3796"/>
      <c r="CSB799" s="3796"/>
      <c r="CSC799" s="3796"/>
      <c r="CSD799" s="3796"/>
      <c r="CSE799" s="3796"/>
      <c r="CSF799" s="3796"/>
      <c r="CSG799" s="3796"/>
      <c r="CSH799" s="3796"/>
      <c r="CSI799" s="3796"/>
      <c r="CSJ799" s="3796"/>
      <c r="CSK799" s="3796"/>
      <c r="CSL799" s="3796"/>
      <c r="CSM799" s="3796"/>
      <c r="CSN799" s="3796"/>
      <c r="CSO799" s="3796"/>
      <c r="CSP799" s="3796"/>
      <c r="CSQ799" s="3796"/>
      <c r="CSR799" s="3796"/>
      <c r="CSS799" s="3796"/>
      <c r="CST799" s="3796"/>
      <c r="CSU799" s="3796"/>
      <c r="CSV799" s="3796"/>
      <c r="CSW799" s="3796"/>
      <c r="CSX799" s="3796"/>
      <c r="CSY799" s="3796"/>
      <c r="CSZ799" s="3796"/>
      <c r="CTA799" s="3796"/>
      <c r="CTB799" s="3796"/>
      <c r="CTC799" s="3796"/>
      <c r="CTD799" s="3796"/>
      <c r="CTE799" s="3796"/>
      <c r="CTF799" s="3796"/>
      <c r="CTG799" s="3796"/>
      <c r="CTH799" s="3796"/>
      <c r="CTI799" s="3796"/>
      <c r="CTJ799" s="3796"/>
      <c r="CTK799" s="3796"/>
      <c r="CTL799" s="3796"/>
      <c r="CTM799" s="3796"/>
      <c r="CTR799" s="3796"/>
      <c r="CTX799" s="3796"/>
      <c r="CTY799" s="3796"/>
      <c r="CTZ799" s="3796"/>
      <c r="CUD799" s="3796"/>
      <c r="CUK799" s="3796"/>
      <c r="CUL799" s="3796"/>
      <c r="CUM799" s="3796"/>
      <c r="CUN799" s="3796"/>
      <c r="CUO799" s="3796"/>
      <c r="CUP799" s="3796"/>
      <c r="CUQ799" s="3796"/>
      <c r="CUR799" s="3796"/>
      <c r="CUS799" s="3796"/>
      <c r="CUT799" s="3796"/>
      <c r="CUU799" s="3796"/>
      <c r="CUV799" s="3796"/>
      <c r="CUW799" s="3796"/>
      <c r="CUX799" s="3796"/>
      <c r="CUY799" s="3796"/>
      <c r="CUZ799" s="3796"/>
      <c r="CVA799" s="3796"/>
      <c r="CVB799" s="3796"/>
      <c r="CVC799" s="3796"/>
      <c r="CVD799" s="3796"/>
      <c r="CVE799" s="3796"/>
      <c r="CVF799" s="3796"/>
      <c r="CVG799" s="3796"/>
      <c r="CVH799" s="3796"/>
      <c r="CVI799" s="3796"/>
      <c r="CVJ799" s="3796"/>
      <c r="CVK799" s="3796"/>
      <c r="CVL799" s="3796"/>
      <c r="CVM799" s="3796"/>
      <c r="CVN799" s="3796"/>
      <c r="CVO799" s="3796"/>
      <c r="CVP799" s="3796"/>
      <c r="CVQ799" s="3796"/>
      <c r="CVR799" s="3796"/>
      <c r="CVS799" s="3796"/>
      <c r="CVT799" s="3796"/>
      <c r="CVU799" s="3796"/>
      <c r="CVV799" s="3796"/>
      <c r="CVW799" s="3796"/>
      <c r="CVX799" s="3796"/>
      <c r="CVY799" s="3796"/>
      <c r="CVZ799" s="3796"/>
      <c r="CWA799" s="3796"/>
      <c r="CWB799" s="3796"/>
      <c r="CWC799" s="3796"/>
      <c r="CWD799" s="3796"/>
      <c r="CWE799" s="3796"/>
      <c r="CWF799" s="3796"/>
      <c r="CWG799" s="3796"/>
      <c r="CWH799" s="3796"/>
      <c r="CWI799" s="3796"/>
      <c r="CWJ799" s="3796"/>
      <c r="CWK799" s="3796"/>
      <c r="CWL799" s="3796"/>
      <c r="CWM799" s="3796"/>
      <c r="CWN799" s="3796"/>
      <c r="CWO799" s="3796"/>
      <c r="CWP799" s="3796"/>
      <c r="CWQ799" s="3796"/>
      <c r="CWR799" s="3796"/>
      <c r="CWS799" s="3796"/>
      <c r="CWT799" s="3796"/>
      <c r="CWU799" s="3796"/>
      <c r="CWV799" s="3796"/>
      <c r="CWW799" s="3796"/>
      <c r="CWX799" s="3796"/>
      <c r="CWY799" s="3796"/>
      <c r="CWZ799" s="3796"/>
      <c r="CXA799" s="3796"/>
      <c r="CXB799" s="3796"/>
      <c r="CXC799" s="3796"/>
      <c r="CXD799" s="3796"/>
      <c r="CXE799" s="3796"/>
      <c r="CXF799" s="3796"/>
      <c r="CXG799" s="3796"/>
      <c r="CXH799" s="3796"/>
      <c r="CXI799" s="3796"/>
      <c r="CXJ799" s="3796"/>
      <c r="CXK799" s="3796"/>
      <c r="CXL799" s="3796"/>
      <c r="CXM799" s="3796"/>
      <c r="CXN799" s="3796"/>
      <c r="CXO799" s="3796"/>
      <c r="CXP799" s="3796"/>
      <c r="CXQ799" s="3796"/>
      <c r="CXR799" s="3796"/>
      <c r="CXS799" s="3796"/>
      <c r="CXT799" s="3796"/>
      <c r="CXU799" s="3796"/>
      <c r="CXV799" s="3796"/>
      <c r="CXW799" s="3796"/>
      <c r="CXX799" s="3796"/>
      <c r="CXY799" s="3796"/>
      <c r="CXZ799" s="3796"/>
      <c r="CYA799" s="3796"/>
      <c r="CYB799" s="3796"/>
      <c r="CYC799" s="3796"/>
      <c r="CYD799" s="3796"/>
      <c r="CYE799" s="3796"/>
      <c r="CYF799" s="3796"/>
      <c r="CYG799" s="3796"/>
      <c r="CYH799" s="3796"/>
      <c r="CYI799" s="3796"/>
      <c r="CYJ799" s="3796"/>
      <c r="CYK799" s="3796"/>
      <c r="CYL799" s="3796"/>
      <c r="CYM799" s="3796"/>
      <c r="CYN799" s="3796"/>
      <c r="CYO799" s="3796"/>
      <c r="CYP799" s="3796"/>
      <c r="CYQ799" s="3796"/>
      <c r="CYR799" s="3796"/>
      <c r="CYS799" s="3796"/>
      <c r="CYT799" s="3796"/>
      <c r="CYU799" s="3796"/>
      <c r="CYV799" s="3796"/>
      <c r="CYW799" s="3796"/>
      <c r="CYX799" s="3796"/>
      <c r="CYY799" s="3796"/>
      <c r="CYZ799" s="3796"/>
      <c r="CZA799" s="3796"/>
      <c r="CZB799" s="3796"/>
      <c r="CZC799" s="3796"/>
      <c r="CZD799" s="3796"/>
      <c r="CZE799" s="3796"/>
      <c r="CZF799" s="3796"/>
      <c r="CZG799" s="3796"/>
      <c r="CZH799" s="3796"/>
      <c r="CZI799" s="3796"/>
      <c r="CZJ799" s="3796"/>
      <c r="CZK799" s="3796"/>
      <c r="CZL799" s="3796"/>
      <c r="CZM799" s="3796"/>
      <c r="CZN799" s="3796"/>
      <c r="CZO799" s="3796"/>
      <c r="CZP799" s="3796"/>
      <c r="CZQ799" s="3796"/>
      <c r="CZR799" s="3796"/>
      <c r="CZS799" s="3796"/>
      <c r="CZT799" s="3796"/>
      <c r="CZU799" s="3796"/>
      <c r="CZV799" s="3796"/>
      <c r="CZW799" s="3796"/>
      <c r="CZX799" s="3796"/>
      <c r="CZY799" s="3796"/>
      <c r="CZZ799" s="3796"/>
      <c r="DAA799" s="3796"/>
      <c r="DAB799" s="3796"/>
      <c r="DAC799" s="3796"/>
      <c r="DAD799" s="3796"/>
      <c r="DAE799" s="3796"/>
      <c r="DAF799" s="3796"/>
      <c r="DAG799" s="3796"/>
      <c r="DAH799" s="3796"/>
      <c r="DAI799" s="3796"/>
      <c r="DAJ799" s="3796"/>
      <c r="DAK799" s="3796"/>
      <c r="DAL799" s="3796"/>
      <c r="DAM799" s="3796"/>
      <c r="DAN799" s="3796"/>
      <c r="DAO799" s="3796"/>
      <c r="DAP799" s="3796"/>
      <c r="DAQ799" s="3796"/>
      <c r="DAR799" s="3796"/>
      <c r="DAS799" s="3796"/>
      <c r="DAT799" s="3796"/>
      <c r="DAU799" s="3796"/>
      <c r="DAV799" s="3796"/>
      <c r="DAW799" s="3796"/>
      <c r="DAX799" s="3796"/>
      <c r="DAY799" s="3796"/>
      <c r="DAZ799" s="3796"/>
      <c r="DBA799" s="3796"/>
      <c r="DBB799" s="3796"/>
      <c r="DBC799" s="3796"/>
      <c r="DBD799" s="3796"/>
      <c r="DBE799" s="3796"/>
      <c r="DBF799" s="3796"/>
      <c r="DBG799" s="3796"/>
      <c r="DBH799" s="3796"/>
      <c r="DBI799" s="3796"/>
      <c r="DBJ799" s="3796"/>
      <c r="DBK799" s="3796"/>
      <c r="DBL799" s="3796"/>
      <c r="DBM799" s="3796"/>
      <c r="DBN799" s="3796"/>
      <c r="DBO799" s="3796"/>
      <c r="DBP799" s="3796"/>
      <c r="DBQ799" s="3796"/>
      <c r="DBR799" s="3796"/>
      <c r="DBS799" s="3796"/>
      <c r="DBT799" s="3796"/>
      <c r="DBU799" s="3796"/>
      <c r="DBV799" s="3796"/>
      <c r="DBW799" s="3796"/>
      <c r="DBX799" s="3796"/>
      <c r="DBY799" s="3796"/>
      <c r="DBZ799" s="3796"/>
      <c r="DCA799" s="3796"/>
      <c r="DCB799" s="3796"/>
      <c r="DCC799" s="3796"/>
      <c r="DCD799" s="3796"/>
      <c r="DCE799" s="3796"/>
      <c r="DCF799" s="3796"/>
      <c r="DCG799" s="3796"/>
      <c r="DCH799" s="3796"/>
      <c r="DCI799" s="3796"/>
      <c r="DCJ799" s="3796"/>
      <c r="DCK799" s="3796"/>
      <c r="DCL799" s="3796"/>
      <c r="DCM799" s="3796"/>
      <c r="DCN799" s="3796"/>
      <c r="DCO799" s="3796"/>
      <c r="DCP799" s="3796"/>
      <c r="DCQ799" s="3796"/>
      <c r="DCR799" s="3796"/>
      <c r="DCS799" s="3796"/>
      <c r="DCT799" s="3796"/>
      <c r="DCU799" s="3796"/>
      <c r="DCV799" s="3796"/>
      <c r="DCW799" s="3796"/>
      <c r="DCX799" s="3796"/>
      <c r="DCY799" s="3796"/>
      <c r="DCZ799" s="3796"/>
      <c r="DDA799" s="3796"/>
      <c r="DDB799" s="3796"/>
      <c r="DDC799" s="3796"/>
      <c r="DDD799" s="3796"/>
      <c r="DDE799" s="3796"/>
      <c r="DDF799" s="3796"/>
      <c r="DDG799" s="3796"/>
      <c r="DDH799" s="3796"/>
      <c r="DDI799" s="3796"/>
      <c r="DDN799" s="3796"/>
      <c r="DDT799" s="3796"/>
      <c r="DDU799" s="3796"/>
      <c r="DDV799" s="3796"/>
      <c r="DDZ799" s="3796"/>
      <c r="DEG799" s="3796"/>
      <c r="DEH799" s="3796"/>
      <c r="DEI799" s="3796"/>
      <c r="DEJ799" s="3796"/>
      <c r="DEK799" s="3796"/>
      <c r="DEL799" s="3796"/>
      <c r="DEM799" s="3796"/>
      <c r="DEN799" s="3796"/>
      <c r="DEO799" s="3796"/>
      <c r="DEP799" s="3796"/>
      <c r="DEQ799" s="3796"/>
      <c r="DER799" s="3796"/>
      <c r="DES799" s="3796"/>
      <c r="DET799" s="3796"/>
      <c r="DEU799" s="3796"/>
      <c r="DEV799" s="3796"/>
      <c r="DEW799" s="3796"/>
      <c r="DEX799" s="3796"/>
      <c r="DEY799" s="3796"/>
      <c r="DEZ799" s="3796"/>
      <c r="DFA799" s="3796"/>
      <c r="DFB799" s="3796"/>
      <c r="DFC799" s="3796"/>
      <c r="DFD799" s="3796"/>
      <c r="DFE799" s="3796"/>
      <c r="DFF799" s="3796"/>
      <c r="DFG799" s="3796"/>
      <c r="DFH799" s="3796"/>
      <c r="DFI799" s="3796"/>
      <c r="DFJ799" s="3796"/>
      <c r="DFK799" s="3796"/>
      <c r="DFL799" s="3796"/>
      <c r="DFM799" s="3796"/>
      <c r="DFN799" s="3796"/>
      <c r="DFO799" s="3796"/>
      <c r="DFP799" s="3796"/>
      <c r="DFQ799" s="3796"/>
      <c r="DFR799" s="3796"/>
      <c r="DFS799" s="3796"/>
      <c r="DFT799" s="3796"/>
      <c r="DFU799" s="3796"/>
      <c r="DFV799" s="3796"/>
      <c r="DFW799" s="3796"/>
      <c r="DFX799" s="3796"/>
      <c r="DFY799" s="3796"/>
      <c r="DFZ799" s="3796"/>
      <c r="DGA799" s="3796"/>
      <c r="DGB799" s="3796"/>
      <c r="DGC799" s="3796"/>
      <c r="DGD799" s="3796"/>
      <c r="DGE799" s="3796"/>
      <c r="DGF799" s="3796"/>
      <c r="DGG799" s="3796"/>
      <c r="DGH799" s="3796"/>
      <c r="DGI799" s="3796"/>
      <c r="DGJ799" s="3796"/>
      <c r="DGK799" s="3796"/>
      <c r="DGL799" s="3796"/>
      <c r="DGM799" s="3796"/>
      <c r="DGN799" s="3796"/>
      <c r="DGO799" s="3796"/>
      <c r="DGP799" s="3796"/>
      <c r="DGQ799" s="3796"/>
      <c r="DGR799" s="3796"/>
      <c r="DGS799" s="3796"/>
      <c r="DGT799" s="3796"/>
      <c r="DGU799" s="3796"/>
      <c r="DGV799" s="3796"/>
      <c r="DGW799" s="3796"/>
      <c r="DGX799" s="3796"/>
      <c r="DGY799" s="3796"/>
      <c r="DGZ799" s="3796"/>
      <c r="DHA799" s="3796"/>
      <c r="DHB799" s="3796"/>
      <c r="DHC799" s="3796"/>
      <c r="DHD799" s="3796"/>
      <c r="DHE799" s="3796"/>
      <c r="DHF799" s="3796"/>
      <c r="DHG799" s="3796"/>
      <c r="DHH799" s="3796"/>
      <c r="DHI799" s="3796"/>
      <c r="DHJ799" s="3796"/>
      <c r="DHK799" s="3796"/>
      <c r="DHL799" s="3796"/>
      <c r="DHM799" s="3796"/>
      <c r="DHN799" s="3796"/>
      <c r="DHO799" s="3796"/>
      <c r="DHP799" s="3796"/>
      <c r="DHQ799" s="3796"/>
      <c r="DHR799" s="3796"/>
      <c r="DHS799" s="3796"/>
      <c r="DHT799" s="3796"/>
      <c r="DHU799" s="3796"/>
      <c r="DHV799" s="3796"/>
      <c r="DHW799" s="3796"/>
      <c r="DHX799" s="3796"/>
      <c r="DHY799" s="3796"/>
      <c r="DHZ799" s="3796"/>
      <c r="DIA799" s="3796"/>
      <c r="DIB799" s="3796"/>
      <c r="DIC799" s="3796"/>
      <c r="DID799" s="3796"/>
      <c r="DIE799" s="3796"/>
      <c r="DIF799" s="3796"/>
      <c r="DIG799" s="3796"/>
      <c r="DIH799" s="3796"/>
      <c r="DII799" s="3796"/>
      <c r="DIJ799" s="3796"/>
      <c r="DIK799" s="3796"/>
      <c r="DIL799" s="3796"/>
      <c r="DIM799" s="3796"/>
      <c r="DIN799" s="3796"/>
      <c r="DIO799" s="3796"/>
      <c r="DIP799" s="3796"/>
      <c r="DIQ799" s="3796"/>
      <c r="DIR799" s="3796"/>
      <c r="DIS799" s="3796"/>
      <c r="DIT799" s="3796"/>
      <c r="DIU799" s="3796"/>
      <c r="DIV799" s="3796"/>
      <c r="DIW799" s="3796"/>
      <c r="DIX799" s="3796"/>
      <c r="DIY799" s="3796"/>
      <c r="DIZ799" s="3796"/>
      <c r="DJA799" s="3796"/>
      <c r="DJB799" s="3796"/>
      <c r="DJC799" s="3796"/>
      <c r="DJD799" s="3796"/>
      <c r="DJE799" s="3796"/>
      <c r="DJF799" s="3796"/>
      <c r="DJG799" s="3796"/>
      <c r="DJH799" s="3796"/>
      <c r="DJI799" s="3796"/>
      <c r="DJJ799" s="3796"/>
      <c r="DJK799" s="3796"/>
      <c r="DJL799" s="3796"/>
      <c r="DJM799" s="3796"/>
      <c r="DJN799" s="3796"/>
      <c r="DJO799" s="3796"/>
      <c r="DJP799" s="3796"/>
      <c r="DJQ799" s="3796"/>
      <c r="DJR799" s="3796"/>
      <c r="DJS799" s="3796"/>
      <c r="DJT799" s="3796"/>
      <c r="DJU799" s="3796"/>
      <c r="DJV799" s="3796"/>
      <c r="DJW799" s="3796"/>
      <c r="DJX799" s="3796"/>
      <c r="DJY799" s="3796"/>
      <c r="DJZ799" s="3796"/>
      <c r="DKA799" s="3796"/>
      <c r="DKB799" s="3796"/>
      <c r="DKC799" s="3796"/>
      <c r="DKD799" s="3796"/>
      <c r="DKE799" s="3796"/>
      <c r="DKF799" s="3796"/>
      <c r="DKG799" s="3796"/>
      <c r="DKH799" s="3796"/>
      <c r="DKI799" s="3796"/>
      <c r="DKJ799" s="3796"/>
      <c r="DKK799" s="3796"/>
      <c r="DKL799" s="3796"/>
      <c r="DKM799" s="3796"/>
      <c r="DKN799" s="3796"/>
      <c r="DKO799" s="3796"/>
      <c r="DKP799" s="3796"/>
      <c r="DKQ799" s="3796"/>
      <c r="DKR799" s="3796"/>
      <c r="DKS799" s="3796"/>
      <c r="DKT799" s="3796"/>
      <c r="DKU799" s="3796"/>
      <c r="DKV799" s="3796"/>
      <c r="DKW799" s="3796"/>
      <c r="DKX799" s="3796"/>
      <c r="DKY799" s="3796"/>
      <c r="DKZ799" s="3796"/>
      <c r="DLA799" s="3796"/>
      <c r="DLB799" s="3796"/>
      <c r="DLC799" s="3796"/>
      <c r="DLD799" s="3796"/>
      <c r="DLE799" s="3796"/>
      <c r="DLF799" s="3796"/>
      <c r="DLG799" s="3796"/>
      <c r="DLH799" s="3796"/>
      <c r="DLI799" s="3796"/>
      <c r="DLJ799" s="3796"/>
      <c r="DLK799" s="3796"/>
      <c r="DLL799" s="3796"/>
      <c r="DLM799" s="3796"/>
      <c r="DLN799" s="3796"/>
      <c r="DLO799" s="3796"/>
      <c r="DLP799" s="3796"/>
      <c r="DLQ799" s="3796"/>
      <c r="DLR799" s="3796"/>
      <c r="DLS799" s="3796"/>
      <c r="DLT799" s="3796"/>
      <c r="DLU799" s="3796"/>
      <c r="DLV799" s="3796"/>
      <c r="DLW799" s="3796"/>
      <c r="DLX799" s="3796"/>
      <c r="DLY799" s="3796"/>
      <c r="DLZ799" s="3796"/>
      <c r="DMA799" s="3796"/>
      <c r="DMB799" s="3796"/>
      <c r="DMC799" s="3796"/>
      <c r="DMD799" s="3796"/>
      <c r="DME799" s="3796"/>
      <c r="DMF799" s="3796"/>
      <c r="DMG799" s="3796"/>
      <c r="DMH799" s="3796"/>
      <c r="DMI799" s="3796"/>
      <c r="DMJ799" s="3796"/>
      <c r="DMK799" s="3796"/>
      <c r="DML799" s="3796"/>
      <c r="DMM799" s="3796"/>
      <c r="DMN799" s="3796"/>
      <c r="DMO799" s="3796"/>
      <c r="DMP799" s="3796"/>
      <c r="DMQ799" s="3796"/>
      <c r="DMR799" s="3796"/>
      <c r="DMS799" s="3796"/>
      <c r="DMT799" s="3796"/>
      <c r="DMU799" s="3796"/>
      <c r="DMV799" s="3796"/>
      <c r="DMW799" s="3796"/>
      <c r="DMX799" s="3796"/>
      <c r="DMY799" s="3796"/>
      <c r="DMZ799" s="3796"/>
      <c r="DNA799" s="3796"/>
      <c r="DNB799" s="3796"/>
      <c r="DNC799" s="3796"/>
      <c r="DND799" s="3796"/>
      <c r="DNE799" s="3796"/>
      <c r="DNJ799" s="3796"/>
      <c r="DNP799" s="3796"/>
      <c r="DNQ799" s="3796"/>
      <c r="DNR799" s="3796"/>
      <c r="DNV799" s="3796"/>
      <c r="DOC799" s="3796"/>
      <c r="DOD799" s="3796"/>
      <c r="DOE799" s="3796"/>
      <c r="DOF799" s="3796"/>
      <c r="DOG799" s="3796"/>
      <c r="DOH799" s="3796"/>
      <c r="DOI799" s="3796"/>
      <c r="DOJ799" s="3796"/>
      <c r="DOK799" s="3796"/>
      <c r="DOL799" s="3796"/>
      <c r="DOM799" s="3796"/>
      <c r="DON799" s="3796"/>
      <c r="DOO799" s="3796"/>
      <c r="DOP799" s="3796"/>
      <c r="DOQ799" s="3796"/>
      <c r="DOR799" s="3796"/>
      <c r="DOS799" s="3796"/>
      <c r="DOT799" s="3796"/>
      <c r="DOU799" s="3796"/>
      <c r="DOV799" s="3796"/>
      <c r="DOW799" s="3796"/>
      <c r="DOX799" s="3796"/>
      <c r="DOY799" s="3796"/>
      <c r="DOZ799" s="3796"/>
      <c r="DPA799" s="3796"/>
      <c r="DPB799" s="3796"/>
      <c r="DPC799" s="3796"/>
      <c r="DPD799" s="3796"/>
      <c r="DPE799" s="3796"/>
      <c r="DPF799" s="3796"/>
      <c r="DPG799" s="3796"/>
      <c r="DPH799" s="3796"/>
      <c r="DPI799" s="3796"/>
      <c r="DPJ799" s="3796"/>
      <c r="DPK799" s="3796"/>
      <c r="DPL799" s="3796"/>
      <c r="DPM799" s="3796"/>
      <c r="DPN799" s="3796"/>
      <c r="DPO799" s="3796"/>
      <c r="DPP799" s="3796"/>
      <c r="DPQ799" s="3796"/>
      <c r="DPR799" s="3796"/>
      <c r="DPS799" s="3796"/>
      <c r="DPT799" s="3796"/>
      <c r="DPU799" s="3796"/>
      <c r="DPV799" s="3796"/>
      <c r="DPW799" s="3796"/>
      <c r="DPX799" s="3796"/>
      <c r="DPY799" s="3796"/>
      <c r="DPZ799" s="3796"/>
      <c r="DQA799" s="3796"/>
      <c r="DQB799" s="3796"/>
      <c r="DQC799" s="3796"/>
      <c r="DQD799" s="3796"/>
      <c r="DQE799" s="3796"/>
      <c r="DQF799" s="3796"/>
      <c r="DQG799" s="3796"/>
      <c r="DQH799" s="3796"/>
      <c r="DQI799" s="3796"/>
      <c r="DQJ799" s="3796"/>
      <c r="DQK799" s="3796"/>
      <c r="DQL799" s="3796"/>
      <c r="DQM799" s="3796"/>
      <c r="DQN799" s="3796"/>
      <c r="DQO799" s="3796"/>
      <c r="DQP799" s="3796"/>
      <c r="DQQ799" s="3796"/>
      <c r="DQR799" s="3796"/>
      <c r="DQS799" s="3796"/>
      <c r="DQT799" s="3796"/>
      <c r="DQU799" s="3796"/>
      <c r="DQV799" s="3796"/>
      <c r="DQW799" s="3796"/>
      <c r="DQX799" s="3796"/>
      <c r="DQY799" s="3796"/>
      <c r="DQZ799" s="3796"/>
      <c r="DRA799" s="3796"/>
      <c r="DRB799" s="3796"/>
      <c r="DRC799" s="3796"/>
      <c r="DRD799" s="3796"/>
      <c r="DRE799" s="3796"/>
      <c r="DRF799" s="3796"/>
      <c r="DRG799" s="3796"/>
      <c r="DRH799" s="3796"/>
      <c r="DRI799" s="3796"/>
      <c r="DRJ799" s="3796"/>
      <c r="DRK799" s="3796"/>
      <c r="DRL799" s="3796"/>
      <c r="DRM799" s="3796"/>
      <c r="DRN799" s="3796"/>
      <c r="DRO799" s="3796"/>
      <c r="DRP799" s="3796"/>
      <c r="DRQ799" s="3796"/>
      <c r="DRR799" s="3796"/>
      <c r="DRS799" s="3796"/>
      <c r="DRT799" s="3796"/>
      <c r="DRU799" s="3796"/>
      <c r="DRV799" s="3796"/>
      <c r="DRW799" s="3796"/>
      <c r="DRX799" s="3796"/>
      <c r="DRY799" s="3796"/>
      <c r="DRZ799" s="3796"/>
      <c r="DSA799" s="3796"/>
      <c r="DSB799" s="3796"/>
      <c r="DSC799" s="3796"/>
      <c r="DSD799" s="3796"/>
      <c r="DSE799" s="3796"/>
      <c r="DSF799" s="3796"/>
      <c r="DSG799" s="3796"/>
      <c r="DSH799" s="3796"/>
      <c r="DSI799" s="3796"/>
      <c r="DSJ799" s="3796"/>
      <c r="DSK799" s="3796"/>
      <c r="DSL799" s="3796"/>
      <c r="DSM799" s="3796"/>
      <c r="DSN799" s="3796"/>
      <c r="DSO799" s="3796"/>
      <c r="DSP799" s="3796"/>
      <c r="DSQ799" s="3796"/>
      <c r="DSR799" s="3796"/>
      <c r="DSS799" s="3796"/>
      <c r="DST799" s="3796"/>
      <c r="DSU799" s="3796"/>
      <c r="DSV799" s="3796"/>
      <c r="DSW799" s="3796"/>
      <c r="DSX799" s="3796"/>
      <c r="DSY799" s="3796"/>
      <c r="DSZ799" s="3796"/>
      <c r="DTA799" s="3796"/>
      <c r="DTB799" s="3796"/>
      <c r="DTC799" s="3796"/>
      <c r="DTD799" s="3796"/>
      <c r="DTE799" s="3796"/>
      <c r="DTF799" s="3796"/>
      <c r="DTG799" s="3796"/>
      <c r="DTH799" s="3796"/>
      <c r="DTI799" s="3796"/>
      <c r="DTJ799" s="3796"/>
      <c r="DTK799" s="3796"/>
      <c r="DTL799" s="3796"/>
      <c r="DTM799" s="3796"/>
      <c r="DTN799" s="3796"/>
      <c r="DTO799" s="3796"/>
      <c r="DTP799" s="3796"/>
      <c r="DTQ799" s="3796"/>
      <c r="DTR799" s="3796"/>
      <c r="DTS799" s="3796"/>
      <c r="DTT799" s="3796"/>
      <c r="DTU799" s="3796"/>
      <c r="DTV799" s="3796"/>
      <c r="DTW799" s="3796"/>
      <c r="DTX799" s="3796"/>
      <c r="DTY799" s="3796"/>
      <c r="DTZ799" s="3796"/>
      <c r="DUA799" s="3796"/>
      <c r="DUB799" s="3796"/>
      <c r="DUC799" s="3796"/>
      <c r="DUD799" s="3796"/>
      <c r="DUE799" s="3796"/>
      <c r="DUF799" s="3796"/>
      <c r="DUG799" s="3796"/>
      <c r="DUH799" s="3796"/>
      <c r="DUI799" s="3796"/>
      <c r="DUJ799" s="3796"/>
      <c r="DUK799" s="3796"/>
      <c r="DUL799" s="3796"/>
      <c r="DUM799" s="3796"/>
      <c r="DUN799" s="3796"/>
      <c r="DUO799" s="3796"/>
      <c r="DUP799" s="3796"/>
      <c r="DUQ799" s="3796"/>
      <c r="DUR799" s="3796"/>
      <c r="DUS799" s="3796"/>
      <c r="DUT799" s="3796"/>
      <c r="DUU799" s="3796"/>
      <c r="DUV799" s="3796"/>
      <c r="DUW799" s="3796"/>
      <c r="DUX799" s="3796"/>
      <c r="DUY799" s="3796"/>
      <c r="DUZ799" s="3796"/>
      <c r="DVA799" s="3796"/>
      <c r="DVB799" s="3796"/>
      <c r="DVC799" s="3796"/>
      <c r="DVD799" s="3796"/>
      <c r="DVE799" s="3796"/>
      <c r="DVF799" s="3796"/>
      <c r="DVG799" s="3796"/>
      <c r="DVH799" s="3796"/>
      <c r="DVI799" s="3796"/>
      <c r="DVJ799" s="3796"/>
      <c r="DVK799" s="3796"/>
      <c r="DVL799" s="3796"/>
      <c r="DVM799" s="3796"/>
      <c r="DVN799" s="3796"/>
      <c r="DVO799" s="3796"/>
      <c r="DVP799" s="3796"/>
      <c r="DVQ799" s="3796"/>
      <c r="DVR799" s="3796"/>
      <c r="DVS799" s="3796"/>
      <c r="DVT799" s="3796"/>
      <c r="DVU799" s="3796"/>
      <c r="DVV799" s="3796"/>
      <c r="DVW799" s="3796"/>
      <c r="DVX799" s="3796"/>
      <c r="DVY799" s="3796"/>
      <c r="DVZ799" s="3796"/>
      <c r="DWA799" s="3796"/>
      <c r="DWB799" s="3796"/>
      <c r="DWC799" s="3796"/>
      <c r="DWD799" s="3796"/>
      <c r="DWE799" s="3796"/>
      <c r="DWF799" s="3796"/>
      <c r="DWG799" s="3796"/>
      <c r="DWH799" s="3796"/>
      <c r="DWI799" s="3796"/>
      <c r="DWJ799" s="3796"/>
      <c r="DWK799" s="3796"/>
      <c r="DWL799" s="3796"/>
      <c r="DWM799" s="3796"/>
      <c r="DWN799" s="3796"/>
      <c r="DWO799" s="3796"/>
      <c r="DWP799" s="3796"/>
      <c r="DWQ799" s="3796"/>
      <c r="DWR799" s="3796"/>
      <c r="DWS799" s="3796"/>
      <c r="DWT799" s="3796"/>
      <c r="DWU799" s="3796"/>
      <c r="DWV799" s="3796"/>
      <c r="DWW799" s="3796"/>
      <c r="DWX799" s="3796"/>
      <c r="DWY799" s="3796"/>
      <c r="DWZ799" s="3796"/>
      <c r="DXA799" s="3796"/>
      <c r="DXF799" s="3796"/>
      <c r="DXL799" s="3796"/>
      <c r="DXM799" s="3796"/>
      <c r="DXN799" s="3796"/>
      <c r="DXR799" s="3796"/>
      <c r="DXY799" s="3796"/>
      <c r="DXZ799" s="3796"/>
      <c r="DYA799" s="3796"/>
      <c r="DYB799" s="3796"/>
      <c r="DYC799" s="3796"/>
      <c r="DYD799" s="3796"/>
      <c r="DYE799" s="3796"/>
      <c r="DYF799" s="3796"/>
      <c r="DYG799" s="3796"/>
      <c r="DYH799" s="3796"/>
      <c r="DYI799" s="3796"/>
      <c r="DYJ799" s="3796"/>
      <c r="DYK799" s="3796"/>
      <c r="DYL799" s="3796"/>
      <c r="DYM799" s="3796"/>
      <c r="DYN799" s="3796"/>
      <c r="DYO799" s="3796"/>
      <c r="DYP799" s="3796"/>
      <c r="DYQ799" s="3796"/>
      <c r="DYR799" s="3796"/>
      <c r="DYS799" s="3796"/>
      <c r="DYT799" s="3796"/>
      <c r="DYU799" s="3796"/>
      <c r="DYV799" s="3796"/>
      <c r="DYW799" s="3796"/>
      <c r="DYX799" s="3796"/>
      <c r="DYY799" s="3796"/>
      <c r="DYZ799" s="3796"/>
      <c r="DZA799" s="3796"/>
      <c r="DZB799" s="3796"/>
      <c r="DZC799" s="3796"/>
      <c r="DZD799" s="3796"/>
      <c r="DZE799" s="3796"/>
      <c r="DZF799" s="3796"/>
      <c r="DZG799" s="3796"/>
      <c r="DZH799" s="3796"/>
      <c r="DZI799" s="3796"/>
      <c r="DZJ799" s="3796"/>
      <c r="DZK799" s="3796"/>
      <c r="DZL799" s="3796"/>
      <c r="DZM799" s="3796"/>
      <c r="DZN799" s="3796"/>
      <c r="DZO799" s="3796"/>
      <c r="DZP799" s="3796"/>
      <c r="DZQ799" s="3796"/>
      <c r="DZR799" s="3796"/>
      <c r="DZS799" s="3796"/>
      <c r="DZT799" s="3796"/>
      <c r="DZU799" s="3796"/>
      <c r="DZV799" s="3796"/>
      <c r="DZW799" s="3796"/>
      <c r="DZX799" s="3796"/>
      <c r="DZY799" s="3796"/>
      <c r="DZZ799" s="3796"/>
      <c r="EAA799" s="3796"/>
      <c r="EAB799" s="3796"/>
      <c r="EAC799" s="3796"/>
      <c r="EAD799" s="3796"/>
      <c r="EAE799" s="3796"/>
      <c r="EAF799" s="3796"/>
      <c r="EAG799" s="3796"/>
      <c r="EAH799" s="3796"/>
      <c r="EAI799" s="3796"/>
      <c r="EAJ799" s="3796"/>
      <c r="EAK799" s="3796"/>
      <c r="EAL799" s="3796"/>
      <c r="EAM799" s="3796"/>
      <c r="EAN799" s="3796"/>
      <c r="EAO799" s="3796"/>
      <c r="EAP799" s="3796"/>
      <c r="EAQ799" s="3796"/>
      <c r="EAR799" s="3796"/>
      <c r="EAS799" s="3796"/>
      <c r="EAT799" s="3796"/>
      <c r="EAU799" s="3796"/>
      <c r="EAV799" s="3796"/>
      <c r="EAW799" s="3796"/>
      <c r="EAX799" s="3796"/>
      <c r="EAY799" s="3796"/>
      <c r="EAZ799" s="3796"/>
      <c r="EBA799" s="3796"/>
      <c r="EBB799" s="3796"/>
      <c r="EBC799" s="3796"/>
      <c r="EBD799" s="3796"/>
      <c r="EBE799" s="3796"/>
      <c r="EBF799" s="3796"/>
      <c r="EBG799" s="3796"/>
      <c r="EBH799" s="3796"/>
      <c r="EBI799" s="3796"/>
      <c r="EBJ799" s="3796"/>
      <c r="EBK799" s="3796"/>
      <c r="EBL799" s="3796"/>
      <c r="EBM799" s="3796"/>
      <c r="EBN799" s="3796"/>
      <c r="EBO799" s="3796"/>
      <c r="EBP799" s="3796"/>
      <c r="EBQ799" s="3796"/>
      <c r="EBR799" s="3796"/>
      <c r="EBS799" s="3796"/>
      <c r="EBT799" s="3796"/>
      <c r="EBU799" s="3796"/>
      <c r="EBV799" s="3796"/>
      <c r="EBW799" s="3796"/>
      <c r="EBX799" s="3796"/>
      <c r="EBY799" s="3796"/>
      <c r="EBZ799" s="3796"/>
      <c r="ECA799" s="3796"/>
      <c r="ECB799" s="3796"/>
      <c r="ECC799" s="3796"/>
      <c r="ECD799" s="3796"/>
      <c r="ECE799" s="3796"/>
      <c r="ECF799" s="3796"/>
      <c r="ECG799" s="3796"/>
      <c r="ECH799" s="3796"/>
      <c r="ECI799" s="3796"/>
      <c r="ECJ799" s="3796"/>
      <c r="ECK799" s="3796"/>
      <c r="ECL799" s="3796"/>
      <c r="ECM799" s="3796"/>
      <c r="ECN799" s="3796"/>
      <c r="ECO799" s="3796"/>
      <c r="ECP799" s="3796"/>
      <c r="ECQ799" s="3796"/>
      <c r="ECR799" s="3796"/>
      <c r="ECS799" s="3796"/>
      <c r="ECT799" s="3796"/>
      <c r="ECU799" s="3796"/>
      <c r="ECV799" s="3796"/>
      <c r="ECW799" s="3796"/>
      <c r="ECX799" s="3796"/>
      <c r="ECY799" s="3796"/>
      <c r="ECZ799" s="3796"/>
      <c r="EDA799" s="3796"/>
      <c r="EDB799" s="3796"/>
      <c r="EDC799" s="3796"/>
      <c r="EDD799" s="3796"/>
      <c r="EDE799" s="3796"/>
      <c r="EDF799" s="3796"/>
      <c r="EDG799" s="3796"/>
      <c r="EDH799" s="3796"/>
      <c r="EDI799" s="3796"/>
      <c r="EDJ799" s="3796"/>
      <c r="EDK799" s="3796"/>
      <c r="EDL799" s="3796"/>
      <c r="EDM799" s="3796"/>
      <c r="EDN799" s="3796"/>
      <c r="EDO799" s="3796"/>
      <c r="EDP799" s="3796"/>
      <c r="EDQ799" s="3796"/>
      <c r="EDR799" s="3796"/>
      <c r="EDS799" s="3796"/>
      <c r="EDT799" s="3796"/>
      <c r="EDU799" s="3796"/>
      <c r="EDV799" s="3796"/>
      <c r="EDW799" s="3796"/>
      <c r="EDX799" s="3796"/>
      <c r="EDY799" s="3796"/>
      <c r="EDZ799" s="3796"/>
      <c r="EEA799" s="3796"/>
      <c r="EEB799" s="3796"/>
      <c r="EEC799" s="3796"/>
      <c r="EED799" s="3796"/>
      <c r="EEE799" s="3796"/>
      <c r="EEF799" s="3796"/>
      <c r="EEG799" s="3796"/>
      <c r="EEH799" s="3796"/>
      <c r="EEI799" s="3796"/>
      <c r="EEJ799" s="3796"/>
      <c r="EEK799" s="3796"/>
      <c r="EEL799" s="3796"/>
      <c r="EEM799" s="3796"/>
      <c r="EEN799" s="3796"/>
      <c r="EEO799" s="3796"/>
      <c r="EEP799" s="3796"/>
      <c r="EEQ799" s="3796"/>
      <c r="EER799" s="3796"/>
      <c r="EES799" s="3796"/>
      <c r="EET799" s="3796"/>
      <c r="EEU799" s="3796"/>
      <c r="EEV799" s="3796"/>
      <c r="EEW799" s="3796"/>
      <c r="EEX799" s="3796"/>
      <c r="EEY799" s="3796"/>
      <c r="EEZ799" s="3796"/>
      <c r="EFA799" s="3796"/>
      <c r="EFB799" s="3796"/>
      <c r="EFC799" s="3796"/>
      <c r="EFD799" s="3796"/>
      <c r="EFE799" s="3796"/>
      <c r="EFF799" s="3796"/>
      <c r="EFG799" s="3796"/>
      <c r="EFH799" s="3796"/>
      <c r="EFI799" s="3796"/>
      <c r="EFJ799" s="3796"/>
      <c r="EFK799" s="3796"/>
      <c r="EFL799" s="3796"/>
      <c r="EFM799" s="3796"/>
      <c r="EFN799" s="3796"/>
      <c r="EFO799" s="3796"/>
      <c r="EFP799" s="3796"/>
      <c r="EFQ799" s="3796"/>
      <c r="EFR799" s="3796"/>
      <c r="EFS799" s="3796"/>
      <c r="EFT799" s="3796"/>
      <c r="EFU799" s="3796"/>
      <c r="EFV799" s="3796"/>
      <c r="EFW799" s="3796"/>
      <c r="EFX799" s="3796"/>
      <c r="EFY799" s="3796"/>
      <c r="EFZ799" s="3796"/>
      <c r="EGA799" s="3796"/>
      <c r="EGB799" s="3796"/>
      <c r="EGC799" s="3796"/>
      <c r="EGD799" s="3796"/>
      <c r="EGE799" s="3796"/>
      <c r="EGF799" s="3796"/>
      <c r="EGG799" s="3796"/>
      <c r="EGH799" s="3796"/>
      <c r="EGI799" s="3796"/>
      <c r="EGJ799" s="3796"/>
      <c r="EGK799" s="3796"/>
      <c r="EGL799" s="3796"/>
      <c r="EGM799" s="3796"/>
      <c r="EGN799" s="3796"/>
      <c r="EGO799" s="3796"/>
      <c r="EGP799" s="3796"/>
      <c r="EGQ799" s="3796"/>
      <c r="EGR799" s="3796"/>
      <c r="EGS799" s="3796"/>
      <c r="EGT799" s="3796"/>
      <c r="EGU799" s="3796"/>
      <c r="EGV799" s="3796"/>
      <c r="EGW799" s="3796"/>
      <c r="EHB799" s="3796"/>
      <c r="EHH799" s="3796"/>
      <c r="EHI799" s="3796"/>
      <c r="EHJ799" s="3796"/>
      <c r="EHN799" s="3796"/>
      <c r="EHU799" s="3796"/>
      <c r="EHV799" s="3796"/>
      <c r="EHW799" s="3796"/>
      <c r="EHX799" s="3796"/>
      <c r="EHY799" s="3796"/>
      <c r="EHZ799" s="3796"/>
      <c r="EIA799" s="3796"/>
      <c r="EIB799" s="3796"/>
      <c r="EIC799" s="3796"/>
      <c r="EID799" s="3796"/>
      <c r="EIE799" s="3796"/>
      <c r="EIF799" s="3796"/>
      <c r="EIG799" s="3796"/>
      <c r="EIH799" s="3796"/>
      <c r="EII799" s="3796"/>
      <c r="EIJ799" s="3796"/>
      <c r="EIK799" s="3796"/>
      <c r="EIL799" s="3796"/>
      <c r="EIM799" s="3796"/>
      <c r="EIN799" s="3796"/>
      <c r="EIO799" s="3796"/>
      <c r="EIP799" s="3796"/>
      <c r="EIQ799" s="3796"/>
      <c r="EIR799" s="3796"/>
      <c r="EIS799" s="3796"/>
      <c r="EIT799" s="3796"/>
      <c r="EIU799" s="3796"/>
      <c r="EIV799" s="3796"/>
      <c r="EIW799" s="3796"/>
      <c r="EIX799" s="3796"/>
      <c r="EIY799" s="3796"/>
      <c r="EIZ799" s="3796"/>
      <c r="EJA799" s="3796"/>
      <c r="EJB799" s="3796"/>
      <c r="EJC799" s="3796"/>
      <c r="EJD799" s="3796"/>
      <c r="EJE799" s="3796"/>
      <c r="EJF799" s="3796"/>
      <c r="EJG799" s="3796"/>
      <c r="EJH799" s="3796"/>
      <c r="EJI799" s="3796"/>
      <c r="EJJ799" s="3796"/>
      <c r="EJK799" s="3796"/>
      <c r="EJL799" s="3796"/>
      <c r="EJM799" s="3796"/>
      <c r="EJN799" s="3796"/>
      <c r="EJO799" s="3796"/>
      <c r="EJP799" s="3796"/>
      <c r="EJQ799" s="3796"/>
      <c r="EJR799" s="3796"/>
      <c r="EJS799" s="3796"/>
      <c r="EJT799" s="3796"/>
      <c r="EJU799" s="3796"/>
      <c r="EJV799" s="3796"/>
      <c r="EJW799" s="3796"/>
      <c r="EJX799" s="3796"/>
      <c r="EJY799" s="3796"/>
      <c r="EJZ799" s="3796"/>
      <c r="EKA799" s="3796"/>
      <c r="EKB799" s="3796"/>
      <c r="EKC799" s="3796"/>
      <c r="EKD799" s="3796"/>
      <c r="EKE799" s="3796"/>
      <c r="EKF799" s="3796"/>
      <c r="EKG799" s="3796"/>
      <c r="EKH799" s="3796"/>
      <c r="EKI799" s="3796"/>
      <c r="EKJ799" s="3796"/>
      <c r="EKK799" s="3796"/>
      <c r="EKL799" s="3796"/>
      <c r="EKM799" s="3796"/>
      <c r="EKN799" s="3796"/>
      <c r="EKO799" s="3796"/>
      <c r="EKP799" s="3796"/>
      <c r="EKQ799" s="3796"/>
      <c r="EKR799" s="3796"/>
      <c r="EKS799" s="3796"/>
      <c r="EKT799" s="3796"/>
      <c r="EKU799" s="3796"/>
      <c r="EKV799" s="3796"/>
      <c r="EKW799" s="3796"/>
      <c r="EKX799" s="3796"/>
      <c r="EKY799" s="3796"/>
      <c r="EKZ799" s="3796"/>
      <c r="ELA799" s="3796"/>
      <c r="ELB799" s="3796"/>
      <c r="ELC799" s="3796"/>
      <c r="ELD799" s="3796"/>
      <c r="ELE799" s="3796"/>
      <c r="ELF799" s="3796"/>
      <c r="ELG799" s="3796"/>
      <c r="ELH799" s="3796"/>
      <c r="ELI799" s="3796"/>
      <c r="ELJ799" s="3796"/>
      <c r="ELK799" s="3796"/>
      <c r="ELL799" s="3796"/>
      <c r="ELM799" s="3796"/>
      <c r="ELN799" s="3796"/>
      <c r="ELO799" s="3796"/>
      <c r="ELP799" s="3796"/>
      <c r="ELQ799" s="3796"/>
      <c r="ELR799" s="3796"/>
      <c r="ELS799" s="3796"/>
      <c r="ELT799" s="3796"/>
      <c r="ELU799" s="3796"/>
      <c r="ELV799" s="3796"/>
      <c r="ELW799" s="3796"/>
      <c r="ELX799" s="3796"/>
      <c r="ELY799" s="3796"/>
      <c r="ELZ799" s="3796"/>
      <c r="EMA799" s="3796"/>
      <c r="EMB799" s="3796"/>
      <c r="EMC799" s="3796"/>
      <c r="EMD799" s="3796"/>
      <c r="EME799" s="3796"/>
      <c r="EMF799" s="3796"/>
      <c r="EMG799" s="3796"/>
      <c r="EMH799" s="3796"/>
      <c r="EMI799" s="3796"/>
      <c r="EMJ799" s="3796"/>
      <c r="EMK799" s="3796"/>
      <c r="EML799" s="3796"/>
      <c r="EMM799" s="3796"/>
      <c r="EMN799" s="3796"/>
      <c r="EMO799" s="3796"/>
      <c r="EMP799" s="3796"/>
      <c r="EMQ799" s="3796"/>
      <c r="EMR799" s="3796"/>
      <c r="EMS799" s="3796"/>
      <c r="EMT799" s="3796"/>
      <c r="EMU799" s="3796"/>
      <c r="EMV799" s="3796"/>
      <c r="EMW799" s="3796"/>
      <c r="EMX799" s="3796"/>
      <c r="EMY799" s="3796"/>
      <c r="EMZ799" s="3796"/>
      <c r="ENA799" s="3796"/>
      <c r="ENB799" s="3796"/>
      <c r="ENC799" s="3796"/>
      <c r="END799" s="3796"/>
      <c r="ENE799" s="3796"/>
      <c r="ENF799" s="3796"/>
      <c r="ENG799" s="3796"/>
      <c r="ENH799" s="3796"/>
      <c r="ENI799" s="3796"/>
      <c r="ENJ799" s="3796"/>
      <c r="ENK799" s="3796"/>
      <c r="ENL799" s="3796"/>
      <c r="ENM799" s="3796"/>
      <c r="ENN799" s="3796"/>
      <c r="ENO799" s="3796"/>
      <c r="ENP799" s="3796"/>
      <c r="ENQ799" s="3796"/>
      <c r="ENR799" s="3796"/>
      <c r="ENS799" s="3796"/>
      <c r="ENT799" s="3796"/>
      <c r="ENU799" s="3796"/>
      <c r="ENV799" s="3796"/>
      <c r="ENW799" s="3796"/>
      <c r="ENX799" s="3796"/>
      <c r="ENY799" s="3796"/>
      <c r="ENZ799" s="3796"/>
      <c r="EOA799" s="3796"/>
      <c r="EOB799" s="3796"/>
      <c r="EOC799" s="3796"/>
      <c r="EOD799" s="3796"/>
      <c r="EOE799" s="3796"/>
      <c r="EOF799" s="3796"/>
      <c r="EOG799" s="3796"/>
      <c r="EOH799" s="3796"/>
      <c r="EOI799" s="3796"/>
      <c r="EOJ799" s="3796"/>
      <c r="EOK799" s="3796"/>
      <c r="EOL799" s="3796"/>
      <c r="EOM799" s="3796"/>
      <c r="EON799" s="3796"/>
      <c r="EOO799" s="3796"/>
      <c r="EOP799" s="3796"/>
      <c r="EOQ799" s="3796"/>
      <c r="EOR799" s="3796"/>
      <c r="EOS799" s="3796"/>
      <c r="EOT799" s="3796"/>
      <c r="EOU799" s="3796"/>
      <c r="EOV799" s="3796"/>
      <c r="EOW799" s="3796"/>
      <c r="EOX799" s="3796"/>
      <c r="EOY799" s="3796"/>
      <c r="EOZ799" s="3796"/>
      <c r="EPA799" s="3796"/>
      <c r="EPB799" s="3796"/>
      <c r="EPC799" s="3796"/>
      <c r="EPD799" s="3796"/>
      <c r="EPE799" s="3796"/>
      <c r="EPF799" s="3796"/>
      <c r="EPG799" s="3796"/>
      <c r="EPH799" s="3796"/>
      <c r="EPI799" s="3796"/>
      <c r="EPJ799" s="3796"/>
      <c r="EPK799" s="3796"/>
      <c r="EPL799" s="3796"/>
      <c r="EPM799" s="3796"/>
      <c r="EPN799" s="3796"/>
      <c r="EPO799" s="3796"/>
      <c r="EPP799" s="3796"/>
      <c r="EPQ799" s="3796"/>
      <c r="EPR799" s="3796"/>
      <c r="EPS799" s="3796"/>
      <c r="EPT799" s="3796"/>
      <c r="EPU799" s="3796"/>
      <c r="EPV799" s="3796"/>
      <c r="EPW799" s="3796"/>
      <c r="EPX799" s="3796"/>
      <c r="EPY799" s="3796"/>
      <c r="EPZ799" s="3796"/>
      <c r="EQA799" s="3796"/>
      <c r="EQB799" s="3796"/>
      <c r="EQC799" s="3796"/>
      <c r="EQD799" s="3796"/>
      <c r="EQE799" s="3796"/>
      <c r="EQF799" s="3796"/>
      <c r="EQG799" s="3796"/>
      <c r="EQH799" s="3796"/>
      <c r="EQI799" s="3796"/>
      <c r="EQJ799" s="3796"/>
      <c r="EQK799" s="3796"/>
      <c r="EQL799" s="3796"/>
      <c r="EQM799" s="3796"/>
      <c r="EQN799" s="3796"/>
      <c r="EQO799" s="3796"/>
      <c r="EQP799" s="3796"/>
      <c r="EQQ799" s="3796"/>
      <c r="EQR799" s="3796"/>
      <c r="EQS799" s="3796"/>
      <c r="EQX799" s="3796"/>
      <c r="ERD799" s="3796"/>
      <c r="ERE799" s="3796"/>
      <c r="ERF799" s="3796"/>
      <c r="ERJ799" s="3796"/>
      <c r="ERQ799" s="3796"/>
      <c r="ERR799" s="3796"/>
      <c r="ERS799" s="3796"/>
      <c r="ERT799" s="3796"/>
      <c r="ERU799" s="3796"/>
      <c r="ERV799" s="3796"/>
      <c r="ERW799" s="3796"/>
      <c r="ERX799" s="3796"/>
      <c r="ERY799" s="3796"/>
      <c r="ERZ799" s="3796"/>
      <c r="ESA799" s="3796"/>
      <c r="ESB799" s="3796"/>
      <c r="ESC799" s="3796"/>
      <c r="ESD799" s="3796"/>
      <c r="ESE799" s="3796"/>
      <c r="ESF799" s="3796"/>
      <c r="ESG799" s="3796"/>
      <c r="ESH799" s="3796"/>
      <c r="ESI799" s="3796"/>
      <c r="ESJ799" s="3796"/>
      <c r="ESK799" s="3796"/>
      <c r="ESL799" s="3796"/>
      <c r="ESM799" s="3796"/>
      <c r="ESN799" s="3796"/>
      <c r="ESO799" s="3796"/>
      <c r="ESP799" s="3796"/>
      <c r="ESQ799" s="3796"/>
      <c r="ESR799" s="3796"/>
      <c r="ESS799" s="3796"/>
      <c r="EST799" s="3796"/>
      <c r="ESU799" s="3796"/>
      <c r="ESV799" s="3796"/>
      <c r="ESW799" s="3796"/>
      <c r="ESX799" s="3796"/>
      <c r="ESY799" s="3796"/>
      <c r="ESZ799" s="3796"/>
      <c r="ETA799" s="3796"/>
      <c r="ETB799" s="3796"/>
      <c r="ETC799" s="3796"/>
      <c r="ETD799" s="3796"/>
      <c r="ETE799" s="3796"/>
      <c r="ETF799" s="3796"/>
      <c r="ETG799" s="3796"/>
      <c r="ETH799" s="3796"/>
      <c r="ETI799" s="3796"/>
      <c r="ETJ799" s="3796"/>
      <c r="ETK799" s="3796"/>
      <c r="ETL799" s="3796"/>
      <c r="ETM799" s="3796"/>
      <c r="ETN799" s="3796"/>
      <c r="ETO799" s="3796"/>
      <c r="ETP799" s="3796"/>
      <c r="ETQ799" s="3796"/>
      <c r="ETR799" s="3796"/>
      <c r="ETS799" s="3796"/>
      <c r="ETT799" s="3796"/>
      <c r="ETU799" s="3796"/>
      <c r="ETV799" s="3796"/>
      <c r="ETW799" s="3796"/>
      <c r="ETX799" s="3796"/>
      <c r="ETY799" s="3796"/>
      <c r="ETZ799" s="3796"/>
      <c r="EUA799" s="3796"/>
      <c r="EUB799" s="3796"/>
      <c r="EUC799" s="3796"/>
      <c r="EUD799" s="3796"/>
      <c r="EUE799" s="3796"/>
      <c r="EUF799" s="3796"/>
      <c r="EUG799" s="3796"/>
      <c r="EUH799" s="3796"/>
      <c r="EUI799" s="3796"/>
      <c r="EUJ799" s="3796"/>
      <c r="EUK799" s="3796"/>
      <c r="EUL799" s="3796"/>
      <c r="EUM799" s="3796"/>
      <c r="EUN799" s="3796"/>
      <c r="EUO799" s="3796"/>
      <c r="EUP799" s="3796"/>
      <c r="EUQ799" s="3796"/>
      <c r="EUR799" s="3796"/>
      <c r="EUS799" s="3796"/>
      <c r="EUT799" s="3796"/>
      <c r="EUU799" s="3796"/>
      <c r="EUV799" s="3796"/>
      <c r="EUW799" s="3796"/>
      <c r="EUX799" s="3796"/>
      <c r="EUY799" s="3796"/>
      <c r="EUZ799" s="3796"/>
      <c r="EVA799" s="3796"/>
      <c r="EVB799" s="3796"/>
      <c r="EVC799" s="3796"/>
      <c r="EVD799" s="3796"/>
      <c r="EVE799" s="3796"/>
      <c r="EVF799" s="3796"/>
      <c r="EVG799" s="3796"/>
      <c r="EVH799" s="3796"/>
      <c r="EVI799" s="3796"/>
      <c r="EVJ799" s="3796"/>
      <c r="EVK799" s="3796"/>
      <c r="EVL799" s="3796"/>
      <c r="EVM799" s="3796"/>
      <c r="EVN799" s="3796"/>
      <c r="EVO799" s="3796"/>
      <c r="EVP799" s="3796"/>
      <c r="EVQ799" s="3796"/>
      <c r="EVR799" s="3796"/>
      <c r="EVS799" s="3796"/>
      <c r="EVT799" s="3796"/>
      <c r="EVU799" s="3796"/>
      <c r="EVV799" s="3796"/>
      <c r="EVW799" s="3796"/>
      <c r="EVX799" s="3796"/>
      <c r="EVY799" s="3796"/>
      <c r="EVZ799" s="3796"/>
      <c r="EWA799" s="3796"/>
      <c r="EWB799" s="3796"/>
      <c r="EWC799" s="3796"/>
      <c r="EWD799" s="3796"/>
      <c r="EWE799" s="3796"/>
      <c r="EWF799" s="3796"/>
      <c r="EWG799" s="3796"/>
      <c r="EWH799" s="3796"/>
      <c r="EWI799" s="3796"/>
      <c r="EWJ799" s="3796"/>
      <c r="EWK799" s="3796"/>
      <c r="EWL799" s="3796"/>
      <c r="EWM799" s="3796"/>
      <c r="EWN799" s="3796"/>
      <c r="EWO799" s="3796"/>
      <c r="EWP799" s="3796"/>
      <c r="EWQ799" s="3796"/>
      <c r="EWR799" s="3796"/>
      <c r="EWS799" s="3796"/>
      <c r="EWT799" s="3796"/>
      <c r="EWU799" s="3796"/>
      <c r="EWV799" s="3796"/>
      <c r="EWW799" s="3796"/>
      <c r="EWX799" s="3796"/>
      <c r="EWY799" s="3796"/>
      <c r="EWZ799" s="3796"/>
      <c r="EXA799" s="3796"/>
      <c r="EXB799" s="3796"/>
      <c r="EXC799" s="3796"/>
      <c r="EXD799" s="3796"/>
      <c r="EXE799" s="3796"/>
      <c r="EXF799" s="3796"/>
      <c r="EXG799" s="3796"/>
      <c r="EXH799" s="3796"/>
      <c r="EXI799" s="3796"/>
      <c r="EXJ799" s="3796"/>
      <c r="EXK799" s="3796"/>
      <c r="EXL799" s="3796"/>
      <c r="EXM799" s="3796"/>
      <c r="EXN799" s="3796"/>
      <c r="EXO799" s="3796"/>
      <c r="EXP799" s="3796"/>
      <c r="EXQ799" s="3796"/>
      <c r="EXR799" s="3796"/>
      <c r="EXS799" s="3796"/>
      <c r="EXT799" s="3796"/>
      <c r="EXU799" s="3796"/>
      <c r="EXV799" s="3796"/>
      <c r="EXW799" s="3796"/>
      <c r="EXX799" s="3796"/>
      <c r="EXY799" s="3796"/>
      <c r="EXZ799" s="3796"/>
      <c r="EYA799" s="3796"/>
      <c r="EYB799" s="3796"/>
      <c r="EYC799" s="3796"/>
      <c r="EYD799" s="3796"/>
      <c r="EYE799" s="3796"/>
      <c r="EYF799" s="3796"/>
      <c r="EYG799" s="3796"/>
      <c r="EYH799" s="3796"/>
      <c r="EYI799" s="3796"/>
      <c r="EYJ799" s="3796"/>
      <c r="EYK799" s="3796"/>
      <c r="EYL799" s="3796"/>
      <c r="EYM799" s="3796"/>
      <c r="EYN799" s="3796"/>
      <c r="EYO799" s="3796"/>
      <c r="EYP799" s="3796"/>
      <c r="EYQ799" s="3796"/>
      <c r="EYR799" s="3796"/>
      <c r="EYS799" s="3796"/>
      <c r="EYT799" s="3796"/>
      <c r="EYU799" s="3796"/>
      <c r="EYV799" s="3796"/>
      <c r="EYW799" s="3796"/>
      <c r="EYX799" s="3796"/>
      <c r="EYY799" s="3796"/>
      <c r="EYZ799" s="3796"/>
      <c r="EZA799" s="3796"/>
      <c r="EZB799" s="3796"/>
      <c r="EZC799" s="3796"/>
      <c r="EZD799" s="3796"/>
      <c r="EZE799" s="3796"/>
      <c r="EZF799" s="3796"/>
      <c r="EZG799" s="3796"/>
      <c r="EZH799" s="3796"/>
      <c r="EZI799" s="3796"/>
      <c r="EZJ799" s="3796"/>
      <c r="EZK799" s="3796"/>
      <c r="EZL799" s="3796"/>
      <c r="EZM799" s="3796"/>
      <c r="EZN799" s="3796"/>
      <c r="EZO799" s="3796"/>
      <c r="EZP799" s="3796"/>
      <c r="EZQ799" s="3796"/>
      <c r="EZR799" s="3796"/>
      <c r="EZS799" s="3796"/>
      <c r="EZT799" s="3796"/>
      <c r="EZU799" s="3796"/>
      <c r="EZV799" s="3796"/>
      <c r="EZW799" s="3796"/>
      <c r="EZX799" s="3796"/>
      <c r="EZY799" s="3796"/>
      <c r="EZZ799" s="3796"/>
      <c r="FAA799" s="3796"/>
      <c r="FAB799" s="3796"/>
      <c r="FAC799" s="3796"/>
      <c r="FAD799" s="3796"/>
      <c r="FAE799" s="3796"/>
      <c r="FAF799" s="3796"/>
      <c r="FAG799" s="3796"/>
      <c r="FAH799" s="3796"/>
      <c r="FAI799" s="3796"/>
      <c r="FAJ799" s="3796"/>
      <c r="FAK799" s="3796"/>
      <c r="FAL799" s="3796"/>
      <c r="FAM799" s="3796"/>
      <c r="FAN799" s="3796"/>
      <c r="FAO799" s="3796"/>
      <c r="FAT799" s="3796"/>
      <c r="FAZ799" s="3796"/>
      <c r="FBA799" s="3796"/>
      <c r="FBB799" s="3796"/>
      <c r="FBF799" s="3796"/>
      <c r="FBM799" s="3796"/>
      <c r="FBN799" s="3796"/>
      <c r="FBO799" s="3796"/>
      <c r="FBP799" s="3796"/>
      <c r="FBQ799" s="3796"/>
      <c r="FBR799" s="3796"/>
      <c r="FBS799" s="3796"/>
      <c r="FBT799" s="3796"/>
      <c r="FBU799" s="3796"/>
      <c r="FBV799" s="3796"/>
      <c r="FBW799" s="3796"/>
      <c r="FBX799" s="3796"/>
      <c r="FBY799" s="3796"/>
      <c r="FBZ799" s="3796"/>
      <c r="FCA799" s="3796"/>
      <c r="FCB799" s="3796"/>
      <c r="FCC799" s="3796"/>
      <c r="FCD799" s="3796"/>
      <c r="FCE799" s="3796"/>
      <c r="FCF799" s="3796"/>
      <c r="FCG799" s="3796"/>
      <c r="FCH799" s="3796"/>
      <c r="FCI799" s="3796"/>
      <c r="FCJ799" s="3796"/>
      <c r="FCK799" s="3796"/>
      <c r="FCL799" s="3796"/>
      <c r="FCM799" s="3796"/>
      <c r="FCN799" s="3796"/>
      <c r="FCO799" s="3796"/>
      <c r="FCP799" s="3796"/>
      <c r="FCQ799" s="3796"/>
      <c r="FCR799" s="3796"/>
      <c r="FCS799" s="3796"/>
      <c r="FCT799" s="3796"/>
      <c r="FCU799" s="3796"/>
      <c r="FCV799" s="3796"/>
      <c r="FCW799" s="3796"/>
      <c r="FCX799" s="3796"/>
      <c r="FCY799" s="3796"/>
      <c r="FCZ799" s="3796"/>
      <c r="FDA799" s="3796"/>
      <c r="FDB799" s="3796"/>
      <c r="FDC799" s="3796"/>
      <c r="FDD799" s="3796"/>
      <c r="FDE799" s="3796"/>
      <c r="FDF799" s="3796"/>
      <c r="FDG799" s="3796"/>
      <c r="FDH799" s="3796"/>
      <c r="FDI799" s="3796"/>
      <c r="FDJ799" s="3796"/>
      <c r="FDK799" s="3796"/>
      <c r="FDL799" s="3796"/>
      <c r="FDM799" s="3796"/>
      <c r="FDN799" s="3796"/>
      <c r="FDO799" s="3796"/>
      <c r="FDP799" s="3796"/>
      <c r="FDQ799" s="3796"/>
      <c r="FDR799" s="3796"/>
      <c r="FDS799" s="3796"/>
      <c r="FDT799" s="3796"/>
      <c r="FDU799" s="3796"/>
      <c r="FDV799" s="3796"/>
      <c r="FDW799" s="3796"/>
      <c r="FDX799" s="3796"/>
      <c r="FDY799" s="3796"/>
      <c r="FDZ799" s="3796"/>
      <c r="FEA799" s="3796"/>
      <c r="FEB799" s="3796"/>
      <c r="FEC799" s="3796"/>
      <c r="FED799" s="3796"/>
      <c r="FEE799" s="3796"/>
      <c r="FEF799" s="3796"/>
      <c r="FEG799" s="3796"/>
      <c r="FEH799" s="3796"/>
      <c r="FEI799" s="3796"/>
      <c r="FEJ799" s="3796"/>
      <c r="FEK799" s="3796"/>
      <c r="FEL799" s="3796"/>
      <c r="FEM799" s="3796"/>
      <c r="FEN799" s="3796"/>
      <c r="FEO799" s="3796"/>
      <c r="FEP799" s="3796"/>
      <c r="FEQ799" s="3796"/>
      <c r="FER799" s="3796"/>
      <c r="FES799" s="3796"/>
      <c r="FET799" s="3796"/>
      <c r="FEU799" s="3796"/>
      <c r="FEV799" s="3796"/>
      <c r="FEW799" s="3796"/>
      <c r="FEX799" s="3796"/>
      <c r="FEY799" s="3796"/>
      <c r="FEZ799" s="3796"/>
      <c r="FFA799" s="3796"/>
      <c r="FFB799" s="3796"/>
      <c r="FFC799" s="3796"/>
      <c r="FFD799" s="3796"/>
      <c r="FFE799" s="3796"/>
      <c r="FFF799" s="3796"/>
      <c r="FFG799" s="3796"/>
      <c r="FFH799" s="3796"/>
      <c r="FFI799" s="3796"/>
      <c r="FFJ799" s="3796"/>
      <c r="FFK799" s="3796"/>
      <c r="FFL799" s="3796"/>
      <c r="FFM799" s="3796"/>
      <c r="FFN799" s="3796"/>
      <c r="FFO799" s="3796"/>
      <c r="FFP799" s="3796"/>
      <c r="FFQ799" s="3796"/>
      <c r="FFR799" s="3796"/>
      <c r="FFS799" s="3796"/>
      <c r="FFT799" s="3796"/>
      <c r="FFU799" s="3796"/>
      <c r="FFV799" s="3796"/>
      <c r="FFW799" s="3796"/>
      <c r="FFX799" s="3796"/>
      <c r="FFY799" s="3796"/>
      <c r="FFZ799" s="3796"/>
      <c r="FGA799" s="3796"/>
      <c r="FGB799" s="3796"/>
      <c r="FGC799" s="3796"/>
      <c r="FGD799" s="3796"/>
      <c r="FGE799" s="3796"/>
      <c r="FGF799" s="3796"/>
      <c r="FGG799" s="3796"/>
      <c r="FGH799" s="3796"/>
      <c r="FGI799" s="3796"/>
      <c r="FGJ799" s="3796"/>
      <c r="FGK799" s="3796"/>
      <c r="FGL799" s="3796"/>
      <c r="FGM799" s="3796"/>
      <c r="FGN799" s="3796"/>
      <c r="FGO799" s="3796"/>
      <c r="FGP799" s="3796"/>
      <c r="FGQ799" s="3796"/>
      <c r="FGR799" s="3796"/>
      <c r="FGS799" s="3796"/>
      <c r="FGT799" s="3796"/>
      <c r="FGU799" s="3796"/>
      <c r="FGV799" s="3796"/>
      <c r="FGW799" s="3796"/>
      <c r="FGX799" s="3796"/>
      <c r="FGY799" s="3796"/>
      <c r="FGZ799" s="3796"/>
      <c r="FHA799" s="3796"/>
      <c r="FHB799" s="3796"/>
      <c r="FHC799" s="3796"/>
      <c r="FHD799" s="3796"/>
      <c r="FHE799" s="3796"/>
      <c r="FHF799" s="3796"/>
      <c r="FHG799" s="3796"/>
      <c r="FHH799" s="3796"/>
      <c r="FHI799" s="3796"/>
      <c r="FHJ799" s="3796"/>
      <c r="FHK799" s="3796"/>
      <c r="FHL799" s="3796"/>
      <c r="FHM799" s="3796"/>
      <c r="FHN799" s="3796"/>
      <c r="FHO799" s="3796"/>
      <c r="FHP799" s="3796"/>
      <c r="FHQ799" s="3796"/>
      <c r="FHR799" s="3796"/>
      <c r="FHS799" s="3796"/>
      <c r="FHT799" s="3796"/>
      <c r="FHU799" s="3796"/>
      <c r="FHV799" s="3796"/>
      <c r="FHW799" s="3796"/>
      <c r="FHX799" s="3796"/>
      <c r="FHY799" s="3796"/>
      <c r="FHZ799" s="3796"/>
      <c r="FIA799" s="3796"/>
      <c r="FIB799" s="3796"/>
      <c r="FIC799" s="3796"/>
      <c r="FID799" s="3796"/>
      <c r="FIE799" s="3796"/>
      <c r="FIF799" s="3796"/>
      <c r="FIG799" s="3796"/>
      <c r="FIH799" s="3796"/>
      <c r="FII799" s="3796"/>
      <c r="FIJ799" s="3796"/>
      <c r="FIK799" s="3796"/>
      <c r="FIL799" s="3796"/>
      <c r="FIM799" s="3796"/>
      <c r="FIN799" s="3796"/>
      <c r="FIO799" s="3796"/>
      <c r="FIP799" s="3796"/>
      <c r="FIQ799" s="3796"/>
      <c r="FIR799" s="3796"/>
      <c r="FIS799" s="3796"/>
      <c r="FIT799" s="3796"/>
      <c r="FIU799" s="3796"/>
      <c r="FIV799" s="3796"/>
      <c r="FIW799" s="3796"/>
      <c r="FIX799" s="3796"/>
      <c r="FIY799" s="3796"/>
      <c r="FIZ799" s="3796"/>
      <c r="FJA799" s="3796"/>
      <c r="FJB799" s="3796"/>
      <c r="FJC799" s="3796"/>
      <c r="FJD799" s="3796"/>
      <c r="FJE799" s="3796"/>
      <c r="FJF799" s="3796"/>
      <c r="FJG799" s="3796"/>
      <c r="FJH799" s="3796"/>
      <c r="FJI799" s="3796"/>
      <c r="FJJ799" s="3796"/>
      <c r="FJK799" s="3796"/>
      <c r="FJL799" s="3796"/>
      <c r="FJM799" s="3796"/>
      <c r="FJN799" s="3796"/>
      <c r="FJO799" s="3796"/>
      <c r="FJP799" s="3796"/>
      <c r="FJQ799" s="3796"/>
      <c r="FJR799" s="3796"/>
      <c r="FJS799" s="3796"/>
      <c r="FJT799" s="3796"/>
      <c r="FJU799" s="3796"/>
      <c r="FJV799" s="3796"/>
      <c r="FJW799" s="3796"/>
      <c r="FJX799" s="3796"/>
      <c r="FJY799" s="3796"/>
      <c r="FJZ799" s="3796"/>
      <c r="FKA799" s="3796"/>
      <c r="FKB799" s="3796"/>
      <c r="FKC799" s="3796"/>
      <c r="FKD799" s="3796"/>
      <c r="FKE799" s="3796"/>
      <c r="FKF799" s="3796"/>
      <c r="FKG799" s="3796"/>
      <c r="FKH799" s="3796"/>
      <c r="FKI799" s="3796"/>
      <c r="FKJ799" s="3796"/>
      <c r="FKK799" s="3796"/>
      <c r="FKP799" s="3796"/>
      <c r="FKV799" s="3796"/>
      <c r="FKW799" s="3796"/>
      <c r="FKX799" s="3796"/>
      <c r="FLB799" s="3796"/>
      <c r="FLI799" s="3796"/>
      <c r="FLJ799" s="3796"/>
      <c r="FLK799" s="3796"/>
      <c r="FLL799" s="3796"/>
      <c r="FLM799" s="3796"/>
      <c r="FLN799" s="3796"/>
      <c r="FLO799" s="3796"/>
      <c r="FLP799" s="3796"/>
      <c r="FLQ799" s="3796"/>
      <c r="FLR799" s="3796"/>
      <c r="FLS799" s="3796"/>
      <c r="FLT799" s="3796"/>
      <c r="FLU799" s="3796"/>
      <c r="FLV799" s="3796"/>
      <c r="FLW799" s="3796"/>
      <c r="FLX799" s="3796"/>
      <c r="FLY799" s="3796"/>
      <c r="FLZ799" s="3796"/>
      <c r="FMA799" s="3796"/>
      <c r="FMB799" s="3796"/>
      <c r="FMC799" s="3796"/>
      <c r="FMD799" s="3796"/>
      <c r="FME799" s="3796"/>
      <c r="FMF799" s="3796"/>
      <c r="FMG799" s="3796"/>
      <c r="FMH799" s="3796"/>
      <c r="FMI799" s="3796"/>
      <c r="FMJ799" s="3796"/>
      <c r="FMK799" s="3796"/>
      <c r="FML799" s="3796"/>
      <c r="FMM799" s="3796"/>
      <c r="FMN799" s="3796"/>
      <c r="FMO799" s="3796"/>
      <c r="FMP799" s="3796"/>
      <c r="FMQ799" s="3796"/>
      <c r="FMR799" s="3796"/>
      <c r="FMS799" s="3796"/>
      <c r="FMT799" s="3796"/>
      <c r="FMU799" s="3796"/>
      <c r="FMV799" s="3796"/>
      <c r="FMW799" s="3796"/>
      <c r="FMX799" s="3796"/>
      <c r="FMY799" s="3796"/>
      <c r="FMZ799" s="3796"/>
      <c r="FNA799" s="3796"/>
      <c r="FNB799" s="3796"/>
      <c r="FNC799" s="3796"/>
      <c r="FND799" s="3796"/>
      <c r="FNE799" s="3796"/>
      <c r="FNF799" s="3796"/>
      <c r="FNG799" s="3796"/>
      <c r="FNH799" s="3796"/>
      <c r="FNI799" s="3796"/>
      <c r="FNJ799" s="3796"/>
      <c r="FNK799" s="3796"/>
      <c r="FNL799" s="3796"/>
      <c r="FNM799" s="3796"/>
      <c r="FNN799" s="3796"/>
      <c r="FNO799" s="3796"/>
      <c r="FNP799" s="3796"/>
      <c r="FNQ799" s="3796"/>
      <c r="FNR799" s="3796"/>
      <c r="FNS799" s="3796"/>
      <c r="FNT799" s="3796"/>
      <c r="FNU799" s="3796"/>
      <c r="FNV799" s="3796"/>
      <c r="FNW799" s="3796"/>
      <c r="FNX799" s="3796"/>
      <c r="FNY799" s="3796"/>
      <c r="FNZ799" s="3796"/>
      <c r="FOA799" s="3796"/>
      <c r="FOB799" s="3796"/>
      <c r="FOC799" s="3796"/>
      <c r="FOD799" s="3796"/>
      <c r="FOE799" s="3796"/>
      <c r="FOF799" s="3796"/>
      <c r="FOG799" s="3796"/>
      <c r="FOH799" s="3796"/>
      <c r="FOI799" s="3796"/>
      <c r="FOJ799" s="3796"/>
      <c r="FOK799" s="3796"/>
      <c r="FOL799" s="3796"/>
      <c r="FOM799" s="3796"/>
      <c r="FON799" s="3796"/>
      <c r="FOO799" s="3796"/>
      <c r="FOP799" s="3796"/>
      <c r="FOQ799" s="3796"/>
      <c r="FOR799" s="3796"/>
      <c r="FOS799" s="3796"/>
      <c r="FOT799" s="3796"/>
      <c r="FOU799" s="3796"/>
      <c r="FOV799" s="3796"/>
      <c r="FOW799" s="3796"/>
      <c r="FOX799" s="3796"/>
      <c r="FOY799" s="3796"/>
      <c r="FOZ799" s="3796"/>
      <c r="FPA799" s="3796"/>
      <c r="FPB799" s="3796"/>
      <c r="FPC799" s="3796"/>
      <c r="FPD799" s="3796"/>
      <c r="FPE799" s="3796"/>
      <c r="FPF799" s="3796"/>
      <c r="FPG799" s="3796"/>
      <c r="FPH799" s="3796"/>
      <c r="FPI799" s="3796"/>
      <c r="FPJ799" s="3796"/>
      <c r="FPK799" s="3796"/>
      <c r="FPL799" s="3796"/>
      <c r="FPM799" s="3796"/>
      <c r="FPN799" s="3796"/>
      <c r="FPO799" s="3796"/>
      <c r="FPP799" s="3796"/>
      <c r="FPQ799" s="3796"/>
      <c r="FPR799" s="3796"/>
      <c r="FPS799" s="3796"/>
      <c r="FPT799" s="3796"/>
      <c r="FPU799" s="3796"/>
      <c r="FPV799" s="3796"/>
      <c r="FPW799" s="3796"/>
      <c r="FPX799" s="3796"/>
      <c r="FPY799" s="3796"/>
      <c r="FPZ799" s="3796"/>
      <c r="FQA799" s="3796"/>
      <c r="FQB799" s="3796"/>
      <c r="FQC799" s="3796"/>
      <c r="FQD799" s="3796"/>
      <c r="FQE799" s="3796"/>
      <c r="FQF799" s="3796"/>
      <c r="FQG799" s="3796"/>
      <c r="FQH799" s="3796"/>
      <c r="FQI799" s="3796"/>
      <c r="FQJ799" s="3796"/>
      <c r="FQK799" s="3796"/>
      <c r="FQL799" s="3796"/>
      <c r="FQM799" s="3796"/>
      <c r="FQN799" s="3796"/>
      <c r="FQO799" s="3796"/>
      <c r="FQP799" s="3796"/>
      <c r="FQQ799" s="3796"/>
      <c r="FQR799" s="3796"/>
      <c r="FQS799" s="3796"/>
      <c r="FQT799" s="3796"/>
      <c r="FQU799" s="3796"/>
      <c r="FQV799" s="3796"/>
      <c r="FQW799" s="3796"/>
      <c r="FQX799" s="3796"/>
      <c r="FQY799" s="3796"/>
      <c r="FQZ799" s="3796"/>
      <c r="FRA799" s="3796"/>
      <c r="FRB799" s="3796"/>
      <c r="FRC799" s="3796"/>
      <c r="FRD799" s="3796"/>
      <c r="FRE799" s="3796"/>
      <c r="FRF799" s="3796"/>
      <c r="FRG799" s="3796"/>
      <c r="FRH799" s="3796"/>
      <c r="FRI799" s="3796"/>
      <c r="FRJ799" s="3796"/>
      <c r="FRK799" s="3796"/>
      <c r="FRL799" s="3796"/>
      <c r="FRM799" s="3796"/>
      <c r="FRN799" s="3796"/>
      <c r="FRO799" s="3796"/>
      <c r="FRP799" s="3796"/>
      <c r="FRQ799" s="3796"/>
      <c r="FRR799" s="3796"/>
      <c r="FRS799" s="3796"/>
      <c r="FRT799" s="3796"/>
      <c r="FRU799" s="3796"/>
      <c r="FRV799" s="3796"/>
      <c r="FRW799" s="3796"/>
      <c r="FRX799" s="3796"/>
      <c r="FRY799" s="3796"/>
      <c r="FRZ799" s="3796"/>
      <c r="FSA799" s="3796"/>
      <c r="FSB799" s="3796"/>
      <c r="FSC799" s="3796"/>
      <c r="FSD799" s="3796"/>
      <c r="FSE799" s="3796"/>
      <c r="FSF799" s="3796"/>
      <c r="FSG799" s="3796"/>
      <c r="FSH799" s="3796"/>
      <c r="FSI799" s="3796"/>
      <c r="FSJ799" s="3796"/>
      <c r="FSK799" s="3796"/>
      <c r="FSL799" s="3796"/>
      <c r="FSM799" s="3796"/>
      <c r="FSN799" s="3796"/>
      <c r="FSO799" s="3796"/>
      <c r="FSP799" s="3796"/>
      <c r="FSQ799" s="3796"/>
      <c r="FSR799" s="3796"/>
      <c r="FSS799" s="3796"/>
      <c r="FST799" s="3796"/>
      <c r="FSU799" s="3796"/>
      <c r="FSV799" s="3796"/>
      <c r="FSW799" s="3796"/>
      <c r="FSX799" s="3796"/>
      <c r="FSY799" s="3796"/>
      <c r="FSZ799" s="3796"/>
      <c r="FTA799" s="3796"/>
      <c r="FTB799" s="3796"/>
      <c r="FTC799" s="3796"/>
      <c r="FTD799" s="3796"/>
      <c r="FTE799" s="3796"/>
      <c r="FTF799" s="3796"/>
      <c r="FTG799" s="3796"/>
      <c r="FTH799" s="3796"/>
      <c r="FTI799" s="3796"/>
      <c r="FTJ799" s="3796"/>
      <c r="FTK799" s="3796"/>
      <c r="FTL799" s="3796"/>
      <c r="FTM799" s="3796"/>
      <c r="FTN799" s="3796"/>
      <c r="FTO799" s="3796"/>
      <c r="FTP799" s="3796"/>
      <c r="FTQ799" s="3796"/>
      <c r="FTR799" s="3796"/>
      <c r="FTS799" s="3796"/>
      <c r="FTT799" s="3796"/>
      <c r="FTU799" s="3796"/>
      <c r="FTV799" s="3796"/>
      <c r="FTW799" s="3796"/>
      <c r="FTX799" s="3796"/>
      <c r="FTY799" s="3796"/>
      <c r="FTZ799" s="3796"/>
      <c r="FUA799" s="3796"/>
      <c r="FUB799" s="3796"/>
      <c r="FUC799" s="3796"/>
      <c r="FUD799" s="3796"/>
      <c r="FUE799" s="3796"/>
      <c r="FUF799" s="3796"/>
      <c r="FUG799" s="3796"/>
      <c r="FUL799" s="3796"/>
      <c r="FUR799" s="3796"/>
      <c r="FUS799" s="3796"/>
      <c r="FUT799" s="3796"/>
      <c r="FUX799" s="3796"/>
      <c r="FVE799" s="3796"/>
      <c r="FVF799" s="3796"/>
      <c r="FVG799" s="3796"/>
      <c r="FVH799" s="3796"/>
      <c r="FVI799" s="3796"/>
      <c r="FVJ799" s="3796"/>
      <c r="FVK799" s="3796"/>
      <c r="FVL799" s="3796"/>
      <c r="FVM799" s="3796"/>
      <c r="FVN799" s="3796"/>
      <c r="FVO799" s="3796"/>
      <c r="FVP799" s="3796"/>
      <c r="FVQ799" s="3796"/>
      <c r="FVR799" s="3796"/>
      <c r="FVS799" s="3796"/>
      <c r="FVT799" s="3796"/>
      <c r="FVU799" s="3796"/>
      <c r="FVV799" s="3796"/>
      <c r="FVW799" s="3796"/>
      <c r="FVX799" s="3796"/>
      <c r="FVY799" s="3796"/>
      <c r="FVZ799" s="3796"/>
      <c r="FWA799" s="3796"/>
      <c r="FWB799" s="3796"/>
      <c r="FWC799" s="3796"/>
      <c r="FWD799" s="3796"/>
      <c r="FWE799" s="3796"/>
      <c r="FWF799" s="3796"/>
      <c r="FWG799" s="3796"/>
      <c r="FWH799" s="3796"/>
      <c r="FWI799" s="3796"/>
      <c r="FWJ799" s="3796"/>
      <c r="FWK799" s="3796"/>
      <c r="FWL799" s="3796"/>
      <c r="FWM799" s="3796"/>
      <c r="FWN799" s="3796"/>
      <c r="FWO799" s="3796"/>
      <c r="FWP799" s="3796"/>
      <c r="FWQ799" s="3796"/>
      <c r="FWR799" s="3796"/>
      <c r="FWS799" s="3796"/>
      <c r="FWT799" s="3796"/>
      <c r="FWU799" s="3796"/>
      <c r="FWV799" s="3796"/>
      <c r="FWW799" s="3796"/>
      <c r="FWX799" s="3796"/>
      <c r="FWY799" s="3796"/>
      <c r="FWZ799" s="3796"/>
      <c r="FXA799" s="3796"/>
      <c r="FXB799" s="3796"/>
      <c r="FXC799" s="3796"/>
      <c r="FXD799" s="3796"/>
      <c r="FXE799" s="3796"/>
      <c r="FXF799" s="3796"/>
      <c r="FXG799" s="3796"/>
      <c r="FXH799" s="3796"/>
      <c r="FXI799" s="3796"/>
      <c r="FXJ799" s="3796"/>
      <c r="FXK799" s="3796"/>
      <c r="FXL799" s="3796"/>
      <c r="FXM799" s="3796"/>
      <c r="FXN799" s="3796"/>
      <c r="FXO799" s="3796"/>
      <c r="FXP799" s="3796"/>
      <c r="FXQ799" s="3796"/>
      <c r="FXR799" s="3796"/>
      <c r="FXS799" s="3796"/>
      <c r="FXT799" s="3796"/>
      <c r="FXU799" s="3796"/>
      <c r="FXV799" s="3796"/>
      <c r="FXW799" s="3796"/>
      <c r="FXX799" s="3796"/>
      <c r="FXY799" s="3796"/>
      <c r="FXZ799" s="3796"/>
      <c r="FYA799" s="3796"/>
      <c r="FYB799" s="3796"/>
      <c r="FYC799" s="3796"/>
      <c r="FYD799" s="3796"/>
      <c r="FYE799" s="3796"/>
      <c r="FYF799" s="3796"/>
      <c r="FYG799" s="3796"/>
      <c r="FYH799" s="3796"/>
      <c r="FYI799" s="3796"/>
      <c r="FYJ799" s="3796"/>
      <c r="FYK799" s="3796"/>
      <c r="FYL799" s="3796"/>
      <c r="FYM799" s="3796"/>
      <c r="FYN799" s="3796"/>
      <c r="FYO799" s="3796"/>
      <c r="FYP799" s="3796"/>
      <c r="FYQ799" s="3796"/>
      <c r="FYR799" s="3796"/>
      <c r="FYS799" s="3796"/>
      <c r="FYT799" s="3796"/>
      <c r="FYU799" s="3796"/>
      <c r="FYV799" s="3796"/>
      <c r="FYW799" s="3796"/>
      <c r="FYX799" s="3796"/>
      <c r="FYY799" s="3796"/>
      <c r="FYZ799" s="3796"/>
      <c r="FZA799" s="3796"/>
      <c r="FZB799" s="3796"/>
      <c r="FZC799" s="3796"/>
      <c r="FZD799" s="3796"/>
      <c r="FZE799" s="3796"/>
      <c r="FZF799" s="3796"/>
      <c r="FZG799" s="3796"/>
      <c r="FZH799" s="3796"/>
      <c r="FZI799" s="3796"/>
      <c r="FZJ799" s="3796"/>
      <c r="FZK799" s="3796"/>
      <c r="FZL799" s="3796"/>
      <c r="FZM799" s="3796"/>
      <c r="FZN799" s="3796"/>
      <c r="FZO799" s="3796"/>
      <c r="FZP799" s="3796"/>
      <c r="FZQ799" s="3796"/>
      <c r="FZR799" s="3796"/>
      <c r="FZS799" s="3796"/>
      <c r="FZT799" s="3796"/>
      <c r="FZU799" s="3796"/>
      <c r="FZV799" s="3796"/>
      <c r="FZW799" s="3796"/>
      <c r="FZX799" s="3796"/>
      <c r="FZY799" s="3796"/>
      <c r="FZZ799" s="3796"/>
      <c r="GAA799" s="3796"/>
      <c r="GAB799" s="3796"/>
      <c r="GAC799" s="3796"/>
      <c r="GAD799" s="3796"/>
      <c r="GAE799" s="3796"/>
      <c r="GAF799" s="3796"/>
      <c r="GAG799" s="3796"/>
      <c r="GAH799" s="3796"/>
      <c r="GAI799" s="3796"/>
      <c r="GAJ799" s="3796"/>
      <c r="GAK799" s="3796"/>
      <c r="GAL799" s="3796"/>
      <c r="GAM799" s="3796"/>
      <c r="GAN799" s="3796"/>
      <c r="GAO799" s="3796"/>
      <c r="GAP799" s="3796"/>
      <c r="GAQ799" s="3796"/>
      <c r="GAR799" s="3796"/>
      <c r="GAS799" s="3796"/>
      <c r="GAT799" s="3796"/>
      <c r="GAU799" s="3796"/>
      <c r="GAV799" s="3796"/>
      <c r="GAW799" s="3796"/>
      <c r="GAX799" s="3796"/>
      <c r="GAY799" s="3796"/>
      <c r="GAZ799" s="3796"/>
      <c r="GBA799" s="3796"/>
      <c r="GBB799" s="3796"/>
      <c r="GBC799" s="3796"/>
      <c r="GBD799" s="3796"/>
      <c r="GBE799" s="3796"/>
      <c r="GBF799" s="3796"/>
      <c r="GBG799" s="3796"/>
      <c r="GBH799" s="3796"/>
      <c r="GBI799" s="3796"/>
      <c r="GBJ799" s="3796"/>
      <c r="GBK799" s="3796"/>
      <c r="GBL799" s="3796"/>
      <c r="GBM799" s="3796"/>
      <c r="GBN799" s="3796"/>
      <c r="GBO799" s="3796"/>
      <c r="GBP799" s="3796"/>
      <c r="GBQ799" s="3796"/>
      <c r="GBR799" s="3796"/>
      <c r="GBS799" s="3796"/>
      <c r="GBT799" s="3796"/>
      <c r="GBU799" s="3796"/>
      <c r="GBV799" s="3796"/>
      <c r="GBW799" s="3796"/>
      <c r="GBX799" s="3796"/>
      <c r="GBY799" s="3796"/>
      <c r="GBZ799" s="3796"/>
      <c r="GCA799" s="3796"/>
      <c r="GCB799" s="3796"/>
      <c r="GCC799" s="3796"/>
      <c r="GCD799" s="3796"/>
      <c r="GCE799" s="3796"/>
      <c r="GCF799" s="3796"/>
      <c r="GCG799" s="3796"/>
      <c r="GCH799" s="3796"/>
      <c r="GCI799" s="3796"/>
      <c r="GCJ799" s="3796"/>
      <c r="GCK799" s="3796"/>
      <c r="GCL799" s="3796"/>
      <c r="GCM799" s="3796"/>
      <c r="GCN799" s="3796"/>
      <c r="GCO799" s="3796"/>
      <c r="GCP799" s="3796"/>
      <c r="GCQ799" s="3796"/>
      <c r="GCR799" s="3796"/>
      <c r="GCS799" s="3796"/>
      <c r="GCT799" s="3796"/>
      <c r="GCU799" s="3796"/>
      <c r="GCV799" s="3796"/>
      <c r="GCW799" s="3796"/>
      <c r="GCX799" s="3796"/>
      <c r="GCY799" s="3796"/>
      <c r="GCZ799" s="3796"/>
      <c r="GDA799" s="3796"/>
      <c r="GDB799" s="3796"/>
      <c r="GDC799" s="3796"/>
      <c r="GDD799" s="3796"/>
      <c r="GDE799" s="3796"/>
      <c r="GDF799" s="3796"/>
      <c r="GDG799" s="3796"/>
      <c r="GDH799" s="3796"/>
      <c r="GDI799" s="3796"/>
      <c r="GDJ799" s="3796"/>
      <c r="GDK799" s="3796"/>
      <c r="GDL799" s="3796"/>
      <c r="GDM799" s="3796"/>
      <c r="GDN799" s="3796"/>
      <c r="GDO799" s="3796"/>
      <c r="GDP799" s="3796"/>
      <c r="GDQ799" s="3796"/>
      <c r="GDR799" s="3796"/>
      <c r="GDS799" s="3796"/>
      <c r="GDT799" s="3796"/>
      <c r="GDU799" s="3796"/>
      <c r="GDV799" s="3796"/>
      <c r="GDW799" s="3796"/>
      <c r="GDX799" s="3796"/>
      <c r="GDY799" s="3796"/>
      <c r="GDZ799" s="3796"/>
      <c r="GEA799" s="3796"/>
      <c r="GEB799" s="3796"/>
      <c r="GEC799" s="3796"/>
      <c r="GEH799" s="3796"/>
      <c r="GEN799" s="3796"/>
      <c r="GEO799" s="3796"/>
      <c r="GEP799" s="3796"/>
      <c r="GET799" s="3796"/>
      <c r="GFA799" s="3796"/>
      <c r="GFB799" s="3796"/>
      <c r="GFC799" s="3796"/>
      <c r="GFD799" s="3796"/>
      <c r="GFE799" s="3796"/>
      <c r="GFF799" s="3796"/>
      <c r="GFG799" s="3796"/>
      <c r="GFH799" s="3796"/>
      <c r="GFI799" s="3796"/>
      <c r="GFJ799" s="3796"/>
      <c r="GFK799" s="3796"/>
      <c r="GFL799" s="3796"/>
      <c r="GFM799" s="3796"/>
      <c r="GFN799" s="3796"/>
      <c r="GFO799" s="3796"/>
      <c r="GFP799" s="3796"/>
      <c r="GFQ799" s="3796"/>
      <c r="GFR799" s="3796"/>
      <c r="GFS799" s="3796"/>
      <c r="GFT799" s="3796"/>
      <c r="GFU799" s="3796"/>
      <c r="GFV799" s="3796"/>
      <c r="GFW799" s="3796"/>
      <c r="GFX799" s="3796"/>
      <c r="GFY799" s="3796"/>
      <c r="GFZ799" s="3796"/>
      <c r="GGA799" s="3796"/>
      <c r="GGB799" s="3796"/>
      <c r="GGC799" s="3796"/>
      <c r="GGD799" s="3796"/>
      <c r="GGE799" s="3796"/>
      <c r="GGF799" s="3796"/>
      <c r="GGG799" s="3796"/>
      <c r="GGH799" s="3796"/>
      <c r="GGI799" s="3796"/>
      <c r="GGJ799" s="3796"/>
      <c r="GGK799" s="3796"/>
      <c r="GGL799" s="3796"/>
      <c r="GGM799" s="3796"/>
      <c r="GGN799" s="3796"/>
      <c r="GGO799" s="3796"/>
      <c r="GGP799" s="3796"/>
      <c r="GGQ799" s="3796"/>
      <c r="GGR799" s="3796"/>
      <c r="GGS799" s="3796"/>
      <c r="GGT799" s="3796"/>
      <c r="GGU799" s="3796"/>
      <c r="GGV799" s="3796"/>
      <c r="GGW799" s="3796"/>
      <c r="GGX799" s="3796"/>
      <c r="GGY799" s="3796"/>
      <c r="GGZ799" s="3796"/>
      <c r="GHA799" s="3796"/>
      <c r="GHB799" s="3796"/>
      <c r="GHC799" s="3796"/>
      <c r="GHD799" s="3796"/>
      <c r="GHE799" s="3796"/>
      <c r="GHF799" s="3796"/>
      <c r="GHG799" s="3796"/>
      <c r="GHH799" s="3796"/>
      <c r="GHI799" s="3796"/>
      <c r="GHJ799" s="3796"/>
      <c r="GHK799" s="3796"/>
      <c r="GHL799" s="3796"/>
      <c r="GHM799" s="3796"/>
      <c r="GHN799" s="3796"/>
      <c r="GHO799" s="3796"/>
      <c r="GHP799" s="3796"/>
      <c r="GHQ799" s="3796"/>
      <c r="GHR799" s="3796"/>
      <c r="GHS799" s="3796"/>
      <c r="GHT799" s="3796"/>
      <c r="GHU799" s="3796"/>
      <c r="GHV799" s="3796"/>
      <c r="GHW799" s="3796"/>
      <c r="GHX799" s="3796"/>
      <c r="GHY799" s="3796"/>
      <c r="GHZ799" s="3796"/>
      <c r="GIA799" s="3796"/>
      <c r="GIB799" s="3796"/>
      <c r="GIC799" s="3796"/>
      <c r="GID799" s="3796"/>
      <c r="GIE799" s="3796"/>
      <c r="GIF799" s="3796"/>
      <c r="GIG799" s="3796"/>
      <c r="GIH799" s="3796"/>
      <c r="GII799" s="3796"/>
      <c r="GIJ799" s="3796"/>
      <c r="GIK799" s="3796"/>
      <c r="GIL799" s="3796"/>
      <c r="GIM799" s="3796"/>
      <c r="GIN799" s="3796"/>
      <c r="GIO799" s="3796"/>
      <c r="GIP799" s="3796"/>
      <c r="GIQ799" s="3796"/>
      <c r="GIR799" s="3796"/>
      <c r="GIS799" s="3796"/>
      <c r="GIT799" s="3796"/>
      <c r="GIU799" s="3796"/>
      <c r="GIV799" s="3796"/>
      <c r="GIW799" s="3796"/>
      <c r="GIX799" s="3796"/>
      <c r="GIY799" s="3796"/>
      <c r="GIZ799" s="3796"/>
      <c r="GJA799" s="3796"/>
      <c r="GJB799" s="3796"/>
      <c r="GJC799" s="3796"/>
      <c r="GJD799" s="3796"/>
      <c r="GJE799" s="3796"/>
      <c r="GJF799" s="3796"/>
      <c r="GJG799" s="3796"/>
      <c r="GJH799" s="3796"/>
      <c r="GJI799" s="3796"/>
      <c r="GJJ799" s="3796"/>
      <c r="GJK799" s="3796"/>
      <c r="GJL799" s="3796"/>
      <c r="GJM799" s="3796"/>
      <c r="GJN799" s="3796"/>
      <c r="GJO799" s="3796"/>
      <c r="GJP799" s="3796"/>
      <c r="GJQ799" s="3796"/>
      <c r="GJR799" s="3796"/>
      <c r="GJS799" s="3796"/>
      <c r="GJT799" s="3796"/>
      <c r="GJU799" s="3796"/>
      <c r="GJV799" s="3796"/>
      <c r="GJW799" s="3796"/>
      <c r="GJX799" s="3796"/>
      <c r="GJY799" s="3796"/>
      <c r="GJZ799" s="3796"/>
      <c r="GKA799" s="3796"/>
      <c r="GKB799" s="3796"/>
      <c r="GKC799" s="3796"/>
      <c r="GKD799" s="3796"/>
      <c r="GKE799" s="3796"/>
      <c r="GKF799" s="3796"/>
      <c r="GKG799" s="3796"/>
      <c r="GKH799" s="3796"/>
      <c r="GKI799" s="3796"/>
      <c r="GKJ799" s="3796"/>
      <c r="GKK799" s="3796"/>
      <c r="GKL799" s="3796"/>
      <c r="GKM799" s="3796"/>
      <c r="GKN799" s="3796"/>
      <c r="GKO799" s="3796"/>
      <c r="GKP799" s="3796"/>
      <c r="GKQ799" s="3796"/>
      <c r="GKR799" s="3796"/>
      <c r="GKS799" s="3796"/>
      <c r="GKT799" s="3796"/>
      <c r="GKU799" s="3796"/>
      <c r="GKV799" s="3796"/>
      <c r="GKW799" s="3796"/>
      <c r="GKX799" s="3796"/>
      <c r="GKY799" s="3796"/>
      <c r="GKZ799" s="3796"/>
      <c r="GLA799" s="3796"/>
      <c r="GLB799" s="3796"/>
      <c r="GLC799" s="3796"/>
      <c r="GLD799" s="3796"/>
      <c r="GLE799" s="3796"/>
      <c r="GLF799" s="3796"/>
      <c r="GLG799" s="3796"/>
      <c r="GLH799" s="3796"/>
      <c r="GLI799" s="3796"/>
      <c r="GLJ799" s="3796"/>
      <c r="GLK799" s="3796"/>
      <c r="GLL799" s="3796"/>
      <c r="GLM799" s="3796"/>
      <c r="GLN799" s="3796"/>
      <c r="GLO799" s="3796"/>
      <c r="GLP799" s="3796"/>
      <c r="GLQ799" s="3796"/>
      <c r="GLR799" s="3796"/>
      <c r="GLS799" s="3796"/>
      <c r="GLT799" s="3796"/>
      <c r="GLU799" s="3796"/>
      <c r="GLV799" s="3796"/>
      <c r="GLW799" s="3796"/>
      <c r="GLX799" s="3796"/>
      <c r="GLY799" s="3796"/>
      <c r="GLZ799" s="3796"/>
      <c r="GMA799" s="3796"/>
      <c r="GMB799" s="3796"/>
      <c r="GMC799" s="3796"/>
      <c r="GMD799" s="3796"/>
      <c r="GME799" s="3796"/>
      <c r="GMF799" s="3796"/>
      <c r="GMG799" s="3796"/>
      <c r="GMH799" s="3796"/>
      <c r="GMI799" s="3796"/>
      <c r="GMJ799" s="3796"/>
      <c r="GMK799" s="3796"/>
      <c r="GML799" s="3796"/>
      <c r="GMM799" s="3796"/>
      <c r="GMN799" s="3796"/>
      <c r="GMO799" s="3796"/>
      <c r="GMP799" s="3796"/>
      <c r="GMQ799" s="3796"/>
      <c r="GMR799" s="3796"/>
      <c r="GMS799" s="3796"/>
      <c r="GMT799" s="3796"/>
      <c r="GMU799" s="3796"/>
      <c r="GMV799" s="3796"/>
      <c r="GMW799" s="3796"/>
      <c r="GMX799" s="3796"/>
      <c r="GMY799" s="3796"/>
      <c r="GMZ799" s="3796"/>
      <c r="GNA799" s="3796"/>
      <c r="GNB799" s="3796"/>
      <c r="GNC799" s="3796"/>
      <c r="GND799" s="3796"/>
      <c r="GNE799" s="3796"/>
      <c r="GNF799" s="3796"/>
      <c r="GNG799" s="3796"/>
      <c r="GNH799" s="3796"/>
      <c r="GNI799" s="3796"/>
      <c r="GNJ799" s="3796"/>
      <c r="GNK799" s="3796"/>
      <c r="GNL799" s="3796"/>
      <c r="GNM799" s="3796"/>
      <c r="GNN799" s="3796"/>
      <c r="GNO799" s="3796"/>
      <c r="GNP799" s="3796"/>
      <c r="GNQ799" s="3796"/>
      <c r="GNR799" s="3796"/>
      <c r="GNS799" s="3796"/>
      <c r="GNT799" s="3796"/>
      <c r="GNU799" s="3796"/>
      <c r="GNV799" s="3796"/>
      <c r="GNW799" s="3796"/>
      <c r="GNX799" s="3796"/>
      <c r="GNY799" s="3796"/>
      <c r="GOD799" s="3796"/>
      <c r="GOJ799" s="3796"/>
      <c r="GOK799" s="3796"/>
      <c r="GOL799" s="3796"/>
      <c r="GOP799" s="3796"/>
      <c r="GOW799" s="3796"/>
      <c r="GOX799" s="3796"/>
      <c r="GOY799" s="3796"/>
      <c r="GOZ799" s="3796"/>
      <c r="GPA799" s="3796"/>
      <c r="GPB799" s="3796"/>
      <c r="GPC799" s="3796"/>
      <c r="GPD799" s="3796"/>
      <c r="GPE799" s="3796"/>
      <c r="GPF799" s="3796"/>
      <c r="GPG799" s="3796"/>
      <c r="GPH799" s="3796"/>
      <c r="GPI799" s="3796"/>
      <c r="GPJ799" s="3796"/>
      <c r="GPK799" s="3796"/>
      <c r="GPL799" s="3796"/>
      <c r="GPM799" s="3796"/>
      <c r="GPN799" s="3796"/>
      <c r="GPO799" s="3796"/>
      <c r="GPP799" s="3796"/>
      <c r="GPQ799" s="3796"/>
      <c r="GPR799" s="3796"/>
      <c r="GPS799" s="3796"/>
      <c r="GPT799" s="3796"/>
      <c r="GPU799" s="3796"/>
      <c r="GPV799" s="3796"/>
      <c r="GPW799" s="3796"/>
      <c r="GPX799" s="3796"/>
      <c r="GPY799" s="3796"/>
      <c r="GPZ799" s="3796"/>
      <c r="GQA799" s="3796"/>
      <c r="GQB799" s="3796"/>
      <c r="GQC799" s="3796"/>
      <c r="GQD799" s="3796"/>
      <c r="GQE799" s="3796"/>
      <c r="GQF799" s="3796"/>
      <c r="GQG799" s="3796"/>
      <c r="GQH799" s="3796"/>
      <c r="GQI799" s="3796"/>
      <c r="GQJ799" s="3796"/>
      <c r="GQK799" s="3796"/>
      <c r="GQL799" s="3796"/>
      <c r="GQM799" s="3796"/>
      <c r="GQN799" s="3796"/>
      <c r="GQO799" s="3796"/>
      <c r="GQP799" s="3796"/>
      <c r="GQQ799" s="3796"/>
      <c r="GQR799" s="3796"/>
      <c r="GQS799" s="3796"/>
      <c r="GQT799" s="3796"/>
      <c r="GQU799" s="3796"/>
      <c r="GQV799" s="3796"/>
      <c r="GQW799" s="3796"/>
      <c r="GQX799" s="3796"/>
      <c r="GQY799" s="3796"/>
      <c r="GQZ799" s="3796"/>
      <c r="GRA799" s="3796"/>
      <c r="GRB799" s="3796"/>
      <c r="GRC799" s="3796"/>
      <c r="GRD799" s="3796"/>
      <c r="GRE799" s="3796"/>
      <c r="GRF799" s="3796"/>
      <c r="GRG799" s="3796"/>
      <c r="GRH799" s="3796"/>
      <c r="GRI799" s="3796"/>
      <c r="GRJ799" s="3796"/>
      <c r="GRK799" s="3796"/>
      <c r="GRL799" s="3796"/>
      <c r="GRM799" s="3796"/>
      <c r="GRN799" s="3796"/>
      <c r="GRO799" s="3796"/>
      <c r="GRP799" s="3796"/>
      <c r="GRQ799" s="3796"/>
      <c r="GRR799" s="3796"/>
      <c r="GRS799" s="3796"/>
      <c r="GRT799" s="3796"/>
      <c r="GRU799" s="3796"/>
      <c r="GRV799" s="3796"/>
      <c r="GRW799" s="3796"/>
      <c r="GRX799" s="3796"/>
      <c r="GRY799" s="3796"/>
      <c r="GRZ799" s="3796"/>
      <c r="GSA799" s="3796"/>
      <c r="GSB799" s="3796"/>
      <c r="GSC799" s="3796"/>
      <c r="GSD799" s="3796"/>
      <c r="GSE799" s="3796"/>
      <c r="GSF799" s="3796"/>
      <c r="GSG799" s="3796"/>
      <c r="GSH799" s="3796"/>
      <c r="GSI799" s="3796"/>
      <c r="GSJ799" s="3796"/>
      <c r="GSK799" s="3796"/>
      <c r="GSL799" s="3796"/>
      <c r="GSM799" s="3796"/>
      <c r="GSN799" s="3796"/>
      <c r="GSO799" s="3796"/>
      <c r="GSP799" s="3796"/>
      <c r="GSQ799" s="3796"/>
      <c r="GSR799" s="3796"/>
      <c r="GSS799" s="3796"/>
      <c r="GST799" s="3796"/>
      <c r="GSU799" s="3796"/>
      <c r="GSV799" s="3796"/>
      <c r="GSW799" s="3796"/>
      <c r="GSX799" s="3796"/>
      <c r="GSY799" s="3796"/>
      <c r="GSZ799" s="3796"/>
      <c r="GTA799" s="3796"/>
      <c r="GTB799" s="3796"/>
      <c r="GTC799" s="3796"/>
      <c r="GTD799" s="3796"/>
      <c r="GTE799" s="3796"/>
      <c r="GTF799" s="3796"/>
      <c r="GTG799" s="3796"/>
      <c r="GTH799" s="3796"/>
      <c r="GTI799" s="3796"/>
      <c r="GTJ799" s="3796"/>
      <c r="GTK799" s="3796"/>
      <c r="GTL799" s="3796"/>
      <c r="GTM799" s="3796"/>
      <c r="GTN799" s="3796"/>
      <c r="GTO799" s="3796"/>
      <c r="GTP799" s="3796"/>
      <c r="GTQ799" s="3796"/>
      <c r="GTR799" s="3796"/>
      <c r="GTS799" s="3796"/>
      <c r="GTT799" s="3796"/>
      <c r="GTU799" s="3796"/>
      <c r="GTV799" s="3796"/>
      <c r="GTW799" s="3796"/>
      <c r="GTX799" s="3796"/>
      <c r="GTY799" s="3796"/>
      <c r="GTZ799" s="3796"/>
      <c r="GUA799" s="3796"/>
      <c r="GUB799" s="3796"/>
      <c r="GUC799" s="3796"/>
      <c r="GUD799" s="3796"/>
      <c r="GUE799" s="3796"/>
      <c r="GUF799" s="3796"/>
      <c r="GUG799" s="3796"/>
      <c r="GUH799" s="3796"/>
      <c r="GUI799" s="3796"/>
      <c r="GUJ799" s="3796"/>
      <c r="GUK799" s="3796"/>
      <c r="GUL799" s="3796"/>
      <c r="GUM799" s="3796"/>
      <c r="GUN799" s="3796"/>
      <c r="GUO799" s="3796"/>
      <c r="GUP799" s="3796"/>
      <c r="GUQ799" s="3796"/>
      <c r="GUR799" s="3796"/>
      <c r="GUS799" s="3796"/>
      <c r="GUT799" s="3796"/>
      <c r="GUU799" s="3796"/>
      <c r="GUV799" s="3796"/>
      <c r="GUW799" s="3796"/>
      <c r="GUX799" s="3796"/>
      <c r="GUY799" s="3796"/>
      <c r="GUZ799" s="3796"/>
      <c r="GVA799" s="3796"/>
      <c r="GVB799" s="3796"/>
      <c r="GVC799" s="3796"/>
      <c r="GVD799" s="3796"/>
      <c r="GVE799" s="3796"/>
      <c r="GVF799" s="3796"/>
      <c r="GVG799" s="3796"/>
      <c r="GVH799" s="3796"/>
      <c r="GVI799" s="3796"/>
      <c r="GVJ799" s="3796"/>
      <c r="GVK799" s="3796"/>
      <c r="GVL799" s="3796"/>
      <c r="GVM799" s="3796"/>
      <c r="GVN799" s="3796"/>
      <c r="GVO799" s="3796"/>
      <c r="GVP799" s="3796"/>
      <c r="GVQ799" s="3796"/>
      <c r="GVR799" s="3796"/>
      <c r="GVS799" s="3796"/>
      <c r="GVT799" s="3796"/>
      <c r="GVU799" s="3796"/>
      <c r="GVV799" s="3796"/>
      <c r="GVW799" s="3796"/>
      <c r="GVX799" s="3796"/>
      <c r="GVY799" s="3796"/>
      <c r="GVZ799" s="3796"/>
      <c r="GWA799" s="3796"/>
      <c r="GWB799" s="3796"/>
      <c r="GWC799" s="3796"/>
      <c r="GWD799" s="3796"/>
      <c r="GWE799" s="3796"/>
      <c r="GWF799" s="3796"/>
      <c r="GWG799" s="3796"/>
      <c r="GWH799" s="3796"/>
      <c r="GWI799" s="3796"/>
      <c r="GWJ799" s="3796"/>
      <c r="GWK799" s="3796"/>
      <c r="GWL799" s="3796"/>
      <c r="GWM799" s="3796"/>
      <c r="GWN799" s="3796"/>
      <c r="GWO799" s="3796"/>
      <c r="GWP799" s="3796"/>
      <c r="GWQ799" s="3796"/>
      <c r="GWR799" s="3796"/>
      <c r="GWS799" s="3796"/>
      <c r="GWT799" s="3796"/>
      <c r="GWU799" s="3796"/>
      <c r="GWV799" s="3796"/>
      <c r="GWW799" s="3796"/>
      <c r="GWX799" s="3796"/>
      <c r="GWY799" s="3796"/>
      <c r="GWZ799" s="3796"/>
      <c r="GXA799" s="3796"/>
      <c r="GXB799" s="3796"/>
      <c r="GXC799" s="3796"/>
      <c r="GXD799" s="3796"/>
      <c r="GXE799" s="3796"/>
      <c r="GXF799" s="3796"/>
      <c r="GXG799" s="3796"/>
      <c r="GXH799" s="3796"/>
      <c r="GXI799" s="3796"/>
      <c r="GXJ799" s="3796"/>
      <c r="GXK799" s="3796"/>
      <c r="GXL799" s="3796"/>
      <c r="GXM799" s="3796"/>
      <c r="GXN799" s="3796"/>
      <c r="GXO799" s="3796"/>
      <c r="GXP799" s="3796"/>
      <c r="GXQ799" s="3796"/>
      <c r="GXR799" s="3796"/>
      <c r="GXS799" s="3796"/>
      <c r="GXT799" s="3796"/>
      <c r="GXU799" s="3796"/>
      <c r="GXZ799" s="3796"/>
      <c r="GYF799" s="3796"/>
      <c r="GYG799" s="3796"/>
      <c r="GYH799" s="3796"/>
      <c r="GYL799" s="3796"/>
      <c r="GYS799" s="3796"/>
      <c r="GYT799" s="3796"/>
      <c r="GYU799" s="3796"/>
      <c r="GYV799" s="3796"/>
      <c r="GYW799" s="3796"/>
      <c r="GYX799" s="3796"/>
      <c r="GYY799" s="3796"/>
      <c r="GYZ799" s="3796"/>
      <c r="GZA799" s="3796"/>
      <c r="GZB799" s="3796"/>
      <c r="GZC799" s="3796"/>
      <c r="GZD799" s="3796"/>
      <c r="GZE799" s="3796"/>
      <c r="GZF799" s="3796"/>
      <c r="GZG799" s="3796"/>
      <c r="GZH799" s="3796"/>
      <c r="GZI799" s="3796"/>
      <c r="GZJ799" s="3796"/>
      <c r="GZK799" s="3796"/>
      <c r="GZL799" s="3796"/>
      <c r="GZM799" s="3796"/>
      <c r="GZN799" s="3796"/>
      <c r="GZO799" s="3796"/>
      <c r="GZP799" s="3796"/>
      <c r="GZQ799" s="3796"/>
      <c r="GZR799" s="3796"/>
      <c r="GZS799" s="3796"/>
      <c r="GZT799" s="3796"/>
      <c r="GZU799" s="3796"/>
      <c r="GZV799" s="3796"/>
      <c r="GZW799" s="3796"/>
      <c r="GZX799" s="3796"/>
      <c r="GZY799" s="3796"/>
      <c r="GZZ799" s="3796"/>
      <c r="HAA799" s="3796"/>
      <c r="HAB799" s="3796"/>
      <c r="HAC799" s="3796"/>
      <c r="HAD799" s="3796"/>
      <c r="HAE799" s="3796"/>
      <c r="HAF799" s="3796"/>
      <c r="HAG799" s="3796"/>
      <c r="HAH799" s="3796"/>
      <c r="HAI799" s="3796"/>
      <c r="HAJ799" s="3796"/>
      <c r="HAK799" s="3796"/>
      <c r="HAL799" s="3796"/>
      <c r="HAM799" s="3796"/>
      <c r="HAN799" s="3796"/>
      <c r="HAO799" s="3796"/>
      <c r="HAP799" s="3796"/>
      <c r="HAQ799" s="3796"/>
      <c r="HAR799" s="3796"/>
      <c r="HAS799" s="3796"/>
      <c r="HAT799" s="3796"/>
      <c r="HAU799" s="3796"/>
      <c r="HAV799" s="3796"/>
      <c r="HAW799" s="3796"/>
      <c r="HAX799" s="3796"/>
      <c r="HAY799" s="3796"/>
      <c r="HAZ799" s="3796"/>
      <c r="HBA799" s="3796"/>
      <c r="HBB799" s="3796"/>
      <c r="HBC799" s="3796"/>
      <c r="HBD799" s="3796"/>
      <c r="HBE799" s="3796"/>
      <c r="HBF799" s="3796"/>
      <c r="HBG799" s="3796"/>
      <c r="HBH799" s="3796"/>
      <c r="HBI799" s="3796"/>
      <c r="HBJ799" s="3796"/>
      <c r="HBK799" s="3796"/>
      <c r="HBL799" s="3796"/>
      <c r="HBM799" s="3796"/>
      <c r="HBN799" s="3796"/>
      <c r="HBO799" s="3796"/>
      <c r="HBP799" s="3796"/>
      <c r="HBQ799" s="3796"/>
      <c r="HBR799" s="3796"/>
      <c r="HBS799" s="3796"/>
      <c r="HBT799" s="3796"/>
      <c r="HBU799" s="3796"/>
      <c r="HBV799" s="3796"/>
      <c r="HBW799" s="3796"/>
      <c r="HBX799" s="3796"/>
      <c r="HBY799" s="3796"/>
      <c r="HBZ799" s="3796"/>
      <c r="HCA799" s="3796"/>
      <c r="HCB799" s="3796"/>
      <c r="HCC799" s="3796"/>
      <c r="HCD799" s="3796"/>
      <c r="HCE799" s="3796"/>
      <c r="HCF799" s="3796"/>
      <c r="HCG799" s="3796"/>
      <c r="HCH799" s="3796"/>
      <c r="HCI799" s="3796"/>
      <c r="HCJ799" s="3796"/>
      <c r="HCK799" s="3796"/>
      <c r="HCL799" s="3796"/>
      <c r="HCM799" s="3796"/>
      <c r="HCN799" s="3796"/>
      <c r="HCO799" s="3796"/>
      <c r="HCP799" s="3796"/>
      <c r="HCQ799" s="3796"/>
      <c r="HCR799" s="3796"/>
      <c r="HCS799" s="3796"/>
      <c r="HCT799" s="3796"/>
      <c r="HCU799" s="3796"/>
      <c r="HCV799" s="3796"/>
      <c r="HCW799" s="3796"/>
      <c r="HCX799" s="3796"/>
      <c r="HCY799" s="3796"/>
      <c r="HCZ799" s="3796"/>
      <c r="HDA799" s="3796"/>
      <c r="HDB799" s="3796"/>
      <c r="HDC799" s="3796"/>
      <c r="HDD799" s="3796"/>
      <c r="HDE799" s="3796"/>
      <c r="HDF799" s="3796"/>
      <c r="HDG799" s="3796"/>
      <c r="HDH799" s="3796"/>
      <c r="HDI799" s="3796"/>
      <c r="HDJ799" s="3796"/>
      <c r="HDK799" s="3796"/>
      <c r="HDL799" s="3796"/>
      <c r="HDM799" s="3796"/>
      <c r="HDN799" s="3796"/>
      <c r="HDO799" s="3796"/>
      <c r="HDP799" s="3796"/>
      <c r="HDQ799" s="3796"/>
      <c r="HDR799" s="3796"/>
      <c r="HDS799" s="3796"/>
      <c r="HDT799" s="3796"/>
      <c r="HDU799" s="3796"/>
      <c r="HDV799" s="3796"/>
      <c r="HDW799" s="3796"/>
      <c r="HDX799" s="3796"/>
      <c r="HDY799" s="3796"/>
      <c r="HDZ799" s="3796"/>
      <c r="HEA799" s="3796"/>
      <c r="HEB799" s="3796"/>
      <c r="HEC799" s="3796"/>
      <c r="HED799" s="3796"/>
      <c r="HEE799" s="3796"/>
      <c r="HEF799" s="3796"/>
      <c r="HEG799" s="3796"/>
      <c r="HEH799" s="3796"/>
      <c r="HEI799" s="3796"/>
      <c r="HEJ799" s="3796"/>
      <c r="HEK799" s="3796"/>
      <c r="HEL799" s="3796"/>
      <c r="HEM799" s="3796"/>
      <c r="HEN799" s="3796"/>
      <c r="HEO799" s="3796"/>
      <c r="HEP799" s="3796"/>
      <c r="HEQ799" s="3796"/>
      <c r="HER799" s="3796"/>
      <c r="HES799" s="3796"/>
      <c r="HET799" s="3796"/>
      <c r="HEU799" s="3796"/>
      <c r="HEV799" s="3796"/>
      <c r="HEW799" s="3796"/>
      <c r="HEX799" s="3796"/>
      <c r="HEY799" s="3796"/>
      <c r="HEZ799" s="3796"/>
      <c r="HFA799" s="3796"/>
      <c r="HFB799" s="3796"/>
      <c r="HFC799" s="3796"/>
      <c r="HFD799" s="3796"/>
      <c r="HFE799" s="3796"/>
      <c r="HFF799" s="3796"/>
      <c r="HFG799" s="3796"/>
      <c r="HFH799" s="3796"/>
      <c r="HFI799" s="3796"/>
      <c r="HFJ799" s="3796"/>
      <c r="HFK799" s="3796"/>
      <c r="HFL799" s="3796"/>
      <c r="HFM799" s="3796"/>
      <c r="HFN799" s="3796"/>
      <c r="HFO799" s="3796"/>
      <c r="HFP799" s="3796"/>
      <c r="HFQ799" s="3796"/>
      <c r="HFR799" s="3796"/>
      <c r="HFS799" s="3796"/>
      <c r="HFT799" s="3796"/>
      <c r="HFU799" s="3796"/>
      <c r="HFV799" s="3796"/>
      <c r="HFW799" s="3796"/>
      <c r="HFX799" s="3796"/>
      <c r="HFY799" s="3796"/>
      <c r="HFZ799" s="3796"/>
      <c r="HGA799" s="3796"/>
      <c r="HGB799" s="3796"/>
      <c r="HGC799" s="3796"/>
      <c r="HGD799" s="3796"/>
      <c r="HGE799" s="3796"/>
      <c r="HGF799" s="3796"/>
      <c r="HGG799" s="3796"/>
      <c r="HGH799" s="3796"/>
      <c r="HGI799" s="3796"/>
      <c r="HGJ799" s="3796"/>
      <c r="HGK799" s="3796"/>
      <c r="HGL799" s="3796"/>
      <c r="HGM799" s="3796"/>
      <c r="HGN799" s="3796"/>
      <c r="HGO799" s="3796"/>
      <c r="HGP799" s="3796"/>
      <c r="HGQ799" s="3796"/>
      <c r="HGR799" s="3796"/>
      <c r="HGS799" s="3796"/>
      <c r="HGT799" s="3796"/>
      <c r="HGU799" s="3796"/>
      <c r="HGV799" s="3796"/>
      <c r="HGW799" s="3796"/>
      <c r="HGX799" s="3796"/>
      <c r="HGY799" s="3796"/>
      <c r="HGZ799" s="3796"/>
      <c r="HHA799" s="3796"/>
      <c r="HHB799" s="3796"/>
      <c r="HHC799" s="3796"/>
      <c r="HHD799" s="3796"/>
      <c r="HHE799" s="3796"/>
      <c r="HHF799" s="3796"/>
      <c r="HHG799" s="3796"/>
      <c r="HHH799" s="3796"/>
      <c r="HHI799" s="3796"/>
      <c r="HHJ799" s="3796"/>
      <c r="HHK799" s="3796"/>
      <c r="HHL799" s="3796"/>
      <c r="HHM799" s="3796"/>
      <c r="HHN799" s="3796"/>
      <c r="HHO799" s="3796"/>
      <c r="HHP799" s="3796"/>
      <c r="HHQ799" s="3796"/>
      <c r="HHV799" s="3796"/>
      <c r="HIB799" s="3796"/>
      <c r="HIC799" s="3796"/>
      <c r="HID799" s="3796"/>
      <c r="HIH799" s="3796"/>
      <c r="HIO799" s="3796"/>
      <c r="HIP799" s="3796"/>
      <c r="HIQ799" s="3796"/>
      <c r="HIR799" s="3796"/>
      <c r="HIS799" s="3796"/>
      <c r="HIT799" s="3796"/>
      <c r="HIU799" s="3796"/>
      <c r="HIV799" s="3796"/>
      <c r="HIW799" s="3796"/>
      <c r="HIX799" s="3796"/>
      <c r="HIY799" s="3796"/>
      <c r="HIZ799" s="3796"/>
      <c r="HJA799" s="3796"/>
      <c r="HJB799" s="3796"/>
      <c r="HJC799" s="3796"/>
      <c r="HJD799" s="3796"/>
      <c r="HJE799" s="3796"/>
      <c r="HJF799" s="3796"/>
      <c r="HJG799" s="3796"/>
      <c r="HJH799" s="3796"/>
      <c r="HJI799" s="3796"/>
      <c r="HJJ799" s="3796"/>
      <c r="HJK799" s="3796"/>
      <c r="HJL799" s="3796"/>
      <c r="HJM799" s="3796"/>
      <c r="HJN799" s="3796"/>
      <c r="HJO799" s="3796"/>
      <c r="HJP799" s="3796"/>
      <c r="HJQ799" s="3796"/>
      <c r="HJR799" s="3796"/>
      <c r="HJS799" s="3796"/>
      <c r="HJT799" s="3796"/>
      <c r="HJU799" s="3796"/>
      <c r="HJV799" s="3796"/>
      <c r="HJW799" s="3796"/>
      <c r="HJX799" s="3796"/>
      <c r="HJY799" s="3796"/>
      <c r="HJZ799" s="3796"/>
      <c r="HKA799" s="3796"/>
      <c r="HKB799" s="3796"/>
      <c r="HKC799" s="3796"/>
      <c r="HKD799" s="3796"/>
      <c r="HKE799" s="3796"/>
      <c r="HKF799" s="3796"/>
      <c r="HKG799" s="3796"/>
      <c r="HKH799" s="3796"/>
      <c r="HKI799" s="3796"/>
      <c r="HKJ799" s="3796"/>
      <c r="HKK799" s="3796"/>
      <c r="HKL799" s="3796"/>
      <c r="HKM799" s="3796"/>
      <c r="HKN799" s="3796"/>
      <c r="HKO799" s="3796"/>
      <c r="HKP799" s="3796"/>
      <c r="HKQ799" s="3796"/>
      <c r="HKR799" s="3796"/>
      <c r="HKS799" s="3796"/>
      <c r="HKT799" s="3796"/>
      <c r="HKU799" s="3796"/>
      <c r="HKV799" s="3796"/>
      <c r="HKW799" s="3796"/>
      <c r="HKX799" s="3796"/>
      <c r="HKY799" s="3796"/>
      <c r="HKZ799" s="3796"/>
      <c r="HLA799" s="3796"/>
      <c r="HLB799" s="3796"/>
      <c r="HLC799" s="3796"/>
      <c r="HLD799" s="3796"/>
      <c r="HLE799" s="3796"/>
      <c r="HLF799" s="3796"/>
      <c r="HLG799" s="3796"/>
      <c r="HLH799" s="3796"/>
      <c r="HLI799" s="3796"/>
      <c r="HLJ799" s="3796"/>
      <c r="HLK799" s="3796"/>
      <c r="HLL799" s="3796"/>
      <c r="HLM799" s="3796"/>
      <c r="HLN799" s="3796"/>
      <c r="HLO799" s="3796"/>
      <c r="HLP799" s="3796"/>
      <c r="HLQ799" s="3796"/>
      <c r="HLR799" s="3796"/>
      <c r="HLS799" s="3796"/>
      <c r="HLT799" s="3796"/>
      <c r="HLU799" s="3796"/>
      <c r="HLV799" s="3796"/>
      <c r="HLW799" s="3796"/>
      <c r="HLX799" s="3796"/>
      <c r="HLY799" s="3796"/>
      <c r="HLZ799" s="3796"/>
      <c r="HMA799" s="3796"/>
      <c r="HMB799" s="3796"/>
      <c r="HMC799" s="3796"/>
      <c r="HMD799" s="3796"/>
      <c r="HME799" s="3796"/>
      <c r="HMF799" s="3796"/>
      <c r="HMG799" s="3796"/>
      <c r="HMH799" s="3796"/>
      <c r="HMI799" s="3796"/>
      <c r="HMJ799" s="3796"/>
      <c r="HMK799" s="3796"/>
      <c r="HML799" s="3796"/>
      <c r="HMM799" s="3796"/>
      <c r="HMN799" s="3796"/>
      <c r="HMO799" s="3796"/>
      <c r="HMP799" s="3796"/>
      <c r="HMQ799" s="3796"/>
      <c r="HMR799" s="3796"/>
      <c r="HMS799" s="3796"/>
      <c r="HMT799" s="3796"/>
      <c r="HMU799" s="3796"/>
      <c r="HMV799" s="3796"/>
      <c r="HMW799" s="3796"/>
      <c r="HMX799" s="3796"/>
      <c r="HMY799" s="3796"/>
      <c r="HMZ799" s="3796"/>
      <c r="HNA799" s="3796"/>
      <c r="HNB799" s="3796"/>
      <c r="HNC799" s="3796"/>
      <c r="HND799" s="3796"/>
      <c r="HNE799" s="3796"/>
      <c r="HNF799" s="3796"/>
      <c r="HNG799" s="3796"/>
      <c r="HNH799" s="3796"/>
      <c r="HNI799" s="3796"/>
      <c r="HNJ799" s="3796"/>
      <c r="HNK799" s="3796"/>
      <c r="HNL799" s="3796"/>
      <c r="HNM799" s="3796"/>
      <c r="HNN799" s="3796"/>
      <c r="HNO799" s="3796"/>
      <c r="HNP799" s="3796"/>
      <c r="HNQ799" s="3796"/>
      <c r="HNR799" s="3796"/>
      <c r="HNS799" s="3796"/>
      <c r="HNT799" s="3796"/>
      <c r="HNU799" s="3796"/>
      <c r="HNV799" s="3796"/>
      <c r="HNW799" s="3796"/>
      <c r="HNX799" s="3796"/>
      <c r="HNY799" s="3796"/>
      <c r="HNZ799" s="3796"/>
      <c r="HOA799" s="3796"/>
      <c r="HOB799" s="3796"/>
      <c r="HOC799" s="3796"/>
      <c r="HOD799" s="3796"/>
      <c r="HOE799" s="3796"/>
      <c r="HOF799" s="3796"/>
      <c r="HOG799" s="3796"/>
      <c r="HOH799" s="3796"/>
      <c r="HOI799" s="3796"/>
      <c r="HOJ799" s="3796"/>
      <c r="HOK799" s="3796"/>
      <c r="HOL799" s="3796"/>
      <c r="HOM799" s="3796"/>
      <c r="HON799" s="3796"/>
      <c r="HOO799" s="3796"/>
      <c r="HOP799" s="3796"/>
      <c r="HOQ799" s="3796"/>
      <c r="HOR799" s="3796"/>
      <c r="HOS799" s="3796"/>
      <c r="HOT799" s="3796"/>
      <c r="HOU799" s="3796"/>
      <c r="HOV799" s="3796"/>
      <c r="HOW799" s="3796"/>
      <c r="HOX799" s="3796"/>
      <c r="HOY799" s="3796"/>
      <c r="HOZ799" s="3796"/>
      <c r="HPA799" s="3796"/>
      <c r="HPB799" s="3796"/>
      <c r="HPC799" s="3796"/>
      <c r="HPD799" s="3796"/>
      <c r="HPE799" s="3796"/>
      <c r="HPF799" s="3796"/>
      <c r="HPG799" s="3796"/>
      <c r="HPH799" s="3796"/>
      <c r="HPI799" s="3796"/>
      <c r="HPJ799" s="3796"/>
      <c r="HPK799" s="3796"/>
      <c r="HPL799" s="3796"/>
      <c r="HPM799" s="3796"/>
      <c r="HPN799" s="3796"/>
      <c r="HPO799" s="3796"/>
      <c r="HPP799" s="3796"/>
      <c r="HPQ799" s="3796"/>
      <c r="HPR799" s="3796"/>
      <c r="HPS799" s="3796"/>
      <c r="HPT799" s="3796"/>
      <c r="HPU799" s="3796"/>
      <c r="HPV799" s="3796"/>
      <c r="HPW799" s="3796"/>
      <c r="HPX799" s="3796"/>
      <c r="HPY799" s="3796"/>
      <c r="HPZ799" s="3796"/>
      <c r="HQA799" s="3796"/>
      <c r="HQB799" s="3796"/>
      <c r="HQC799" s="3796"/>
      <c r="HQD799" s="3796"/>
      <c r="HQE799" s="3796"/>
      <c r="HQF799" s="3796"/>
      <c r="HQG799" s="3796"/>
      <c r="HQH799" s="3796"/>
      <c r="HQI799" s="3796"/>
      <c r="HQJ799" s="3796"/>
      <c r="HQK799" s="3796"/>
      <c r="HQL799" s="3796"/>
      <c r="HQM799" s="3796"/>
      <c r="HQN799" s="3796"/>
      <c r="HQO799" s="3796"/>
      <c r="HQP799" s="3796"/>
      <c r="HQQ799" s="3796"/>
      <c r="HQR799" s="3796"/>
      <c r="HQS799" s="3796"/>
      <c r="HQT799" s="3796"/>
      <c r="HQU799" s="3796"/>
      <c r="HQV799" s="3796"/>
      <c r="HQW799" s="3796"/>
      <c r="HQX799" s="3796"/>
      <c r="HQY799" s="3796"/>
      <c r="HQZ799" s="3796"/>
      <c r="HRA799" s="3796"/>
      <c r="HRB799" s="3796"/>
      <c r="HRC799" s="3796"/>
      <c r="HRD799" s="3796"/>
      <c r="HRE799" s="3796"/>
      <c r="HRF799" s="3796"/>
      <c r="HRG799" s="3796"/>
      <c r="HRH799" s="3796"/>
      <c r="HRI799" s="3796"/>
      <c r="HRJ799" s="3796"/>
      <c r="HRK799" s="3796"/>
      <c r="HRL799" s="3796"/>
      <c r="HRM799" s="3796"/>
      <c r="HRR799" s="3796"/>
      <c r="HRX799" s="3796"/>
      <c r="HRY799" s="3796"/>
      <c r="HRZ799" s="3796"/>
      <c r="HSD799" s="3796"/>
      <c r="HSK799" s="3796"/>
      <c r="HSL799" s="3796"/>
      <c r="HSM799" s="3796"/>
      <c r="HSN799" s="3796"/>
      <c r="HSO799" s="3796"/>
      <c r="HSP799" s="3796"/>
      <c r="HSQ799" s="3796"/>
      <c r="HSR799" s="3796"/>
      <c r="HSS799" s="3796"/>
      <c r="HST799" s="3796"/>
      <c r="HSU799" s="3796"/>
      <c r="HSV799" s="3796"/>
      <c r="HSW799" s="3796"/>
      <c r="HSX799" s="3796"/>
      <c r="HSY799" s="3796"/>
      <c r="HSZ799" s="3796"/>
      <c r="HTA799" s="3796"/>
      <c r="HTB799" s="3796"/>
      <c r="HTC799" s="3796"/>
      <c r="HTD799" s="3796"/>
      <c r="HTE799" s="3796"/>
      <c r="HTF799" s="3796"/>
      <c r="HTG799" s="3796"/>
      <c r="HTH799" s="3796"/>
      <c r="HTI799" s="3796"/>
      <c r="HTJ799" s="3796"/>
      <c r="HTK799" s="3796"/>
      <c r="HTL799" s="3796"/>
      <c r="HTM799" s="3796"/>
      <c r="HTN799" s="3796"/>
      <c r="HTO799" s="3796"/>
      <c r="HTP799" s="3796"/>
      <c r="HTQ799" s="3796"/>
      <c r="HTR799" s="3796"/>
      <c r="HTS799" s="3796"/>
      <c r="HTT799" s="3796"/>
      <c r="HTU799" s="3796"/>
      <c r="HTV799" s="3796"/>
      <c r="HTW799" s="3796"/>
      <c r="HTX799" s="3796"/>
      <c r="HTY799" s="3796"/>
      <c r="HTZ799" s="3796"/>
      <c r="HUA799" s="3796"/>
      <c r="HUB799" s="3796"/>
      <c r="HUC799" s="3796"/>
      <c r="HUD799" s="3796"/>
      <c r="HUE799" s="3796"/>
      <c r="HUF799" s="3796"/>
      <c r="HUG799" s="3796"/>
      <c r="HUH799" s="3796"/>
      <c r="HUI799" s="3796"/>
      <c r="HUJ799" s="3796"/>
      <c r="HUK799" s="3796"/>
      <c r="HUL799" s="3796"/>
      <c r="HUM799" s="3796"/>
      <c r="HUN799" s="3796"/>
      <c r="HUO799" s="3796"/>
      <c r="HUP799" s="3796"/>
      <c r="HUQ799" s="3796"/>
      <c r="HUR799" s="3796"/>
      <c r="HUS799" s="3796"/>
      <c r="HUT799" s="3796"/>
      <c r="HUU799" s="3796"/>
      <c r="HUV799" s="3796"/>
      <c r="HUW799" s="3796"/>
      <c r="HUX799" s="3796"/>
      <c r="HUY799" s="3796"/>
      <c r="HUZ799" s="3796"/>
      <c r="HVA799" s="3796"/>
      <c r="HVB799" s="3796"/>
      <c r="HVC799" s="3796"/>
      <c r="HVD799" s="3796"/>
      <c r="HVE799" s="3796"/>
      <c r="HVF799" s="3796"/>
      <c r="HVG799" s="3796"/>
      <c r="HVH799" s="3796"/>
      <c r="HVI799" s="3796"/>
      <c r="HVJ799" s="3796"/>
      <c r="HVK799" s="3796"/>
      <c r="HVL799" s="3796"/>
      <c r="HVM799" s="3796"/>
      <c r="HVN799" s="3796"/>
      <c r="HVO799" s="3796"/>
      <c r="HVP799" s="3796"/>
      <c r="HVQ799" s="3796"/>
      <c r="HVR799" s="3796"/>
      <c r="HVS799" s="3796"/>
      <c r="HVT799" s="3796"/>
      <c r="HVU799" s="3796"/>
      <c r="HVV799" s="3796"/>
      <c r="HVW799" s="3796"/>
      <c r="HVX799" s="3796"/>
      <c r="HVY799" s="3796"/>
      <c r="HVZ799" s="3796"/>
      <c r="HWA799" s="3796"/>
      <c r="HWB799" s="3796"/>
      <c r="HWC799" s="3796"/>
      <c r="HWD799" s="3796"/>
      <c r="HWE799" s="3796"/>
      <c r="HWF799" s="3796"/>
      <c r="HWG799" s="3796"/>
      <c r="HWH799" s="3796"/>
      <c r="HWI799" s="3796"/>
      <c r="HWJ799" s="3796"/>
      <c r="HWK799" s="3796"/>
      <c r="HWL799" s="3796"/>
      <c r="HWM799" s="3796"/>
      <c r="HWN799" s="3796"/>
      <c r="HWO799" s="3796"/>
      <c r="HWP799" s="3796"/>
      <c r="HWQ799" s="3796"/>
      <c r="HWR799" s="3796"/>
      <c r="HWS799" s="3796"/>
      <c r="HWT799" s="3796"/>
      <c r="HWU799" s="3796"/>
      <c r="HWV799" s="3796"/>
      <c r="HWW799" s="3796"/>
      <c r="HWX799" s="3796"/>
      <c r="HWY799" s="3796"/>
      <c r="HWZ799" s="3796"/>
      <c r="HXA799" s="3796"/>
      <c r="HXB799" s="3796"/>
      <c r="HXC799" s="3796"/>
      <c r="HXD799" s="3796"/>
      <c r="HXE799" s="3796"/>
      <c r="HXF799" s="3796"/>
      <c r="HXG799" s="3796"/>
      <c r="HXH799" s="3796"/>
      <c r="HXI799" s="3796"/>
      <c r="HXJ799" s="3796"/>
      <c r="HXK799" s="3796"/>
      <c r="HXL799" s="3796"/>
      <c r="HXM799" s="3796"/>
      <c r="HXN799" s="3796"/>
      <c r="HXO799" s="3796"/>
      <c r="HXP799" s="3796"/>
      <c r="HXQ799" s="3796"/>
      <c r="HXR799" s="3796"/>
      <c r="HXS799" s="3796"/>
      <c r="HXT799" s="3796"/>
      <c r="HXU799" s="3796"/>
      <c r="HXV799" s="3796"/>
      <c r="HXW799" s="3796"/>
      <c r="HXX799" s="3796"/>
      <c r="HXY799" s="3796"/>
      <c r="HXZ799" s="3796"/>
      <c r="HYA799" s="3796"/>
      <c r="HYB799" s="3796"/>
      <c r="HYC799" s="3796"/>
      <c r="HYD799" s="3796"/>
      <c r="HYE799" s="3796"/>
      <c r="HYF799" s="3796"/>
      <c r="HYG799" s="3796"/>
      <c r="HYH799" s="3796"/>
      <c r="HYI799" s="3796"/>
      <c r="HYJ799" s="3796"/>
      <c r="HYK799" s="3796"/>
      <c r="HYL799" s="3796"/>
      <c r="HYM799" s="3796"/>
      <c r="HYN799" s="3796"/>
      <c r="HYO799" s="3796"/>
      <c r="HYP799" s="3796"/>
      <c r="HYQ799" s="3796"/>
      <c r="HYR799" s="3796"/>
      <c r="HYS799" s="3796"/>
      <c r="HYT799" s="3796"/>
      <c r="HYU799" s="3796"/>
      <c r="HYV799" s="3796"/>
      <c r="HYW799" s="3796"/>
      <c r="HYX799" s="3796"/>
      <c r="HYY799" s="3796"/>
      <c r="HYZ799" s="3796"/>
      <c r="HZA799" s="3796"/>
      <c r="HZB799" s="3796"/>
      <c r="HZC799" s="3796"/>
      <c r="HZD799" s="3796"/>
      <c r="HZE799" s="3796"/>
      <c r="HZF799" s="3796"/>
      <c r="HZG799" s="3796"/>
      <c r="HZH799" s="3796"/>
      <c r="HZI799" s="3796"/>
      <c r="HZJ799" s="3796"/>
      <c r="HZK799" s="3796"/>
      <c r="HZL799" s="3796"/>
      <c r="HZM799" s="3796"/>
      <c r="HZN799" s="3796"/>
      <c r="HZO799" s="3796"/>
      <c r="HZP799" s="3796"/>
      <c r="HZQ799" s="3796"/>
      <c r="HZR799" s="3796"/>
      <c r="HZS799" s="3796"/>
      <c r="HZT799" s="3796"/>
      <c r="HZU799" s="3796"/>
      <c r="HZV799" s="3796"/>
      <c r="HZW799" s="3796"/>
      <c r="HZX799" s="3796"/>
      <c r="HZY799" s="3796"/>
      <c r="HZZ799" s="3796"/>
      <c r="IAA799" s="3796"/>
      <c r="IAB799" s="3796"/>
      <c r="IAC799" s="3796"/>
      <c r="IAD799" s="3796"/>
      <c r="IAE799" s="3796"/>
      <c r="IAF799" s="3796"/>
      <c r="IAG799" s="3796"/>
      <c r="IAH799" s="3796"/>
      <c r="IAI799" s="3796"/>
      <c r="IAJ799" s="3796"/>
      <c r="IAK799" s="3796"/>
      <c r="IAL799" s="3796"/>
      <c r="IAM799" s="3796"/>
      <c r="IAN799" s="3796"/>
      <c r="IAO799" s="3796"/>
      <c r="IAP799" s="3796"/>
      <c r="IAQ799" s="3796"/>
      <c r="IAR799" s="3796"/>
      <c r="IAS799" s="3796"/>
      <c r="IAT799" s="3796"/>
      <c r="IAU799" s="3796"/>
      <c r="IAV799" s="3796"/>
      <c r="IAW799" s="3796"/>
      <c r="IAX799" s="3796"/>
      <c r="IAY799" s="3796"/>
      <c r="IAZ799" s="3796"/>
      <c r="IBA799" s="3796"/>
      <c r="IBB799" s="3796"/>
      <c r="IBC799" s="3796"/>
      <c r="IBD799" s="3796"/>
      <c r="IBE799" s="3796"/>
      <c r="IBF799" s="3796"/>
      <c r="IBG799" s="3796"/>
      <c r="IBH799" s="3796"/>
      <c r="IBI799" s="3796"/>
      <c r="IBN799" s="3796"/>
      <c r="IBT799" s="3796"/>
      <c r="IBU799" s="3796"/>
      <c r="IBV799" s="3796"/>
      <c r="IBZ799" s="3796"/>
      <c r="ICG799" s="3796"/>
      <c r="ICH799" s="3796"/>
      <c r="ICI799" s="3796"/>
      <c r="ICJ799" s="3796"/>
      <c r="ICK799" s="3796"/>
      <c r="ICL799" s="3796"/>
      <c r="ICM799" s="3796"/>
      <c r="ICN799" s="3796"/>
      <c r="ICO799" s="3796"/>
      <c r="ICP799" s="3796"/>
      <c r="ICQ799" s="3796"/>
      <c r="ICR799" s="3796"/>
      <c r="ICS799" s="3796"/>
      <c r="ICT799" s="3796"/>
      <c r="ICU799" s="3796"/>
      <c r="ICV799" s="3796"/>
      <c r="ICW799" s="3796"/>
      <c r="ICX799" s="3796"/>
      <c r="ICY799" s="3796"/>
      <c r="ICZ799" s="3796"/>
      <c r="IDA799" s="3796"/>
      <c r="IDB799" s="3796"/>
      <c r="IDC799" s="3796"/>
      <c r="IDD799" s="3796"/>
      <c r="IDE799" s="3796"/>
      <c r="IDF799" s="3796"/>
      <c r="IDG799" s="3796"/>
      <c r="IDH799" s="3796"/>
      <c r="IDI799" s="3796"/>
      <c r="IDJ799" s="3796"/>
      <c r="IDK799" s="3796"/>
      <c r="IDL799" s="3796"/>
      <c r="IDM799" s="3796"/>
      <c r="IDN799" s="3796"/>
      <c r="IDO799" s="3796"/>
      <c r="IDP799" s="3796"/>
      <c r="IDQ799" s="3796"/>
      <c r="IDR799" s="3796"/>
      <c r="IDS799" s="3796"/>
      <c r="IDT799" s="3796"/>
      <c r="IDU799" s="3796"/>
      <c r="IDV799" s="3796"/>
      <c r="IDW799" s="3796"/>
      <c r="IDX799" s="3796"/>
      <c r="IDY799" s="3796"/>
      <c r="IDZ799" s="3796"/>
      <c r="IEA799" s="3796"/>
      <c r="IEB799" s="3796"/>
      <c r="IEC799" s="3796"/>
      <c r="IED799" s="3796"/>
      <c r="IEE799" s="3796"/>
      <c r="IEF799" s="3796"/>
      <c r="IEG799" s="3796"/>
      <c r="IEH799" s="3796"/>
      <c r="IEI799" s="3796"/>
      <c r="IEJ799" s="3796"/>
      <c r="IEK799" s="3796"/>
      <c r="IEL799" s="3796"/>
      <c r="IEM799" s="3796"/>
      <c r="IEN799" s="3796"/>
      <c r="IEO799" s="3796"/>
      <c r="IEP799" s="3796"/>
      <c r="IEQ799" s="3796"/>
      <c r="IER799" s="3796"/>
      <c r="IES799" s="3796"/>
      <c r="IET799" s="3796"/>
      <c r="IEU799" s="3796"/>
      <c r="IEV799" s="3796"/>
      <c r="IEW799" s="3796"/>
      <c r="IEX799" s="3796"/>
      <c r="IEY799" s="3796"/>
      <c r="IEZ799" s="3796"/>
      <c r="IFA799" s="3796"/>
      <c r="IFB799" s="3796"/>
      <c r="IFC799" s="3796"/>
      <c r="IFD799" s="3796"/>
      <c r="IFE799" s="3796"/>
      <c r="IFF799" s="3796"/>
      <c r="IFG799" s="3796"/>
      <c r="IFH799" s="3796"/>
      <c r="IFI799" s="3796"/>
      <c r="IFJ799" s="3796"/>
      <c r="IFK799" s="3796"/>
      <c r="IFL799" s="3796"/>
      <c r="IFM799" s="3796"/>
      <c r="IFN799" s="3796"/>
      <c r="IFO799" s="3796"/>
      <c r="IFP799" s="3796"/>
      <c r="IFQ799" s="3796"/>
      <c r="IFR799" s="3796"/>
      <c r="IFS799" s="3796"/>
      <c r="IFT799" s="3796"/>
      <c r="IFU799" s="3796"/>
      <c r="IFV799" s="3796"/>
      <c r="IFW799" s="3796"/>
      <c r="IFX799" s="3796"/>
      <c r="IFY799" s="3796"/>
      <c r="IFZ799" s="3796"/>
      <c r="IGA799" s="3796"/>
      <c r="IGB799" s="3796"/>
      <c r="IGC799" s="3796"/>
      <c r="IGD799" s="3796"/>
      <c r="IGE799" s="3796"/>
      <c r="IGF799" s="3796"/>
      <c r="IGG799" s="3796"/>
      <c r="IGH799" s="3796"/>
      <c r="IGI799" s="3796"/>
      <c r="IGJ799" s="3796"/>
      <c r="IGK799" s="3796"/>
      <c r="IGL799" s="3796"/>
      <c r="IGM799" s="3796"/>
      <c r="IGN799" s="3796"/>
      <c r="IGO799" s="3796"/>
      <c r="IGP799" s="3796"/>
      <c r="IGQ799" s="3796"/>
      <c r="IGR799" s="3796"/>
      <c r="IGS799" s="3796"/>
      <c r="IGT799" s="3796"/>
      <c r="IGU799" s="3796"/>
      <c r="IGV799" s="3796"/>
      <c r="IGW799" s="3796"/>
      <c r="IGX799" s="3796"/>
      <c r="IGY799" s="3796"/>
      <c r="IGZ799" s="3796"/>
      <c r="IHA799" s="3796"/>
      <c r="IHB799" s="3796"/>
      <c r="IHC799" s="3796"/>
      <c r="IHD799" s="3796"/>
      <c r="IHE799" s="3796"/>
      <c r="IHF799" s="3796"/>
      <c r="IHG799" s="3796"/>
      <c r="IHH799" s="3796"/>
      <c r="IHI799" s="3796"/>
      <c r="IHJ799" s="3796"/>
      <c r="IHK799" s="3796"/>
      <c r="IHL799" s="3796"/>
      <c r="IHM799" s="3796"/>
      <c r="IHN799" s="3796"/>
      <c r="IHO799" s="3796"/>
      <c r="IHP799" s="3796"/>
      <c r="IHQ799" s="3796"/>
      <c r="IHR799" s="3796"/>
      <c r="IHS799" s="3796"/>
      <c r="IHT799" s="3796"/>
      <c r="IHU799" s="3796"/>
      <c r="IHV799" s="3796"/>
      <c r="IHW799" s="3796"/>
      <c r="IHX799" s="3796"/>
      <c r="IHY799" s="3796"/>
      <c r="IHZ799" s="3796"/>
      <c r="IIA799" s="3796"/>
      <c r="IIB799" s="3796"/>
      <c r="IIC799" s="3796"/>
      <c r="IID799" s="3796"/>
      <c r="IIE799" s="3796"/>
      <c r="IIF799" s="3796"/>
      <c r="IIG799" s="3796"/>
      <c r="IIH799" s="3796"/>
      <c r="III799" s="3796"/>
      <c r="IIJ799" s="3796"/>
      <c r="IIK799" s="3796"/>
      <c r="IIL799" s="3796"/>
      <c r="IIM799" s="3796"/>
      <c r="IIN799" s="3796"/>
      <c r="IIO799" s="3796"/>
      <c r="IIP799" s="3796"/>
      <c r="IIQ799" s="3796"/>
      <c r="IIR799" s="3796"/>
      <c r="IIS799" s="3796"/>
      <c r="IIT799" s="3796"/>
      <c r="IIU799" s="3796"/>
      <c r="IIV799" s="3796"/>
      <c r="IIW799" s="3796"/>
      <c r="IIX799" s="3796"/>
      <c r="IIY799" s="3796"/>
      <c r="IIZ799" s="3796"/>
      <c r="IJA799" s="3796"/>
      <c r="IJB799" s="3796"/>
      <c r="IJC799" s="3796"/>
      <c r="IJD799" s="3796"/>
      <c r="IJE799" s="3796"/>
      <c r="IJF799" s="3796"/>
      <c r="IJG799" s="3796"/>
      <c r="IJH799" s="3796"/>
      <c r="IJI799" s="3796"/>
      <c r="IJJ799" s="3796"/>
      <c r="IJK799" s="3796"/>
      <c r="IJL799" s="3796"/>
      <c r="IJM799" s="3796"/>
      <c r="IJN799" s="3796"/>
      <c r="IJO799" s="3796"/>
      <c r="IJP799" s="3796"/>
      <c r="IJQ799" s="3796"/>
      <c r="IJR799" s="3796"/>
      <c r="IJS799" s="3796"/>
      <c r="IJT799" s="3796"/>
      <c r="IJU799" s="3796"/>
      <c r="IJV799" s="3796"/>
      <c r="IJW799" s="3796"/>
      <c r="IJX799" s="3796"/>
      <c r="IJY799" s="3796"/>
      <c r="IJZ799" s="3796"/>
      <c r="IKA799" s="3796"/>
      <c r="IKB799" s="3796"/>
      <c r="IKC799" s="3796"/>
      <c r="IKD799" s="3796"/>
      <c r="IKE799" s="3796"/>
      <c r="IKF799" s="3796"/>
      <c r="IKG799" s="3796"/>
      <c r="IKH799" s="3796"/>
      <c r="IKI799" s="3796"/>
      <c r="IKJ799" s="3796"/>
      <c r="IKK799" s="3796"/>
      <c r="IKL799" s="3796"/>
      <c r="IKM799" s="3796"/>
      <c r="IKN799" s="3796"/>
      <c r="IKO799" s="3796"/>
      <c r="IKP799" s="3796"/>
      <c r="IKQ799" s="3796"/>
      <c r="IKR799" s="3796"/>
      <c r="IKS799" s="3796"/>
      <c r="IKT799" s="3796"/>
      <c r="IKU799" s="3796"/>
      <c r="IKV799" s="3796"/>
      <c r="IKW799" s="3796"/>
      <c r="IKX799" s="3796"/>
      <c r="IKY799" s="3796"/>
      <c r="IKZ799" s="3796"/>
      <c r="ILA799" s="3796"/>
      <c r="ILB799" s="3796"/>
      <c r="ILC799" s="3796"/>
      <c r="ILD799" s="3796"/>
      <c r="ILE799" s="3796"/>
      <c r="ILJ799" s="3796"/>
      <c r="ILP799" s="3796"/>
      <c r="ILQ799" s="3796"/>
      <c r="ILR799" s="3796"/>
      <c r="ILV799" s="3796"/>
      <c r="IMC799" s="3796"/>
      <c r="IMD799" s="3796"/>
      <c r="IME799" s="3796"/>
      <c r="IMF799" s="3796"/>
      <c r="IMG799" s="3796"/>
      <c r="IMH799" s="3796"/>
      <c r="IMI799" s="3796"/>
      <c r="IMJ799" s="3796"/>
      <c r="IMK799" s="3796"/>
      <c r="IML799" s="3796"/>
      <c r="IMM799" s="3796"/>
      <c r="IMN799" s="3796"/>
      <c r="IMO799" s="3796"/>
      <c r="IMP799" s="3796"/>
      <c r="IMQ799" s="3796"/>
      <c r="IMR799" s="3796"/>
      <c r="IMS799" s="3796"/>
      <c r="IMT799" s="3796"/>
      <c r="IMU799" s="3796"/>
      <c r="IMV799" s="3796"/>
      <c r="IMW799" s="3796"/>
      <c r="IMX799" s="3796"/>
      <c r="IMY799" s="3796"/>
      <c r="IMZ799" s="3796"/>
      <c r="INA799" s="3796"/>
      <c r="INB799" s="3796"/>
      <c r="INC799" s="3796"/>
      <c r="IND799" s="3796"/>
      <c r="INE799" s="3796"/>
      <c r="INF799" s="3796"/>
      <c r="ING799" s="3796"/>
      <c r="INH799" s="3796"/>
      <c r="INI799" s="3796"/>
      <c r="INJ799" s="3796"/>
      <c r="INK799" s="3796"/>
      <c r="INL799" s="3796"/>
      <c r="INM799" s="3796"/>
      <c r="INN799" s="3796"/>
      <c r="INO799" s="3796"/>
      <c r="INP799" s="3796"/>
      <c r="INQ799" s="3796"/>
      <c r="INR799" s="3796"/>
      <c r="INS799" s="3796"/>
      <c r="INT799" s="3796"/>
      <c r="INU799" s="3796"/>
      <c r="INV799" s="3796"/>
      <c r="INW799" s="3796"/>
      <c r="INX799" s="3796"/>
      <c r="INY799" s="3796"/>
      <c r="INZ799" s="3796"/>
      <c r="IOA799" s="3796"/>
      <c r="IOB799" s="3796"/>
      <c r="IOC799" s="3796"/>
      <c r="IOD799" s="3796"/>
      <c r="IOE799" s="3796"/>
      <c r="IOF799" s="3796"/>
      <c r="IOG799" s="3796"/>
      <c r="IOH799" s="3796"/>
      <c r="IOI799" s="3796"/>
      <c r="IOJ799" s="3796"/>
      <c r="IOK799" s="3796"/>
      <c r="IOL799" s="3796"/>
      <c r="IOM799" s="3796"/>
      <c r="ION799" s="3796"/>
      <c r="IOO799" s="3796"/>
      <c r="IOP799" s="3796"/>
      <c r="IOQ799" s="3796"/>
      <c r="IOR799" s="3796"/>
      <c r="IOS799" s="3796"/>
      <c r="IOT799" s="3796"/>
      <c r="IOU799" s="3796"/>
      <c r="IOV799" s="3796"/>
      <c r="IOW799" s="3796"/>
      <c r="IOX799" s="3796"/>
      <c r="IOY799" s="3796"/>
      <c r="IOZ799" s="3796"/>
      <c r="IPA799" s="3796"/>
      <c r="IPB799" s="3796"/>
      <c r="IPC799" s="3796"/>
      <c r="IPD799" s="3796"/>
      <c r="IPE799" s="3796"/>
      <c r="IPF799" s="3796"/>
      <c r="IPG799" s="3796"/>
      <c r="IPH799" s="3796"/>
      <c r="IPI799" s="3796"/>
      <c r="IPJ799" s="3796"/>
      <c r="IPK799" s="3796"/>
      <c r="IPL799" s="3796"/>
      <c r="IPM799" s="3796"/>
      <c r="IPN799" s="3796"/>
      <c r="IPO799" s="3796"/>
      <c r="IPP799" s="3796"/>
      <c r="IPQ799" s="3796"/>
      <c r="IPR799" s="3796"/>
      <c r="IPS799" s="3796"/>
      <c r="IPT799" s="3796"/>
      <c r="IPU799" s="3796"/>
      <c r="IPV799" s="3796"/>
      <c r="IPW799" s="3796"/>
      <c r="IPX799" s="3796"/>
      <c r="IPY799" s="3796"/>
      <c r="IPZ799" s="3796"/>
      <c r="IQA799" s="3796"/>
      <c r="IQB799" s="3796"/>
      <c r="IQC799" s="3796"/>
      <c r="IQD799" s="3796"/>
      <c r="IQE799" s="3796"/>
      <c r="IQF799" s="3796"/>
      <c r="IQG799" s="3796"/>
      <c r="IQH799" s="3796"/>
      <c r="IQI799" s="3796"/>
      <c r="IQJ799" s="3796"/>
      <c r="IQK799" s="3796"/>
      <c r="IQL799" s="3796"/>
      <c r="IQM799" s="3796"/>
      <c r="IQN799" s="3796"/>
      <c r="IQO799" s="3796"/>
      <c r="IQP799" s="3796"/>
      <c r="IQQ799" s="3796"/>
      <c r="IQR799" s="3796"/>
      <c r="IQS799" s="3796"/>
      <c r="IQT799" s="3796"/>
      <c r="IQU799" s="3796"/>
      <c r="IQV799" s="3796"/>
      <c r="IQW799" s="3796"/>
      <c r="IQX799" s="3796"/>
      <c r="IQY799" s="3796"/>
      <c r="IQZ799" s="3796"/>
      <c r="IRA799" s="3796"/>
      <c r="IRB799" s="3796"/>
      <c r="IRC799" s="3796"/>
      <c r="IRD799" s="3796"/>
      <c r="IRE799" s="3796"/>
      <c r="IRF799" s="3796"/>
      <c r="IRG799" s="3796"/>
      <c r="IRH799" s="3796"/>
      <c r="IRI799" s="3796"/>
      <c r="IRJ799" s="3796"/>
      <c r="IRK799" s="3796"/>
      <c r="IRL799" s="3796"/>
      <c r="IRM799" s="3796"/>
      <c r="IRN799" s="3796"/>
      <c r="IRO799" s="3796"/>
      <c r="IRP799" s="3796"/>
      <c r="IRQ799" s="3796"/>
      <c r="IRR799" s="3796"/>
      <c r="IRS799" s="3796"/>
      <c r="IRT799" s="3796"/>
      <c r="IRU799" s="3796"/>
      <c r="IRV799" s="3796"/>
      <c r="IRW799" s="3796"/>
      <c r="IRX799" s="3796"/>
      <c r="IRY799" s="3796"/>
      <c r="IRZ799" s="3796"/>
      <c r="ISA799" s="3796"/>
      <c r="ISB799" s="3796"/>
      <c r="ISC799" s="3796"/>
      <c r="ISD799" s="3796"/>
      <c r="ISE799" s="3796"/>
      <c r="ISF799" s="3796"/>
      <c r="ISG799" s="3796"/>
      <c r="ISH799" s="3796"/>
      <c r="ISI799" s="3796"/>
      <c r="ISJ799" s="3796"/>
      <c r="ISK799" s="3796"/>
      <c r="ISL799" s="3796"/>
      <c r="ISM799" s="3796"/>
      <c r="ISN799" s="3796"/>
      <c r="ISO799" s="3796"/>
      <c r="ISP799" s="3796"/>
      <c r="ISQ799" s="3796"/>
      <c r="ISR799" s="3796"/>
      <c r="ISS799" s="3796"/>
      <c r="IST799" s="3796"/>
      <c r="ISU799" s="3796"/>
      <c r="ISV799" s="3796"/>
      <c r="ISW799" s="3796"/>
      <c r="ISX799" s="3796"/>
      <c r="ISY799" s="3796"/>
      <c r="ISZ799" s="3796"/>
      <c r="ITA799" s="3796"/>
      <c r="ITB799" s="3796"/>
      <c r="ITC799" s="3796"/>
      <c r="ITD799" s="3796"/>
      <c r="ITE799" s="3796"/>
      <c r="ITF799" s="3796"/>
      <c r="ITG799" s="3796"/>
      <c r="ITH799" s="3796"/>
      <c r="ITI799" s="3796"/>
      <c r="ITJ799" s="3796"/>
      <c r="ITK799" s="3796"/>
      <c r="ITL799" s="3796"/>
      <c r="ITM799" s="3796"/>
      <c r="ITN799" s="3796"/>
      <c r="ITO799" s="3796"/>
      <c r="ITP799" s="3796"/>
      <c r="ITQ799" s="3796"/>
      <c r="ITR799" s="3796"/>
      <c r="ITS799" s="3796"/>
      <c r="ITT799" s="3796"/>
      <c r="ITU799" s="3796"/>
      <c r="ITV799" s="3796"/>
      <c r="ITW799" s="3796"/>
      <c r="ITX799" s="3796"/>
      <c r="ITY799" s="3796"/>
      <c r="ITZ799" s="3796"/>
      <c r="IUA799" s="3796"/>
      <c r="IUB799" s="3796"/>
      <c r="IUC799" s="3796"/>
      <c r="IUD799" s="3796"/>
      <c r="IUE799" s="3796"/>
      <c r="IUF799" s="3796"/>
      <c r="IUG799" s="3796"/>
      <c r="IUH799" s="3796"/>
      <c r="IUI799" s="3796"/>
      <c r="IUJ799" s="3796"/>
      <c r="IUK799" s="3796"/>
      <c r="IUL799" s="3796"/>
      <c r="IUM799" s="3796"/>
      <c r="IUN799" s="3796"/>
      <c r="IUO799" s="3796"/>
      <c r="IUP799" s="3796"/>
      <c r="IUQ799" s="3796"/>
      <c r="IUR799" s="3796"/>
      <c r="IUS799" s="3796"/>
      <c r="IUT799" s="3796"/>
      <c r="IUU799" s="3796"/>
      <c r="IUV799" s="3796"/>
      <c r="IUW799" s="3796"/>
      <c r="IUX799" s="3796"/>
      <c r="IUY799" s="3796"/>
      <c r="IUZ799" s="3796"/>
      <c r="IVA799" s="3796"/>
      <c r="IVF799" s="3796"/>
      <c r="IVL799" s="3796"/>
      <c r="IVM799" s="3796"/>
      <c r="IVN799" s="3796"/>
      <c r="IVR799" s="3796"/>
      <c r="IVY799" s="3796"/>
      <c r="IVZ799" s="3796"/>
      <c r="IWA799" s="3796"/>
      <c r="IWB799" s="3796"/>
      <c r="IWC799" s="3796"/>
      <c r="IWD799" s="3796"/>
      <c r="IWE799" s="3796"/>
      <c r="IWF799" s="3796"/>
      <c r="IWG799" s="3796"/>
      <c r="IWH799" s="3796"/>
      <c r="IWI799" s="3796"/>
      <c r="IWJ799" s="3796"/>
      <c r="IWK799" s="3796"/>
      <c r="IWL799" s="3796"/>
      <c r="IWM799" s="3796"/>
      <c r="IWN799" s="3796"/>
      <c r="IWO799" s="3796"/>
      <c r="IWP799" s="3796"/>
      <c r="IWQ799" s="3796"/>
      <c r="IWR799" s="3796"/>
      <c r="IWS799" s="3796"/>
      <c r="IWT799" s="3796"/>
      <c r="IWU799" s="3796"/>
      <c r="IWV799" s="3796"/>
      <c r="IWW799" s="3796"/>
      <c r="IWX799" s="3796"/>
      <c r="IWY799" s="3796"/>
      <c r="IWZ799" s="3796"/>
      <c r="IXA799" s="3796"/>
      <c r="IXB799" s="3796"/>
      <c r="IXC799" s="3796"/>
      <c r="IXD799" s="3796"/>
      <c r="IXE799" s="3796"/>
      <c r="IXF799" s="3796"/>
      <c r="IXG799" s="3796"/>
      <c r="IXH799" s="3796"/>
      <c r="IXI799" s="3796"/>
      <c r="IXJ799" s="3796"/>
      <c r="IXK799" s="3796"/>
      <c r="IXL799" s="3796"/>
      <c r="IXM799" s="3796"/>
      <c r="IXN799" s="3796"/>
      <c r="IXO799" s="3796"/>
      <c r="IXP799" s="3796"/>
      <c r="IXQ799" s="3796"/>
      <c r="IXR799" s="3796"/>
      <c r="IXS799" s="3796"/>
      <c r="IXT799" s="3796"/>
      <c r="IXU799" s="3796"/>
      <c r="IXV799" s="3796"/>
      <c r="IXW799" s="3796"/>
      <c r="IXX799" s="3796"/>
      <c r="IXY799" s="3796"/>
      <c r="IXZ799" s="3796"/>
      <c r="IYA799" s="3796"/>
      <c r="IYB799" s="3796"/>
      <c r="IYC799" s="3796"/>
      <c r="IYD799" s="3796"/>
      <c r="IYE799" s="3796"/>
      <c r="IYF799" s="3796"/>
      <c r="IYG799" s="3796"/>
      <c r="IYH799" s="3796"/>
      <c r="IYI799" s="3796"/>
      <c r="IYJ799" s="3796"/>
      <c r="IYK799" s="3796"/>
      <c r="IYL799" s="3796"/>
      <c r="IYM799" s="3796"/>
      <c r="IYN799" s="3796"/>
      <c r="IYO799" s="3796"/>
      <c r="IYP799" s="3796"/>
      <c r="IYQ799" s="3796"/>
      <c r="IYR799" s="3796"/>
      <c r="IYS799" s="3796"/>
      <c r="IYT799" s="3796"/>
      <c r="IYU799" s="3796"/>
      <c r="IYV799" s="3796"/>
      <c r="IYW799" s="3796"/>
      <c r="IYX799" s="3796"/>
      <c r="IYY799" s="3796"/>
      <c r="IYZ799" s="3796"/>
      <c r="IZA799" s="3796"/>
      <c r="IZB799" s="3796"/>
      <c r="IZC799" s="3796"/>
      <c r="IZD799" s="3796"/>
      <c r="IZE799" s="3796"/>
      <c r="IZF799" s="3796"/>
      <c r="IZG799" s="3796"/>
      <c r="IZH799" s="3796"/>
      <c r="IZI799" s="3796"/>
      <c r="IZJ799" s="3796"/>
      <c r="IZK799" s="3796"/>
      <c r="IZL799" s="3796"/>
      <c r="IZM799" s="3796"/>
      <c r="IZN799" s="3796"/>
      <c r="IZO799" s="3796"/>
      <c r="IZP799" s="3796"/>
      <c r="IZQ799" s="3796"/>
      <c r="IZR799" s="3796"/>
      <c r="IZS799" s="3796"/>
      <c r="IZT799" s="3796"/>
      <c r="IZU799" s="3796"/>
      <c r="IZV799" s="3796"/>
      <c r="IZW799" s="3796"/>
      <c r="IZX799" s="3796"/>
      <c r="IZY799" s="3796"/>
      <c r="IZZ799" s="3796"/>
      <c r="JAA799" s="3796"/>
      <c r="JAB799" s="3796"/>
      <c r="JAC799" s="3796"/>
      <c r="JAD799" s="3796"/>
      <c r="JAE799" s="3796"/>
      <c r="JAF799" s="3796"/>
      <c r="JAG799" s="3796"/>
      <c r="JAH799" s="3796"/>
      <c r="JAI799" s="3796"/>
      <c r="JAJ799" s="3796"/>
      <c r="JAK799" s="3796"/>
      <c r="JAL799" s="3796"/>
      <c r="JAM799" s="3796"/>
      <c r="JAN799" s="3796"/>
      <c r="JAO799" s="3796"/>
      <c r="JAP799" s="3796"/>
      <c r="JAQ799" s="3796"/>
      <c r="JAR799" s="3796"/>
      <c r="JAS799" s="3796"/>
      <c r="JAT799" s="3796"/>
      <c r="JAU799" s="3796"/>
      <c r="JAV799" s="3796"/>
      <c r="JAW799" s="3796"/>
      <c r="JAX799" s="3796"/>
      <c r="JAY799" s="3796"/>
      <c r="JAZ799" s="3796"/>
      <c r="JBA799" s="3796"/>
      <c r="JBB799" s="3796"/>
      <c r="JBC799" s="3796"/>
      <c r="JBD799" s="3796"/>
      <c r="JBE799" s="3796"/>
      <c r="JBF799" s="3796"/>
      <c r="JBG799" s="3796"/>
      <c r="JBH799" s="3796"/>
      <c r="JBI799" s="3796"/>
      <c r="JBJ799" s="3796"/>
      <c r="JBK799" s="3796"/>
      <c r="JBL799" s="3796"/>
      <c r="JBM799" s="3796"/>
      <c r="JBN799" s="3796"/>
      <c r="JBO799" s="3796"/>
      <c r="JBP799" s="3796"/>
      <c r="JBQ799" s="3796"/>
      <c r="JBR799" s="3796"/>
      <c r="JBS799" s="3796"/>
      <c r="JBT799" s="3796"/>
      <c r="JBU799" s="3796"/>
      <c r="JBV799" s="3796"/>
      <c r="JBW799" s="3796"/>
      <c r="JBX799" s="3796"/>
      <c r="JBY799" s="3796"/>
      <c r="JBZ799" s="3796"/>
      <c r="JCA799" s="3796"/>
      <c r="JCB799" s="3796"/>
      <c r="JCC799" s="3796"/>
      <c r="JCD799" s="3796"/>
      <c r="JCE799" s="3796"/>
      <c r="JCF799" s="3796"/>
      <c r="JCG799" s="3796"/>
      <c r="JCH799" s="3796"/>
      <c r="JCI799" s="3796"/>
      <c r="JCJ799" s="3796"/>
      <c r="JCK799" s="3796"/>
      <c r="JCL799" s="3796"/>
      <c r="JCM799" s="3796"/>
      <c r="JCN799" s="3796"/>
      <c r="JCO799" s="3796"/>
      <c r="JCP799" s="3796"/>
      <c r="JCQ799" s="3796"/>
      <c r="JCR799" s="3796"/>
      <c r="JCS799" s="3796"/>
      <c r="JCT799" s="3796"/>
      <c r="JCU799" s="3796"/>
      <c r="JCV799" s="3796"/>
      <c r="JCW799" s="3796"/>
      <c r="JCX799" s="3796"/>
      <c r="JCY799" s="3796"/>
      <c r="JCZ799" s="3796"/>
      <c r="JDA799" s="3796"/>
      <c r="JDB799" s="3796"/>
      <c r="JDC799" s="3796"/>
      <c r="JDD799" s="3796"/>
      <c r="JDE799" s="3796"/>
      <c r="JDF799" s="3796"/>
      <c r="JDG799" s="3796"/>
      <c r="JDH799" s="3796"/>
      <c r="JDI799" s="3796"/>
      <c r="JDJ799" s="3796"/>
      <c r="JDK799" s="3796"/>
      <c r="JDL799" s="3796"/>
      <c r="JDM799" s="3796"/>
      <c r="JDN799" s="3796"/>
      <c r="JDO799" s="3796"/>
      <c r="JDP799" s="3796"/>
      <c r="JDQ799" s="3796"/>
      <c r="JDR799" s="3796"/>
      <c r="JDS799" s="3796"/>
      <c r="JDT799" s="3796"/>
      <c r="JDU799" s="3796"/>
      <c r="JDV799" s="3796"/>
      <c r="JDW799" s="3796"/>
      <c r="JDX799" s="3796"/>
      <c r="JDY799" s="3796"/>
      <c r="JDZ799" s="3796"/>
      <c r="JEA799" s="3796"/>
      <c r="JEB799" s="3796"/>
      <c r="JEC799" s="3796"/>
      <c r="JED799" s="3796"/>
      <c r="JEE799" s="3796"/>
      <c r="JEF799" s="3796"/>
      <c r="JEG799" s="3796"/>
      <c r="JEH799" s="3796"/>
      <c r="JEI799" s="3796"/>
      <c r="JEJ799" s="3796"/>
      <c r="JEK799" s="3796"/>
      <c r="JEL799" s="3796"/>
      <c r="JEM799" s="3796"/>
      <c r="JEN799" s="3796"/>
      <c r="JEO799" s="3796"/>
      <c r="JEP799" s="3796"/>
      <c r="JEQ799" s="3796"/>
      <c r="JER799" s="3796"/>
      <c r="JES799" s="3796"/>
      <c r="JET799" s="3796"/>
      <c r="JEU799" s="3796"/>
      <c r="JEV799" s="3796"/>
      <c r="JEW799" s="3796"/>
      <c r="JFB799" s="3796"/>
      <c r="JFH799" s="3796"/>
      <c r="JFI799" s="3796"/>
      <c r="JFJ799" s="3796"/>
      <c r="JFN799" s="3796"/>
      <c r="JFU799" s="3796"/>
      <c r="JFV799" s="3796"/>
      <c r="JFW799" s="3796"/>
      <c r="JFX799" s="3796"/>
      <c r="JFY799" s="3796"/>
      <c r="JFZ799" s="3796"/>
      <c r="JGA799" s="3796"/>
      <c r="JGB799" s="3796"/>
      <c r="JGC799" s="3796"/>
      <c r="JGD799" s="3796"/>
      <c r="JGE799" s="3796"/>
      <c r="JGF799" s="3796"/>
      <c r="JGG799" s="3796"/>
      <c r="JGH799" s="3796"/>
      <c r="JGI799" s="3796"/>
      <c r="JGJ799" s="3796"/>
      <c r="JGK799" s="3796"/>
      <c r="JGL799" s="3796"/>
      <c r="JGM799" s="3796"/>
      <c r="JGN799" s="3796"/>
      <c r="JGO799" s="3796"/>
      <c r="JGP799" s="3796"/>
      <c r="JGQ799" s="3796"/>
      <c r="JGR799" s="3796"/>
      <c r="JGS799" s="3796"/>
      <c r="JGT799" s="3796"/>
      <c r="JGU799" s="3796"/>
      <c r="JGV799" s="3796"/>
      <c r="JGW799" s="3796"/>
      <c r="JGX799" s="3796"/>
      <c r="JGY799" s="3796"/>
      <c r="JGZ799" s="3796"/>
      <c r="JHA799" s="3796"/>
      <c r="JHB799" s="3796"/>
      <c r="JHC799" s="3796"/>
      <c r="JHD799" s="3796"/>
      <c r="JHE799" s="3796"/>
      <c r="JHF799" s="3796"/>
      <c r="JHG799" s="3796"/>
      <c r="JHH799" s="3796"/>
      <c r="JHI799" s="3796"/>
      <c r="JHJ799" s="3796"/>
      <c r="JHK799" s="3796"/>
      <c r="JHL799" s="3796"/>
      <c r="JHM799" s="3796"/>
      <c r="JHN799" s="3796"/>
      <c r="JHO799" s="3796"/>
      <c r="JHP799" s="3796"/>
      <c r="JHQ799" s="3796"/>
      <c r="JHR799" s="3796"/>
      <c r="JHS799" s="3796"/>
      <c r="JHT799" s="3796"/>
      <c r="JHU799" s="3796"/>
      <c r="JHV799" s="3796"/>
      <c r="JHW799" s="3796"/>
      <c r="JHX799" s="3796"/>
      <c r="JHY799" s="3796"/>
      <c r="JHZ799" s="3796"/>
      <c r="JIA799" s="3796"/>
      <c r="JIB799" s="3796"/>
      <c r="JIC799" s="3796"/>
      <c r="JID799" s="3796"/>
      <c r="JIE799" s="3796"/>
      <c r="JIF799" s="3796"/>
      <c r="JIG799" s="3796"/>
      <c r="JIH799" s="3796"/>
      <c r="JII799" s="3796"/>
      <c r="JIJ799" s="3796"/>
      <c r="JIK799" s="3796"/>
      <c r="JIL799" s="3796"/>
      <c r="JIM799" s="3796"/>
      <c r="JIN799" s="3796"/>
      <c r="JIO799" s="3796"/>
      <c r="JIP799" s="3796"/>
      <c r="JIQ799" s="3796"/>
      <c r="JIR799" s="3796"/>
      <c r="JIS799" s="3796"/>
      <c r="JIT799" s="3796"/>
      <c r="JIU799" s="3796"/>
      <c r="JIV799" s="3796"/>
      <c r="JIW799" s="3796"/>
      <c r="JIX799" s="3796"/>
      <c r="JIY799" s="3796"/>
      <c r="JIZ799" s="3796"/>
      <c r="JJA799" s="3796"/>
      <c r="JJB799" s="3796"/>
      <c r="JJC799" s="3796"/>
      <c r="JJD799" s="3796"/>
      <c r="JJE799" s="3796"/>
      <c r="JJF799" s="3796"/>
      <c r="JJG799" s="3796"/>
      <c r="JJH799" s="3796"/>
      <c r="JJI799" s="3796"/>
      <c r="JJJ799" s="3796"/>
      <c r="JJK799" s="3796"/>
      <c r="JJL799" s="3796"/>
      <c r="JJM799" s="3796"/>
      <c r="JJN799" s="3796"/>
      <c r="JJO799" s="3796"/>
      <c r="JJP799" s="3796"/>
      <c r="JJQ799" s="3796"/>
      <c r="JJR799" s="3796"/>
      <c r="JJS799" s="3796"/>
      <c r="JJT799" s="3796"/>
      <c r="JJU799" s="3796"/>
      <c r="JJV799" s="3796"/>
      <c r="JJW799" s="3796"/>
      <c r="JJX799" s="3796"/>
      <c r="JJY799" s="3796"/>
      <c r="JJZ799" s="3796"/>
      <c r="JKA799" s="3796"/>
      <c r="JKB799" s="3796"/>
      <c r="JKC799" s="3796"/>
      <c r="JKD799" s="3796"/>
      <c r="JKE799" s="3796"/>
      <c r="JKF799" s="3796"/>
      <c r="JKG799" s="3796"/>
      <c r="JKH799" s="3796"/>
      <c r="JKI799" s="3796"/>
      <c r="JKJ799" s="3796"/>
      <c r="JKK799" s="3796"/>
      <c r="JKL799" s="3796"/>
      <c r="JKM799" s="3796"/>
      <c r="JKN799" s="3796"/>
      <c r="JKO799" s="3796"/>
      <c r="JKP799" s="3796"/>
      <c r="JKQ799" s="3796"/>
      <c r="JKR799" s="3796"/>
      <c r="JKS799" s="3796"/>
      <c r="JKT799" s="3796"/>
      <c r="JKU799" s="3796"/>
      <c r="JKV799" s="3796"/>
      <c r="JKW799" s="3796"/>
      <c r="JKX799" s="3796"/>
      <c r="JKY799" s="3796"/>
      <c r="JKZ799" s="3796"/>
      <c r="JLA799" s="3796"/>
      <c r="JLB799" s="3796"/>
      <c r="JLC799" s="3796"/>
      <c r="JLD799" s="3796"/>
      <c r="JLE799" s="3796"/>
      <c r="JLF799" s="3796"/>
      <c r="JLG799" s="3796"/>
      <c r="JLH799" s="3796"/>
      <c r="JLI799" s="3796"/>
      <c r="JLJ799" s="3796"/>
      <c r="JLK799" s="3796"/>
      <c r="JLL799" s="3796"/>
      <c r="JLM799" s="3796"/>
      <c r="JLN799" s="3796"/>
      <c r="JLO799" s="3796"/>
      <c r="JLP799" s="3796"/>
      <c r="JLQ799" s="3796"/>
      <c r="JLR799" s="3796"/>
      <c r="JLS799" s="3796"/>
      <c r="JLT799" s="3796"/>
      <c r="JLU799" s="3796"/>
      <c r="JLV799" s="3796"/>
      <c r="JLW799" s="3796"/>
      <c r="JLX799" s="3796"/>
      <c r="JLY799" s="3796"/>
      <c r="JLZ799" s="3796"/>
      <c r="JMA799" s="3796"/>
      <c r="JMB799" s="3796"/>
      <c r="JMC799" s="3796"/>
      <c r="JMD799" s="3796"/>
      <c r="JME799" s="3796"/>
      <c r="JMF799" s="3796"/>
      <c r="JMG799" s="3796"/>
      <c r="JMH799" s="3796"/>
      <c r="JMI799" s="3796"/>
      <c r="JMJ799" s="3796"/>
      <c r="JMK799" s="3796"/>
      <c r="JML799" s="3796"/>
      <c r="JMM799" s="3796"/>
      <c r="JMN799" s="3796"/>
      <c r="JMO799" s="3796"/>
      <c r="JMP799" s="3796"/>
      <c r="JMQ799" s="3796"/>
      <c r="JMR799" s="3796"/>
      <c r="JMS799" s="3796"/>
      <c r="JMT799" s="3796"/>
      <c r="JMU799" s="3796"/>
      <c r="JMV799" s="3796"/>
      <c r="JMW799" s="3796"/>
      <c r="JMX799" s="3796"/>
      <c r="JMY799" s="3796"/>
      <c r="JMZ799" s="3796"/>
      <c r="JNA799" s="3796"/>
      <c r="JNB799" s="3796"/>
      <c r="JNC799" s="3796"/>
      <c r="JND799" s="3796"/>
      <c r="JNE799" s="3796"/>
      <c r="JNF799" s="3796"/>
      <c r="JNG799" s="3796"/>
      <c r="JNH799" s="3796"/>
      <c r="JNI799" s="3796"/>
      <c r="JNJ799" s="3796"/>
      <c r="JNK799" s="3796"/>
      <c r="JNL799" s="3796"/>
      <c r="JNM799" s="3796"/>
      <c r="JNN799" s="3796"/>
      <c r="JNO799" s="3796"/>
      <c r="JNP799" s="3796"/>
      <c r="JNQ799" s="3796"/>
      <c r="JNR799" s="3796"/>
      <c r="JNS799" s="3796"/>
      <c r="JNT799" s="3796"/>
      <c r="JNU799" s="3796"/>
      <c r="JNV799" s="3796"/>
      <c r="JNW799" s="3796"/>
      <c r="JNX799" s="3796"/>
      <c r="JNY799" s="3796"/>
      <c r="JNZ799" s="3796"/>
      <c r="JOA799" s="3796"/>
      <c r="JOB799" s="3796"/>
      <c r="JOC799" s="3796"/>
      <c r="JOD799" s="3796"/>
      <c r="JOE799" s="3796"/>
      <c r="JOF799" s="3796"/>
      <c r="JOG799" s="3796"/>
      <c r="JOH799" s="3796"/>
      <c r="JOI799" s="3796"/>
      <c r="JOJ799" s="3796"/>
      <c r="JOK799" s="3796"/>
      <c r="JOL799" s="3796"/>
      <c r="JOM799" s="3796"/>
      <c r="JON799" s="3796"/>
      <c r="JOO799" s="3796"/>
      <c r="JOP799" s="3796"/>
      <c r="JOQ799" s="3796"/>
      <c r="JOR799" s="3796"/>
      <c r="JOS799" s="3796"/>
      <c r="JOX799" s="3796"/>
      <c r="JPD799" s="3796"/>
      <c r="JPE799" s="3796"/>
      <c r="JPF799" s="3796"/>
      <c r="JPJ799" s="3796"/>
      <c r="JPQ799" s="3796"/>
      <c r="JPR799" s="3796"/>
      <c r="JPS799" s="3796"/>
      <c r="JPT799" s="3796"/>
      <c r="JPU799" s="3796"/>
      <c r="JPV799" s="3796"/>
      <c r="JPW799" s="3796"/>
      <c r="JPX799" s="3796"/>
      <c r="JPY799" s="3796"/>
      <c r="JPZ799" s="3796"/>
      <c r="JQA799" s="3796"/>
      <c r="JQB799" s="3796"/>
      <c r="JQC799" s="3796"/>
      <c r="JQD799" s="3796"/>
      <c r="JQE799" s="3796"/>
      <c r="JQF799" s="3796"/>
      <c r="JQG799" s="3796"/>
      <c r="JQH799" s="3796"/>
      <c r="JQI799" s="3796"/>
      <c r="JQJ799" s="3796"/>
      <c r="JQK799" s="3796"/>
      <c r="JQL799" s="3796"/>
      <c r="JQM799" s="3796"/>
      <c r="JQN799" s="3796"/>
      <c r="JQO799" s="3796"/>
      <c r="JQP799" s="3796"/>
      <c r="JQQ799" s="3796"/>
      <c r="JQR799" s="3796"/>
      <c r="JQS799" s="3796"/>
      <c r="JQT799" s="3796"/>
      <c r="JQU799" s="3796"/>
      <c r="JQV799" s="3796"/>
      <c r="JQW799" s="3796"/>
      <c r="JQX799" s="3796"/>
      <c r="JQY799" s="3796"/>
      <c r="JQZ799" s="3796"/>
      <c r="JRA799" s="3796"/>
      <c r="JRB799" s="3796"/>
      <c r="JRC799" s="3796"/>
      <c r="JRD799" s="3796"/>
      <c r="JRE799" s="3796"/>
      <c r="JRF799" s="3796"/>
      <c r="JRG799" s="3796"/>
      <c r="JRH799" s="3796"/>
      <c r="JRI799" s="3796"/>
      <c r="JRJ799" s="3796"/>
      <c r="JRK799" s="3796"/>
      <c r="JRL799" s="3796"/>
      <c r="JRM799" s="3796"/>
      <c r="JRN799" s="3796"/>
      <c r="JRO799" s="3796"/>
      <c r="JRP799" s="3796"/>
      <c r="JRQ799" s="3796"/>
      <c r="JRR799" s="3796"/>
      <c r="JRS799" s="3796"/>
      <c r="JRT799" s="3796"/>
      <c r="JRU799" s="3796"/>
      <c r="JRV799" s="3796"/>
      <c r="JRW799" s="3796"/>
      <c r="JRX799" s="3796"/>
      <c r="JRY799" s="3796"/>
      <c r="JRZ799" s="3796"/>
      <c r="JSA799" s="3796"/>
      <c r="JSB799" s="3796"/>
      <c r="JSC799" s="3796"/>
      <c r="JSD799" s="3796"/>
      <c r="JSE799" s="3796"/>
      <c r="JSF799" s="3796"/>
      <c r="JSG799" s="3796"/>
      <c r="JSH799" s="3796"/>
      <c r="JSI799" s="3796"/>
      <c r="JSJ799" s="3796"/>
      <c r="JSK799" s="3796"/>
      <c r="JSL799" s="3796"/>
      <c r="JSM799" s="3796"/>
      <c r="JSN799" s="3796"/>
      <c r="JSO799" s="3796"/>
      <c r="JSP799" s="3796"/>
      <c r="JSQ799" s="3796"/>
      <c r="JSR799" s="3796"/>
      <c r="JSS799" s="3796"/>
      <c r="JST799" s="3796"/>
      <c r="JSU799" s="3796"/>
      <c r="JSV799" s="3796"/>
      <c r="JSW799" s="3796"/>
      <c r="JSX799" s="3796"/>
      <c r="JSY799" s="3796"/>
      <c r="JSZ799" s="3796"/>
      <c r="JTA799" s="3796"/>
      <c r="JTB799" s="3796"/>
      <c r="JTC799" s="3796"/>
      <c r="JTD799" s="3796"/>
      <c r="JTE799" s="3796"/>
      <c r="JTF799" s="3796"/>
      <c r="JTG799" s="3796"/>
      <c r="JTH799" s="3796"/>
      <c r="JTI799" s="3796"/>
      <c r="JTJ799" s="3796"/>
      <c r="JTK799" s="3796"/>
      <c r="JTL799" s="3796"/>
      <c r="JTM799" s="3796"/>
      <c r="JTN799" s="3796"/>
      <c r="JTO799" s="3796"/>
      <c r="JTP799" s="3796"/>
      <c r="JTQ799" s="3796"/>
      <c r="JTR799" s="3796"/>
      <c r="JTS799" s="3796"/>
      <c r="JTT799" s="3796"/>
      <c r="JTU799" s="3796"/>
      <c r="JTV799" s="3796"/>
      <c r="JTW799" s="3796"/>
      <c r="JTX799" s="3796"/>
      <c r="JTY799" s="3796"/>
      <c r="JTZ799" s="3796"/>
      <c r="JUA799" s="3796"/>
      <c r="JUB799" s="3796"/>
      <c r="JUC799" s="3796"/>
      <c r="JUD799" s="3796"/>
      <c r="JUE799" s="3796"/>
      <c r="JUF799" s="3796"/>
      <c r="JUG799" s="3796"/>
      <c r="JUH799" s="3796"/>
      <c r="JUI799" s="3796"/>
      <c r="JUJ799" s="3796"/>
      <c r="JUK799" s="3796"/>
      <c r="JUL799" s="3796"/>
      <c r="JUM799" s="3796"/>
      <c r="JUN799" s="3796"/>
      <c r="JUO799" s="3796"/>
      <c r="JUP799" s="3796"/>
      <c r="JUQ799" s="3796"/>
      <c r="JUR799" s="3796"/>
      <c r="JUS799" s="3796"/>
      <c r="JUT799" s="3796"/>
      <c r="JUU799" s="3796"/>
      <c r="JUV799" s="3796"/>
      <c r="JUW799" s="3796"/>
      <c r="JUX799" s="3796"/>
      <c r="JUY799" s="3796"/>
      <c r="JUZ799" s="3796"/>
      <c r="JVA799" s="3796"/>
      <c r="JVB799" s="3796"/>
      <c r="JVC799" s="3796"/>
      <c r="JVD799" s="3796"/>
      <c r="JVE799" s="3796"/>
      <c r="JVF799" s="3796"/>
      <c r="JVG799" s="3796"/>
      <c r="JVH799" s="3796"/>
      <c r="JVI799" s="3796"/>
      <c r="JVJ799" s="3796"/>
      <c r="JVK799" s="3796"/>
      <c r="JVL799" s="3796"/>
      <c r="JVM799" s="3796"/>
      <c r="JVN799" s="3796"/>
      <c r="JVO799" s="3796"/>
      <c r="JVP799" s="3796"/>
      <c r="JVQ799" s="3796"/>
      <c r="JVR799" s="3796"/>
      <c r="JVS799" s="3796"/>
      <c r="JVT799" s="3796"/>
      <c r="JVU799" s="3796"/>
      <c r="JVV799" s="3796"/>
      <c r="JVW799" s="3796"/>
      <c r="JVX799" s="3796"/>
      <c r="JVY799" s="3796"/>
      <c r="JVZ799" s="3796"/>
      <c r="JWA799" s="3796"/>
      <c r="JWB799" s="3796"/>
      <c r="JWC799" s="3796"/>
      <c r="JWD799" s="3796"/>
      <c r="JWE799" s="3796"/>
      <c r="JWF799" s="3796"/>
      <c r="JWG799" s="3796"/>
      <c r="JWH799" s="3796"/>
      <c r="JWI799" s="3796"/>
      <c r="JWJ799" s="3796"/>
      <c r="JWK799" s="3796"/>
      <c r="JWL799" s="3796"/>
      <c r="JWM799" s="3796"/>
      <c r="JWN799" s="3796"/>
      <c r="JWO799" s="3796"/>
      <c r="JWP799" s="3796"/>
      <c r="JWQ799" s="3796"/>
      <c r="JWR799" s="3796"/>
      <c r="JWS799" s="3796"/>
      <c r="JWT799" s="3796"/>
      <c r="JWU799" s="3796"/>
      <c r="JWV799" s="3796"/>
      <c r="JWW799" s="3796"/>
      <c r="JWX799" s="3796"/>
      <c r="JWY799" s="3796"/>
      <c r="JWZ799" s="3796"/>
      <c r="JXA799" s="3796"/>
      <c r="JXB799" s="3796"/>
      <c r="JXC799" s="3796"/>
      <c r="JXD799" s="3796"/>
      <c r="JXE799" s="3796"/>
      <c r="JXF799" s="3796"/>
      <c r="JXG799" s="3796"/>
      <c r="JXH799" s="3796"/>
      <c r="JXI799" s="3796"/>
      <c r="JXJ799" s="3796"/>
      <c r="JXK799" s="3796"/>
      <c r="JXL799" s="3796"/>
      <c r="JXM799" s="3796"/>
      <c r="JXN799" s="3796"/>
      <c r="JXO799" s="3796"/>
      <c r="JXP799" s="3796"/>
      <c r="JXQ799" s="3796"/>
      <c r="JXR799" s="3796"/>
      <c r="JXS799" s="3796"/>
      <c r="JXT799" s="3796"/>
      <c r="JXU799" s="3796"/>
      <c r="JXV799" s="3796"/>
      <c r="JXW799" s="3796"/>
      <c r="JXX799" s="3796"/>
      <c r="JXY799" s="3796"/>
      <c r="JXZ799" s="3796"/>
      <c r="JYA799" s="3796"/>
      <c r="JYB799" s="3796"/>
      <c r="JYC799" s="3796"/>
      <c r="JYD799" s="3796"/>
      <c r="JYE799" s="3796"/>
      <c r="JYF799" s="3796"/>
      <c r="JYG799" s="3796"/>
      <c r="JYH799" s="3796"/>
      <c r="JYI799" s="3796"/>
      <c r="JYJ799" s="3796"/>
      <c r="JYK799" s="3796"/>
      <c r="JYL799" s="3796"/>
      <c r="JYM799" s="3796"/>
      <c r="JYN799" s="3796"/>
      <c r="JYO799" s="3796"/>
      <c r="JYT799" s="3796"/>
      <c r="JYZ799" s="3796"/>
      <c r="JZA799" s="3796"/>
      <c r="JZB799" s="3796"/>
      <c r="JZF799" s="3796"/>
      <c r="JZM799" s="3796"/>
      <c r="JZN799" s="3796"/>
      <c r="JZO799" s="3796"/>
      <c r="JZP799" s="3796"/>
      <c r="JZQ799" s="3796"/>
      <c r="JZR799" s="3796"/>
      <c r="JZS799" s="3796"/>
      <c r="JZT799" s="3796"/>
      <c r="JZU799" s="3796"/>
      <c r="JZV799" s="3796"/>
      <c r="JZW799" s="3796"/>
      <c r="JZX799" s="3796"/>
      <c r="JZY799" s="3796"/>
      <c r="JZZ799" s="3796"/>
      <c r="KAA799" s="3796"/>
      <c r="KAB799" s="3796"/>
      <c r="KAC799" s="3796"/>
      <c r="KAD799" s="3796"/>
      <c r="KAE799" s="3796"/>
      <c r="KAF799" s="3796"/>
      <c r="KAG799" s="3796"/>
      <c r="KAH799" s="3796"/>
      <c r="KAI799" s="3796"/>
      <c r="KAJ799" s="3796"/>
      <c r="KAK799" s="3796"/>
      <c r="KAL799" s="3796"/>
      <c r="KAM799" s="3796"/>
      <c r="KAN799" s="3796"/>
      <c r="KAO799" s="3796"/>
      <c r="KAP799" s="3796"/>
      <c r="KAQ799" s="3796"/>
      <c r="KAR799" s="3796"/>
      <c r="KAS799" s="3796"/>
      <c r="KAT799" s="3796"/>
      <c r="KAU799" s="3796"/>
      <c r="KAV799" s="3796"/>
      <c r="KAW799" s="3796"/>
      <c r="KAX799" s="3796"/>
      <c r="KAY799" s="3796"/>
      <c r="KAZ799" s="3796"/>
      <c r="KBA799" s="3796"/>
      <c r="KBB799" s="3796"/>
      <c r="KBC799" s="3796"/>
      <c r="KBD799" s="3796"/>
      <c r="KBE799" s="3796"/>
      <c r="KBF799" s="3796"/>
      <c r="KBG799" s="3796"/>
      <c r="KBH799" s="3796"/>
      <c r="KBI799" s="3796"/>
      <c r="KBJ799" s="3796"/>
      <c r="KBK799" s="3796"/>
      <c r="KBL799" s="3796"/>
      <c r="KBM799" s="3796"/>
      <c r="KBN799" s="3796"/>
      <c r="KBO799" s="3796"/>
      <c r="KBP799" s="3796"/>
      <c r="KBQ799" s="3796"/>
      <c r="KBR799" s="3796"/>
      <c r="KBS799" s="3796"/>
      <c r="KBT799" s="3796"/>
      <c r="KBU799" s="3796"/>
      <c r="KBV799" s="3796"/>
      <c r="KBW799" s="3796"/>
      <c r="KBX799" s="3796"/>
      <c r="KBY799" s="3796"/>
      <c r="KBZ799" s="3796"/>
      <c r="KCA799" s="3796"/>
      <c r="KCB799" s="3796"/>
      <c r="KCC799" s="3796"/>
      <c r="KCD799" s="3796"/>
      <c r="KCE799" s="3796"/>
      <c r="KCF799" s="3796"/>
      <c r="KCG799" s="3796"/>
      <c r="KCH799" s="3796"/>
      <c r="KCI799" s="3796"/>
      <c r="KCJ799" s="3796"/>
      <c r="KCK799" s="3796"/>
      <c r="KCL799" s="3796"/>
      <c r="KCM799" s="3796"/>
      <c r="KCN799" s="3796"/>
      <c r="KCO799" s="3796"/>
      <c r="KCP799" s="3796"/>
      <c r="KCQ799" s="3796"/>
      <c r="KCR799" s="3796"/>
      <c r="KCS799" s="3796"/>
      <c r="KCT799" s="3796"/>
      <c r="KCU799" s="3796"/>
      <c r="KCV799" s="3796"/>
      <c r="KCW799" s="3796"/>
      <c r="KCX799" s="3796"/>
      <c r="KCY799" s="3796"/>
      <c r="KCZ799" s="3796"/>
      <c r="KDA799" s="3796"/>
      <c r="KDB799" s="3796"/>
      <c r="KDC799" s="3796"/>
      <c r="KDD799" s="3796"/>
      <c r="KDE799" s="3796"/>
      <c r="KDF799" s="3796"/>
      <c r="KDG799" s="3796"/>
      <c r="KDH799" s="3796"/>
      <c r="KDI799" s="3796"/>
      <c r="KDJ799" s="3796"/>
      <c r="KDK799" s="3796"/>
      <c r="KDL799" s="3796"/>
      <c r="KDM799" s="3796"/>
      <c r="KDN799" s="3796"/>
      <c r="KDO799" s="3796"/>
      <c r="KDP799" s="3796"/>
      <c r="KDQ799" s="3796"/>
      <c r="KDR799" s="3796"/>
      <c r="KDS799" s="3796"/>
      <c r="KDT799" s="3796"/>
      <c r="KDU799" s="3796"/>
      <c r="KDV799" s="3796"/>
      <c r="KDW799" s="3796"/>
      <c r="KDX799" s="3796"/>
      <c r="KDY799" s="3796"/>
      <c r="KDZ799" s="3796"/>
      <c r="KEA799" s="3796"/>
      <c r="KEB799" s="3796"/>
      <c r="KEC799" s="3796"/>
      <c r="KED799" s="3796"/>
      <c r="KEE799" s="3796"/>
      <c r="KEF799" s="3796"/>
      <c r="KEG799" s="3796"/>
      <c r="KEH799" s="3796"/>
      <c r="KEI799" s="3796"/>
      <c r="KEJ799" s="3796"/>
      <c r="KEK799" s="3796"/>
      <c r="KEL799" s="3796"/>
      <c r="KEM799" s="3796"/>
      <c r="KEN799" s="3796"/>
      <c r="KEO799" s="3796"/>
      <c r="KEP799" s="3796"/>
      <c r="KEQ799" s="3796"/>
      <c r="KER799" s="3796"/>
      <c r="KES799" s="3796"/>
      <c r="KET799" s="3796"/>
      <c r="KEU799" s="3796"/>
      <c r="KEV799" s="3796"/>
      <c r="KEW799" s="3796"/>
      <c r="KEX799" s="3796"/>
      <c r="KEY799" s="3796"/>
      <c r="KEZ799" s="3796"/>
      <c r="KFA799" s="3796"/>
      <c r="KFB799" s="3796"/>
      <c r="KFC799" s="3796"/>
      <c r="KFD799" s="3796"/>
      <c r="KFE799" s="3796"/>
      <c r="KFF799" s="3796"/>
      <c r="KFG799" s="3796"/>
      <c r="KFH799" s="3796"/>
      <c r="KFI799" s="3796"/>
      <c r="KFJ799" s="3796"/>
      <c r="KFK799" s="3796"/>
      <c r="KFL799" s="3796"/>
      <c r="KFM799" s="3796"/>
      <c r="KFN799" s="3796"/>
      <c r="KFO799" s="3796"/>
      <c r="KFP799" s="3796"/>
      <c r="KFQ799" s="3796"/>
      <c r="KFR799" s="3796"/>
      <c r="KFS799" s="3796"/>
      <c r="KFT799" s="3796"/>
      <c r="KFU799" s="3796"/>
      <c r="KFV799" s="3796"/>
      <c r="KFW799" s="3796"/>
      <c r="KFX799" s="3796"/>
      <c r="KFY799" s="3796"/>
      <c r="KFZ799" s="3796"/>
      <c r="KGA799" s="3796"/>
      <c r="KGB799" s="3796"/>
      <c r="KGC799" s="3796"/>
      <c r="KGD799" s="3796"/>
      <c r="KGE799" s="3796"/>
      <c r="KGF799" s="3796"/>
      <c r="KGG799" s="3796"/>
      <c r="KGH799" s="3796"/>
      <c r="KGI799" s="3796"/>
      <c r="KGJ799" s="3796"/>
      <c r="KGK799" s="3796"/>
      <c r="KGL799" s="3796"/>
      <c r="KGM799" s="3796"/>
      <c r="KGN799" s="3796"/>
      <c r="KGO799" s="3796"/>
      <c r="KGP799" s="3796"/>
      <c r="KGQ799" s="3796"/>
      <c r="KGR799" s="3796"/>
      <c r="KGS799" s="3796"/>
      <c r="KGT799" s="3796"/>
      <c r="KGU799" s="3796"/>
      <c r="KGV799" s="3796"/>
      <c r="KGW799" s="3796"/>
      <c r="KGX799" s="3796"/>
      <c r="KGY799" s="3796"/>
      <c r="KGZ799" s="3796"/>
      <c r="KHA799" s="3796"/>
      <c r="KHB799" s="3796"/>
      <c r="KHC799" s="3796"/>
      <c r="KHD799" s="3796"/>
      <c r="KHE799" s="3796"/>
      <c r="KHF799" s="3796"/>
      <c r="KHG799" s="3796"/>
      <c r="KHH799" s="3796"/>
      <c r="KHI799" s="3796"/>
      <c r="KHJ799" s="3796"/>
      <c r="KHK799" s="3796"/>
      <c r="KHL799" s="3796"/>
      <c r="KHM799" s="3796"/>
      <c r="KHN799" s="3796"/>
      <c r="KHO799" s="3796"/>
      <c r="KHP799" s="3796"/>
      <c r="KHQ799" s="3796"/>
      <c r="KHR799" s="3796"/>
      <c r="KHS799" s="3796"/>
      <c r="KHT799" s="3796"/>
      <c r="KHU799" s="3796"/>
      <c r="KHV799" s="3796"/>
      <c r="KHW799" s="3796"/>
      <c r="KHX799" s="3796"/>
      <c r="KHY799" s="3796"/>
      <c r="KHZ799" s="3796"/>
      <c r="KIA799" s="3796"/>
      <c r="KIB799" s="3796"/>
      <c r="KIC799" s="3796"/>
      <c r="KID799" s="3796"/>
      <c r="KIE799" s="3796"/>
      <c r="KIF799" s="3796"/>
      <c r="KIG799" s="3796"/>
      <c r="KIH799" s="3796"/>
      <c r="KII799" s="3796"/>
      <c r="KIJ799" s="3796"/>
      <c r="KIK799" s="3796"/>
      <c r="KIP799" s="3796"/>
      <c r="KIV799" s="3796"/>
      <c r="KIW799" s="3796"/>
      <c r="KIX799" s="3796"/>
      <c r="KJB799" s="3796"/>
      <c r="KJI799" s="3796"/>
      <c r="KJJ799" s="3796"/>
      <c r="KJK799" s="3796"/>
      <c r="KJL799" s="3796"/>
      <c r="KJM799" s="3796"/>
      <c r="KJN799" s="3796"/>
      <c r="KJO799" s="3796"/>
      <c r="KJP799" s="3796"/>
      <c r="KJQ799" s="3796"/>
      <c r="KJR799" s="3796"/>
      <c r="KJS799" s="3796"/>
      <c r="KJT799" s="3796"/>
      <c r="KJU799" s="3796"/>
      <c r="KJV799" s="3796"/>
      <c r="KJW799" s="3796"/>
      <c r="KJX799" s="3796"/>
      <c r="KJY799" s="3796"/>
      <c r="KJZ799" s="3796"/>
      <c r="KKA799" s="3796"/>
      <c r="KKB799" s="3796"/>
      <c r="KKC799" s="3796"/>
      <c r="KKD799" s="3796"/>
      <c r="KKE799" s="3796"/>
      <c r="KKF799" s="3796"/>
      <c r="KKG799" s="3796"/>
      <c r="KKH799" s="3796"/>
      <c r="KKI799" s="3796"/>
      <c r="KKJ799" s="3796"/>
      <c r="KKK799" s="3796"/>
      <c r="KKL799" s="3796"/>
      <c r="KKM799" s="3796"/>
      <c r="KKN799" s="3796"/>
      <c r="KKO799" s="3796"/>
      <c r="KKP799" s="3796"/>
      <c r="KKQ799" s="3796"/>
      <c r="KKR799" s="3796"/>
      <c r="KKS799" s="3796"/>
      <c r="KKT799" s="3796"/>
      <c r="KKU799" s="3796"/>
      <c r="KKV799" s="3796"/>
      <c r="KKW799" s="3796"/>
      <c r="KKX799" s="3796"/>
      <c r="KKY799" s="3796"/>
      <c r="KKZ799" s="3796"/>
      <c r="KLA799" s="3796"/>
      <c r="KLB799" s="3796"/>
      <c r="KLC799" s="3796"/>
      <c r="KLD799" s="3796"/>
      <c r="KLE799" s="3796"/>
      <c r="KLF799" s="3796"/>
      <c r="KLG799" s="3796"/>
      <c r="KLH799" s="3796"/>
      <c r="KLI799" s="3796"/>
      <c r="KLJ799" s="3796"/>
      <c r="KLK799" s="3796"/>
      <c r="KLL799" s="3796"/>
      <c r="KLM799" s="3796"/>
      <c r="KLN799" s="3796"/>
      <c r="KLO799" s="3796"/>
      <c r="KLP799" s="3796"/>
      <c r="KLQ799" s="3796"/>
      <c r="KLR799" s="3796"/>
      <c r="KLS799" s="3796"/>
      <c r="KLT799" s="3796"/>
      <c r="KLU799" s="3796"/>
      <c r="KLV799" s="3796"/>
      <c r="KLW799" s="3796"/>
      <c r="KLX799" s="3796"/>
      <c r="KLY799" s="3796"/>
      <c r="KLZ799" s="3796"/>
      <c r="KMA799" s="3796"/>
      <c r="KMB799" s="3796"/>
      <c r="KMC799" s="3796"/>
      <c r="KMD799" s="3796"/>
      <c r="KME799" s="3796"/>
      <c r="KMF799" s="3796"/>
      <c r="KMG799" s="3796"/>
      <c r="KMH799" s="3796"/>
      <c r="KMI799" s="3796"/>
      <c r="KMJ799" s="3796"/>
      <c r="KMK799" s="3796"/>
      <c r="KML799" s="3796"/>
      <c r="KMM799" s="3796"/>
      <c r="KMN799" s="3796"/>
      <c r="KMO799" s="3796"/>
      <c r="KMP799" s="3796"/>
      <c r="KMQ799" s="3796"/>
      <c r="KMR799" s="3796"/>
      <c r="KMS799" s="3796"/>
      <c r="KMT799" s="3796"/>
      <c r="KMU799" s="3796"/>
      <c r="KMV799" s="3796"/>
      <c r="KMW799" s="3796"/>
      <c r="KMX799" s="3796"/>
      <c r="KMY799" s="3796"/>
      <c r="KMZ799" s="3796"/>
      <c r="KNA799" s="3796"/>
      <c r="KNB799" s="3796"/>
      <c r="KNC799" s="3796"/>
      <c r="KND799" s="3796"/>
      <c r="KNE799" s="3796"/>
      <c r="KNF799" s="3796"/>
      <c r="KNG799" s="3796"/>
      <c r="KNH799" s="3796"/>
      <c r="KNI799" s="3796"/>
      <c r="KNJ799" s="3796"/>
      <c r="KNK799" s="3796"/>
      <c r="KNL799" s="3796"/>
      <c r="KNM799" s="3796"/>
      <c r="KNN799" s="3796"/>
      <c r="KNO799" s="3796"/>
      <c r="KNP799" s="3796"/>
      <c r="KNQ799" s="3796"/>
      <c r="KNR799" s="3796"/>
      <c r="KNS799" s="3796"/>
      <c r="KNT799" s="3796"/>
      <c r="KNU799" s="3796"/>
      <c r="KNV799" s="3796"/>
      <c r="KNW799" s="3796"/>
      <c r="KNX799" s="3796"/>
      <c r="KNY799" s="3796"/>
      <c r="KNZ799" s="3796"/>
      <c r="KOA799" s="3796"/>
      <c r="KOB799" s="3796"/>
      <c r="KOC799" s="3796"/>
      <c r="KOD799" s="3796"/>
      <c r="KOE799" s="3796"/>
      <c r="KOF799" s="3796"/>
      <c r="KOG799" s="3796"/>
      <c r="KOH799" s="3796"/>
      <c r="KOI799" s="3796"/>
      <c r="KOJ799" s="3796"/>
      <c r="KOK799" s="3796"/>
      <c r="KOL799" s="3796"/>
      <c r="KOM799" s="3796"/>
      <c r="KON799" s="3796"/>
      <c r="KOO799" s="3796"/>
      <c r="KOP799" s="3796"/>
      <c r="KOQ799" s="3796"/>
      <c r="KOR799" s="3796"/>
      <c r="KOS799" s="3796"/>
      <c r="KOT799" s="3796"/>
      <c r="KOU799" s="3796"/>
      <c r="KOV799" s="3796"/>
      <c r="KOW799" s="3796"/>
      <c r="KOX799" s="3796"/>
      <c r="KOY799" s="3796"/>
      <c r="KOZ799" s="3796"/>
      <c r="KPA799" s="3796"/>
      <c r="KPB799" s="3796"/>
      <c r="KPC799" s="3796"/>
      <c r="KPD799" s="3796"/>
      <c r="KPE799" s="3796"/>
      <c r="KPF799" s="3796"/>
      <c r="KPG799" s="3796"/>
      <c r="KPH799" s="3796"/>
      <c r="KPI799" s="3796"/>
      <c r="KPJ799" s="3796"/>
      <c r="KPK799" s="3796"/>
      <c r="KPL799" s="3796"/>
      <c r="KPM799" s="3796"/>
      <c r="KPN799" s="3796"/>
      <c r="KPO799" s="3796"/>
      <c r="KPP799" s="3796"/>
      <c r="KPQ799" s="3796"/>
      <c r="KPR799" s="3796"/>
      <c r="KPS799" s="3796"/>
      <c r="KPT799" s="3796"/>
      <c r="KPU799" s="3796"/>
      <c r="KPV799" s="3796"/>
      <c r="KPW799" s="3796"/>
      <c r="KPX799" s="3796"/>
      <c r="KPY799" s="3796"/>
      <c r="KPZ799" s="3796"/>
      <c r="KQA799" s="3796"/>
      <c r="KQB799" s="3796"/>
      <c r="KQC799" s="3796"/>
      <c r="KQD799" s="3796"/>
      <c r="KQE799" s="3796"/>
      <c r="KQF799" s="3796"/>
      <c r="KQG799" s="3796"/>
      <c r="KQH799" s="3796"/>
      <c r="KQI799" s="3796"/>
      <c r="KQJ799" s="3796"/>
      <c r="KQK799" s="3796"/>
      <c r="KQL799" s="3796"/>
      <c r="KQM799" s="3796"/>
      <c r="KQN799" s="3796"/>
      <c r="KQO799" s="3796"/>
      <c r="KQP799" s="3796"/>
      <c r="KQQ799" s="3796"/>
      <c r="KQR799" s="3796"/>
      <c r="KQS799" s="3796"/>
      <c r="KQT799" s="3796"/>
      <c r="KQU799" s="3796"/>
      <c r="KQV799" s="3796"/>
      <c r="KQW799" s="3796"/>
      <c r="KQX799" s="3796"/>
      <c r="KQY799" s="3796"/>
      <c r="KQZ799" s="3796"/>
      <c r="KRA799" s="3796"/>
      <c r="KRB799" s="3796"/>
      <c r="KRC799" s="3796"/>
      <c r="KRD799" s="3796"/>
      <c r="KRE799" s="3796"/>
      <c r="KRF799" s="3796"/>
      <c r="KRG799" s="3796"/>
      <c r="KRH799" s="3796"/>
      <c r="KRI799" s="3796"/>
      <c r="KRJ799" s="3796"/>
      <c r="KRK799" s="3796"/>
      <c r="KRL799" s="3796"/>
      <c r="KRM799" s="3796"/>
      <c r="KRN799" s="3796"/>
      <c r="KRO799" s="3796"/>
      <c r="KRP799" s="3796"/>
      <c r="KRQ799" s="3796"/>
      <c r="KRR799" s="3796"/>
      <c r="KRS799" s="3796"/>
      <c r="KRT799" s="3796"/>
      <c r="KRU799" s="3796"/>
      <c r="KRV799" s="3796"/>
      <c r="KRW799" s="3796"/>
      <c r="KRX799" s="3796"/>
      <c r="KRY799" s="3796"/>
      <c r="KRZ799" s="3796"/>
      <c r="KSA799" s="3796"/>
      <c r="KSB799" s="3796"/>
      <c r="KSC799" s="3796"/>
      <c r="KSD799" s="3796"/>
      <c r="KSE799" s="3796"/>
      <c r="KSF799" s="3796"/>
      <c r="KSG799" s="3796"/>
      <c r="KSL799" s="3796"/>
      <c r="KSR799" s="3796"/>
      <c r="KSS799" s="3796"/>
      <c r="KST799" s="3796"/>
      <c r="KSX799" s="3796"/>
      <c r="KTE799" s="3796"/>
      <c r="KTF799" s="3796"/>
      <c r="KTG799" s="3796"/>
      <c r="KTH799" s="3796"/>
      <c r="KTI799" s="3796"/>
      <c r="KTJ799" s="3796"/>
      <c r="KTK799" s="3796"/>
      <c r="KTL799" s="3796"/>
      <c r="KTM799" s="3796"/>
      <c r="KTN799" s="3796"/>
      <c r="KTO799" s="3796"/>
      <c r="KTP799" s="3796"/>
      <c r="KTQ799" s="3796"/>
      <c r="KTR799" s="3796"/>
      <c r="KTS799" s="3796"/>
      <c r="KTT799" s="3796"/>
      <c r="KTU799" s="3796"/>
      <c r="KTV799" s="3796"/>
      <c r="KTW799" s="3796"/>
      <c r="KTX799" s="3796"/>
      <c r="KTY799" s="3796"/>
      <c r="KTZ799" s="3796"/>
      <c r="KUA799" s="3796"/>
      <c r="KUB799" s="3796"/>
      <c r="KUC799" s="3796"/>
      <c r="KUD799" s="3796"/>
      <c r="KUE799" s="3796"/>
      <c r="KUF799" s="3796"/>
      <c r="KUG799" s="3796"/>
      <c r="KUH799" s="3796"/>
      <c r="KUI799" s="3796"/>
      <c r="KUJ799" s="3796"/>
      <c r="KUK799" s="3796"/>
      <c r="KUL799" s="3796"/>
      <c r="KUM799" s="3796"/>
      <c r="KUN799" s="3796"/>
      <c r="KUO799" s="3796"/>
      <c r="KUP799" s="3796"/>
      <c r="KUQ799" s="3796"/>
      <c r="KUR799" s="3796"/>
      <c r="KUS799" s="3796"/>
      <c r="KUT799" s="3796"/>
      <c r="KUU799" s="3796"/>
      <c r="KUV799" s="3796"/>
      <c r="KUW799" s="3796"/>
      <c r="KUX799" s="3796"/>
      <c r="KUY799" s="3796"/>
      <c r="KUZ799" s="3796"/>
      <c r="KVA799" s="3796"/>
      <c r="KVB799" s="3796"/>
      <c r="KVC799" s="3796"/>
      <c r="KVD799" s="3796"/>
      <c r="KVE799" s="3796"/>
      <c r="KVF799" s="3796"/>
      <c r="KVG799" s="3796"/>
      <c r="KVH799" s="3796"/>
      <c r="KVI799" s="3796"/>
      <c r="KVJ799" s="3796"/>
      <c r="KVK799" s="3796"/>
      <c r="KVL799" s="3796"/>
      <c r="KVM799" s="3796"/>
      <c r="KVN799" s="3796"/>
      <c r="KVO799" s="3796"/>
      <c r="KVP799" s="3796"/>
      <c r="KVQ799" s="3796"/>
      <c r="KVR799" s="3796"/>
      <c r="KVS799" s="3796"/>
      <c r="KVT799" s="3796"/>
      <c r="KVU799" s="3796"/>
      <c r="KVV799" s="3796"/>
      <c r="KVW799" s="3796"/>
      <c r="KVX799" s="3796"/>
      <c r="KVY799" s="3796"/>
      <c r="KVZ799" s="3796"/>
      <c r="KWA799" s="3796"/>
      <c r="KWB799" s="3796"/>
      <c r="KWC799" s="3796"/>
      <c r="KWD799" s="3796"/>
      <c r="KWE799" s="3796"/>
      <c r="KWF799" s="3796"/>
      <c r="KWG799" s="3796"/>
      <c r="KWH799" s="3796"/>
      <c r="KWI799" s="3796"/>
      <c r="KWJ799" s="3796"/>
      <c r="KWK799" s="3796"/>
      <c r="KWL799" s="3796"/>
      <c r="KWM799" s="3796"/>
      <c r="KWN799" s="3796"/>
      <c r="KWO799" s="3796"/>
      <c r="KWP799" s="3796"/>
      <c r="KWQ799" s="3796"/>
      <c r="KWR799" s="3796"/>
      <c r="KWS799" s="3796"/>
      <c r="KWT799" s="3796"/>
      <c r="KWU799" s="3796"/>
      <c r="KWV799" s="3796"/>
      <c r="KWW799" s="3796"/>
      <c r="KWX799" s="3796"/>
      <c r="KWY799" s="3796"/>
      <c r="KWZ799" s="3796"/>
      <c r="KXA799" s="3796"/>
      <c r="KXB799" s="3796"/>
      <c r="KXC799" s="3796"/>
      <c r="KXD799" s="3796"/>
      <c r="KXE799" s="3796"/>
      <c r="KXF799" s="3796"/>
      <c r="KXG799" s="3796"/>
      <c r="KXH799" s="3796"/>
      <c r="KXI799" s="3796"/>
      <c r="KXJ799" s="3796"/>
      <c r="KXK799" s="3796"/>
      <c r="KXL799" s="3796"/>
      <c r="KXM799" s="3796"/>
      <c r="KXN799" s="3796"/>
      <c r="KXO799" s="3796"/>
      <c r="KXP799" s="3796"/>
      <c r="KXQ799" s="3796"/>
      <c r="KXR799" s="3796"/>
      <c r="KXS799" s="3796"/>
      <c r="KXT799" s="3796"/>
      <c r="KXU799" s="3796"/>
      <c r="KXV799" s="3796"/>
      <c r="KXW799" s="3796"/>
      <c r="KXX799" s="3796"/>
      <c r="KXY799" s="3796"/>
      <c r="KXZ799" s="3796"/>
      <c r="KYA799" s="3796"/>
      <c r="KYB799" s="3796"/>
      <c r="KYC799" s="3796"/>
      <c r="KYD799" s="3796"/>
      <c r="KYE799" s="3796"/>
      <c r="KYF799" s="3796"/>
      <c r="KYG799" s="3796"/>
      <c r="KYH799" s="3796"/>
      <c r="KYI799" s="3796"/>
      <c r="KYJ799" s="3796"/>
      <c r="KYK799" s="3796"/>
      <c r="KYL799" s="3796"/>
      <c r="KYM799" s="3796"/>
      <c r="KYN799" s="3796"/>
      <c r="KYO799" s="3796"/>
      <c r="KYP799" s="3796"/>
      <c r="KYQ799" s="3796"/>
      <c r="KYR799" s="3796"/>
      <c r="KYS799" s="3796"/>
      <c r="KYT799" s="3796"/>
      <c r="KYU799" s="3796"/>
      <c r="KYV799" s="3796"/>
      <c r="KYW799" s="3796"/>
      <c r="KYX799" s="3796"/>
      <c r="KYY799" s="3796"/>
      <c r="KYZ799" s="3796"/>
      <c r="KZA799" s="3796"/>
      <c r="KZB799" s="3796"/>
      <c r="KZC799" s="3796"/>
      <c r="KZD799" s="3796"/>
      <c r="KZE799" s="3796"/>
      <c r="KZF799" s="3796"/>
      <c r="KZG799" s="3796"/>
      <c r="KZH799" s="3796"/>
      <c r="KZI799" s="3796"/>
      <c r="KZJ799" s="3796"/>
      <c r="KZK799" s="3796"/>
      <c r="KZL799" s="3796"/>
      <c r="KZM799" s="3796"/>
      <c r="KZN799" s="3796"/>
      <c r="KZO799" s="3796"/>
      <c r="KZP799" s="3796"/>
      <c r="KZQ799" s="3796"/>
      <c r="KZR799" s="3796"/>
      <c r="KZS799" s="3796"/>
      <c r="KZT799" s="3796"/>
      <c r="KZU799" s="3796"/>
      <c r="KZV799" s="3796"/>
      <c r="KZW799" s="3796"/>
      <c r="KZX799" s="3796"/>
      <c r="KZY799" s="3796"/>
      <c r="KZZ799" s="3796"/>
      <c r="LAA799" s="3796"/>
      <c r="LAB799" s="3796"/>
      <c r="LAC799" s="3796"/>
      <c r="LAD799" s="3796"/>
      <c r="LAE799" s="3796"/>
      <c r="LAF799" s="3796"/>
      <c r="LAG799" s="3796"/>
      <c r="LAH799" s="3796"/>
      <c r="LAI799" s="3796"/>
      <c r="LAJ799" s="3796"/>
      <c r="LAK799" s="3796"/>
      <c r="LAL799" s="3796"/>
      <c r="LAM799" s="3796"/>
      <c r="LAN799" s="3796"/>
      <c r="LAO799" s="3796"/>
      <c r="LAP799" s="3796"/>
      <c r="LAQ799" s="3796"/>
      <c r="LAR799" s="3796"/>
      <c r="LAS799" s="3796"/>
      <c r="LAT799" s="3796"/>
      <c r="LAU799" s="3796"/>
      <c r="LAV799" s="3796"/>
      <c r="LAW799" s="3796"/>
      <c r="LAX799" s="3796"/>
      <c r="LAY799" s="3796"/>
      <c r="LAZ799" s="3796"/>
      <c r="LBA799" s="3796"/>
      <c r="LBB799" s="3796"/>
      <c r="LBC799" s="3796"/>
      <c r="LBD799" s="3796"/>
      <c r="LBE799" s="3796"/>
      <c r="LBF799" s="3796"/>
      <c r="LBG799" s="3796"/>
      <c r="LBH799" s="3796"/>
      <c r="LBI799" s="3796"/>
      <c r="LBJ799" s="3796"/>
      <c r="LBK799" s="3796"/>
      <c r="LBL799" s="3796"/>
      <c r="LBM799" s="3796"/>
      <c r="LBN799" s="3796"/>
      <c r="LBO799" s="3796"/>
      <c r="LBP799" s="3796"/>
      <c r="LBQ799" s="3796"/>
      <c r="LBR799" s="3796"/>
      <c r="LBS799" s="3796"/>
      <c r="LBT799" s="3796"/>
      <c r="LBU799" s="3796"/>
      <c r="LBV799" s="3796"/>
      <c r="LBW799" s="3796"/>
      <c r="LBX799" s="3796"/>
      <c r="LBY799" s="3796"/>
      <c r="LBZ799" s="3796"/>
      <c r="LCA799" s="3796"/>
      <c r="LCB799" s="3796"/>
      <c r="LCC799" s="3796"/>
      <c r="LCH799" s="3796"/>
      <c r="LCN799" s="3796"/>
      <c r="LCO799" s="3796"/>
      <c r="LCP799" s="3796"/>
      <c r="LCT799" s="3796"/>
      <c r="LDA799" s="3796"/>
      <c r="LDB799" s="3796"/>
      <c r="LDC799" s="3796"/>
      <c r="LDD799" s="3796"/>
      <c r="LDE799" s="3796"/>
      <c r="LDF799" s="3796"/>
      <c r="LDG799" s="3796"/>
      <c r="LDH799" s="3796"/>
      <c r="LDI799" s="3796"/>
      <c r="LDJ799" s="3796"/>
      <c r="LDK799" s="3796"/>
      <c r="LDL799" s="3796"/>
      <c r="LDM799" s="3796"/>
      <c r="LDN799" s="3796"/>
      <c r="LDO799" s="3796"/>
      <c r="LDP799" s="3796"/>
      <c r="LDQ799" s="3796"/>
      <c r="LDR799" s="3796"/>
      <c r="LDS799" s="3796"/>
      <c r="LDT799" s="3796"/>
      <c r="LDU799" s="3796"/>
      <c r="LDV799" s="3796"/>
      <c r="LDW799" s="3796"/>
      <c r="LDX799" s="3796"/>
      <c r="LDY799" s="3796"/>
      <c r="LDZ799" s="3796"/>
      <c r="LEA799" s="3796"/>
      <c r="LEB799" s="3796"/>
      <c r="LEC799" s="3796"/>
      <c r="LED799" s="3796"/>
      <c r="LEE799" s="3796"/>
      <c r="LEF799" s="3796"/>
      <c r="LEG799" s="3796"/>
      <c r="LEH799" s="3796"/>
      <c r="LEI799" s="3796"/>
      <c r="LEJ799" s="3796"/>
      <c r="LEK799" s="3796"/>
      <c r="LEL799" s="3796"/>
      <c r="LEM799" s="3796"/>
      <c r="LEN799" s="3796"/>
      <c r="LEO799" s="3796"/>
      <c r="LEP799" s="3796"/>
      <c r="LEQ799" s="3796"/>
      <c r="LER799" s="3796"/>
      <c r="LES799" s="3796"/>
      <c r="LET799" s="3796"/>
      <c r="LEU799" s="3796"/>
      <c r="LEV799" s="3796"/>
      <c r="LEW799" s="3796"/>
      <c r="LEX799" s="3796"/>
      <c r="LEY799" s="3796"/>
      <c r="LEZ799" s="3796"/>
      <c r="LFA799" s="3796"/>
      <c r="LFB799" s="3796"/>
      <c r="LFC799" s="3796"/>
      <c r="LFD799" s="3796"/>
      <c r="LFE799" s="3796"/>
      <c r="LFF799" s="3796"/>
      <c r="LFG799" s="3796"/>
      <c r="LFH799" s="3796"/>
      <c r="LFI799" s="3796"/>
      <c r="LFJ799" s="3796"/>
      <c r="LFK799" s="3796"/>
      <c r="LFL799" s="3796"/>
      <c r="LFM799" s="3796"/>
      <c r="LFN799" s="3796"/>
      <c r="LFO799" s="3796"/>
      <c r="LFP799" s="3796"/>
      <c r="LFQ799" s="3796"/>
      <c r="LFR799" s="3796"/>
      <c r="LFS799" s="3796"/>
      <c r="LFT799" s="3796"/>
      <c r="LFU799" s="3796"/>
      <c r="LFV799" s="3796"/>
      <c r="LFW799" s="3796"/>
      <c r="LFX799" s="3796"/>
      <c r="LFY799" s="3796"/>
      <c r="LFZ799" s="3796"/>
      <c r="LGA799" s="3796"/>
      <c r="LGB799" s="3796"/>
      <c r="LGC799" s="3796"/>
      <c r="LGD799" s="3796"/>
      <c r="LGE799" s="3796"/>
      <c r="LGF799" s="3796"/>
      <c r="LGG799" s="3796"/>
      <c r="LGH799" s="3796"/>
      <c r="LGI799" s="3796"/>
      <c r="LGJ799" s="3796"/>
      <c r="LGK799" s="3796"/>
      <c r="LGL799" s="3796"/>
      <c r="LGM799" s="3796"/>
      <c r="LGN799" s="3796"/>
      <c r="LGO799" s="3796"/>
      <c r="LGP799" s="3796"/>
      <c r="LGQ799" s="3796"/>
      <c r="LGR799" s="3796"/>
      <c r="LGS799" s="3796"/>
      <c r="LGT799" s="3796"/>
      <c r="LGU799" s="3796"/>
      <c r="LGV799" s="3796"/>
      <c r="LGW799" s="3796"/>
      <c r="LGX799" s="3796"/>
      <c r="LGY799" s="3796"/>
      <c r="LGZ799" s="3796"/>
      <c r="LHA799" s="3796"/>
      <c r="LHB799" s="3796"/>
      <c r="LHC799" s="3796"/>
      <c r="LHD799" s="3796"/>
      <c r="LHE799" s="3796"/>
      <c r="LHF799" s="3796"/>
      <c r="LHG799" s="3796"/>
      <c r="LHH799" s="3796"/>
      <c r="LHI799" s="3796"/>
      <c r="LHJ799" s="3796"/>
      <c r="LHK799" s="3796"/>
      <c r="LHL799" s="3796"/>
      <c r="LHM799" s="3796"/>
      <c r="LHN799" s="3796"/>
      <c r="LHO799" s="3796"/>
      <c r="LHP799" s="3796"/>
      <c r="LHQ799" s="3796"/>
      <c r="LHR799" s="3796"/>
      <c r="LHS799" s="3796"/>
      <c r="LHT799" s="3796"/>
      <c r="LHU799" s="3796"/>
      <c r="LHV799" s="3796"/>
      <c r="LHW799" s="3796"/>
      <c r="LHX799" s="3796"/>
      <c r="LHY799" s="3796"/>
      <c r="LHZ799" s="3796"/>
      <c r="LIA799" s="3796"/>
      <c r="LIB799" s="3796"/>
      <c r="LIC799" s="3796"/>
      <c r="LID799" s="3796"/>
      <c r="LIE799" s="3796"/>
      <c r="LIF799" s="3796"/>
      <c r="LIG799" s="3796"/>
      <c r="LIH799" s="3796"/>
      <c r="LII799" s="3796"/>
      <c r="LIJ799" s="3796"/>
      <c r="LIK799" s="3796"/>
      <c r="LIL799" s="3796"/>
      <c r="LIM799" s="3796"/>
      <c r="LIN799" s="3796"/>
      <c r="LIO799" s="3796"/>
      <c r="LIP799" s="3796"/>
      <c r="LIQ799" s="3796"/>
      <c r="LIR799" s="3796"/>
      <c r="LIS799" s="3796"/>
      <c r="LIT799" s="3796"/>
      <c r="LIU799" s="3796"/>
      <c r="LIV799" s="3796"/>
      <c r="LIW799" s="3796"/>
      <c r="LIX799" s="3796"/>
      <c r="LIY799" s="3796"/>
      <c r="LIZ799" s="3796"/>
      <c r="LJA799" s="3796"/>
      <c r="LJB799" s="3796"/>
      <c r="LJC799" s="3796"/>
      <c r="LJD799" s="3796"/>
      <c r="LJE799" s="3796"/>
      <c r="LJF799" s="3796"/>
      <c r="LJG799" s="3796"/>
      <c r="LJH799" s="3796"/>
      <c r="LJI799" s="3796"/>
      <c r="LJJ799" s="3796"/>
      <c r="LJK799" s="3796"/>
      <c r="LJL799" s="3796"/>
      <c r="LJM799" s="3796"/>
      <c r="LJN799" s="3796"/>
      <c r="LJO799" s="3796"/>
      <c r="LJP799" s="3796"/>
      <c r="LJQ799" s="3796"/>
      <c r="LJR799" s="3796"/>
      <c r="LJS799" s="3796"/>
      <c r="LJT799" s="3796"/>
      <c r="LJU799" s="3796"/>
      <c r="LJV799" s="3796"/>
      <c r="LJW799" s="3796"/>
      <c r="LJX799" s="3796"/>
      <c r="LJY799" s="3796"/>
      <c r="LJZ799" s="3796"/>
      <c r="LKA799" s="3796"/>
      <c r="LKB799" s="3796"/>
      <c r="LKC799" s="3796"/>
      <c r="LKD799" s="3796"/>
      <c r="LKE799" s="3796"/>
      <c r="LKF799" s="3796"/>
      <c r="LKG799" s="3796"/>
      <c r="LKH799" s="3796"/>
      <c r="LKI799" s="3796"/>
      <c r="LKJ799" s="3796"/>
      <c r="LKK799" s="3796"/>
      <c r="LKL799" s="3796"/>
      <c r="LKM799" s="3796"/>
      <c r="LKN799" s="3796"/>
      <c r="LKO799" s="3796"/>
      <c r="LKP799" s="3796"/>
      <c r="LKQ799" s="3796"/>
      <c r="LKR799" s="3796"/>
      <c r="LKS799" s="3796"/>
      <c r="LKT799" s="3796"/>
      <c r="LKU799" s="3796"/>
      <c r="LKV799" s="3796"/>
      <c r="LKW799" s="3796"/>
      <c r="LKX799" s="3796"/>
      <c r="LKY799" s="3796"/>
      <c r="LKZ799" s="3796"/>
      <c r="LLA799" s="3796"/>
      <c r="LLB799" s="3796"/>
      <c r="LLC799" s="3796"/>
      <c r="LLD799" s="3796"/>
      <c r="LLE799" s="3796"/>
      <c r="LLF799" s="3796"/>
      <c r="LLG799" s="3796"/>
      <c r="LLH799" s="3796"/>
      <c r="LLI799" s="3796"/>
      <c r="LLJ799" s="3796"/>
      <c r="LLK799" s="3796"/>
      <c r="LLL799" s="3796"/>
      <c r="LLM799" s="3796"/>
      <c r="LLN799" s="3796"/>
      <c r="LLO799" s="3796"/>
      <c r="LLP799" s="3796"/>
      <c r="LLQ799" s="3796"/>
      <c r="LLR799" s="3796"/>
      <c r="LLS799" s="3796"/>
      <c r="LLT799" s="3796"/>
      <c r="LLU799" s="3796"/>
      <c r="LLV799" s="3796"/>
      <c r="LLW799" s="3796"/>
      <c r="LLX799" s="3796"/>
      <c r="LLY799" s="3796"/>
      <c r="LMD799" s="3796"/>
      <c r="LMJ799" s="3796"/>
      <c r="LMK799" s="3796"/>
      <c r="LML799" s="3796"/>
      <c r="LMP799" s="3796"/>
      <c r="LMW799" s="3796"/>
      <c r="LMX799" s="3796"/>
      <c r="LMY799" s="3796"/>
      <c r="LMZ799" s="3796"/>
      <c r="LNA799" s="3796"/>
      <c r="LNB799" s="3796"/>
      <c r="LNC799" s="3796"/>
      <c r="LND799" s="3796"/>
      <c r="LNE799" s="3796"/>
      <c r="LNF799" s="3796"/>
      <c r="LNG799" s="3796"/>
      <c r="LNH799" s="3796"/>
      <c r="LNI799" s="3796"/>
      <c r="LNJ799" s="3796"/>
      <c r="LNK799" s="3796"/>
      <c r="LNL799" s="3796"/>
      <c r="LNM799" s="3796"/>
      <c r="LNN799" s="3796"/>
      <c r="LNO799" s="3796"/>
      <c r="LNP799" s="3796"/>
      <c r="LNQ799" s="3796"/>
      <c r="LNR799" s="3796"/>
      <c r="LNS799" s="3796"/>
      <c r="LNT799" s="3796"/>
      <c r="LNU799" s="3796"/>
      <c r="LNV799" s="3796"/>
      <c r="LNW799" s="3796"/>
      <c r="LNX799" s="3796"/>
      <c r="LNY799" s="3796"/>
      <c r="LNZ799" s="3796"/>
      <c r="LOA799" s="3796"/>
      <c r="LOB799" s="3796"/>
      <c r="LOC799" s="3796"/>
      <c r="LOD799" s="3796"/>
      <c r="LOE799" s="3796"/>
      <c r="LOF799" s="3796"/>
      <c r="LOG799" s="3796"/>
      <c r="LOH799" s="3796"/>
      <c r="LOI799" s="3796"/>
      <c r="LOJ799" s="3796"/>
      <c r="LOK799" s="3796"/>
      <c r="LOL799" s="3796"/>
      <c r="LOM799" s="3796"/>
      <c r="LON799" s="3796"/>
      <c r="LOO799" s="3796"/>
      <c r="LOP799" s="3796"/>
      <c r="LOQ799" s="3796"/>
      <c r="LOR799" s="3796"/>
      <c r="LOS799" s="3796"/>
      <c r="LOT799" s="3796"/>
      <c r="LOU799" s="3796"/>
      <c r="LOV799" s="3796"/>
      <c r="LOW799" s="3796"/>
      <c r="LOX799" s="3796"/>
      <c r="LOY799" s="3796"/>
      <c r="LOZ799" s="3796"/>
      <c r="LPA799" s="3796"/>
      <c r="LPB799" s="3796"/>
      <c r="LPC799" s="3796"/>
      <c r="LPD799" s="3796"/>
      <c r="LPE799" s="3796"/>
      <c r="LPF799" s="3796"/>
      <c r="LPG799" s="3796"/>
      <c r="LPH799" s="3796"/>
      <c r="LPI799" s="3796"/>
      <c r="LPJ799" s="3796"/>
      <c r="LPK799" s="3796"/>
      <c r="LPL799" s="3796"/>
      <c r="LPM799" s="3796"/>
      <c r="LPN799" s="3796"/>
      <c r="LPO799" s="3796"/>
      <c r="LPP799" s="3796"/>
      <c r="LPQ799" s="3796"/>
      <c r="LPR799" s="3796"/>
      <c r="LPS799" s="3796"/>
      <c r="LPT799" s="3796"/>
      <c r="LPU799" s="3796"/>
      <c r="LPV799" s="3796"/>
      <c r="LPW799" s="3796"/>
      <c r="LPX799" s="3796"/>
      <c r="LPY799" s="3796"/>
      <c r="LPZ799" s="3796"/>
      <c r="LQA799" s="3796"/>
      <c r="LQB799" s="3796"/>
      <c r="LQC799" s="3796"/>
      <c r="LQD799" s="3796"/>
      <c r="LQE799" s="3796"/>
      <c r="LQF799" s="3796"/>
      <c r="LQG799" s="3796"/>
      <c r="LQH799" s="3796"/>
      <c r="LQI799" s="3796"/>
      <c r="LQJ799" s="3796"/>
      <c r="LQK799" s="3796"/>
      <c r="LQL799" s="3796"/>
      <c r="LQM799" s="3796"/>
      <c r="LQN799" s="3796"/>
      <c r="LQO799" s="3796"/>
      <c r="LQP799" s="3796"/>
      <c r="LQQ799" s="3796"/>
      <c r="LQR799" s="3796"/>
      <c r="LQS799" s="3796"/>
      <c r="LQT799" s="3796"/>
      <c r="LQU799" s="3796"/>
      <c r="LQV799" s="3796"/>
      <c r="LQW799" s="3796"/>
      <c r="LQX799" s="3796"/>
      <c r="LQY799" s="3796"/>
      <c r="LQZ799" s="3796"/>
      <c r="LRA799" s="3796"/>
      <c r="LRB799" s="3796"/>
      <c r="LRC799" s="3796"/>
      <c r="LRD799" s="3796"/>
      <c r="LRE799" s="3796"/>
      <c r="LRF799" s="3796"/>
      <c r="LRG799" s="3796"/>
      <c r="LRH799" s="3796"/>
      <c r="LRI799" s="3796"/>
      <c r="LRJ799" s="3796"/>
      <c r="LRK799" s="3796"/>
      <c r="LRL799" s="3796"/>
      <c r="LRM799" s="3796"/>
      <c r="LRN799" s="3796"/>
      <c r="LRO799" s="3796"/>
      <c r="LRP799" s="3796"/>
      <c r="LRQ799" s="3796"/>
      <c r="LRR799" s="3796"/>
      <c r="LRS799" s="3796"/>
      <c r="LRT799" s="3796"/>
      <c r="LRU799" s="3796"/>
      <c r="LRV799" s="3796"/>
      <c r="LRW799" s="3796"/>
      <c r="LRX799" s="3796"/>
      <c r="LRY799" s="3796"/>
      <c r="LRZ799" s="3796"/>
      <c r="LSA799" s="3796"/>
      <c r="LSB799" s="3796"/>
      <c r="LSC799" s="3796"/>
      <c r="LSD799" s="3796"/>
      <c r="LSE799" s="3796"/>
      <c r="LSF799" s="3796"/>
      <c r="LSG799" s="3796"/>
      <c r="LSH799" s="3796"/>
      <c r="LSI799" s="3796"/>
      <c r="LSJ799" s="3796"/>
      <c r="LSK799" s="3796"/>
      <c r="LSL799" s="3796"/>
      <c r="LSM799" s="3796"/>
      <c r="LSN799" s="3796"/>
      <c r="LSO799" s="3796"/>
      <c r="LSP799" s="3796"/>
      <c r="LSQ799" s="3796"/>
      <c r="LSR799" s="3796"/>
      <c r="LSS799" s="3796"/>
      <c r="LST799" s="3796"/>
      <c r="LSU799" s="3796"/>
      <c r="LSV799" s="3796"/>
      <c r="LSW799" s="3796"/>
      <c r="LSX799" s="3796"/>
      <c r="LSY799" s="3796"/>
      <c r="LSZ799" s="3796"/>
      <c r="LTA799" s="3796"/>
      <c r="LTB799" s="3796"/>
      <c r="LTC799" s="3796"/>
      <c r="LTD799" s="3796"/>
      <c r="LTE799" s="3796"/>
      <c r="LTF799" s="3796"/>
      <c r="LTG799" s="3796"/>
      <c r="LTH799" s="3796"/>
      <c r="LTI799" s="3796"/>
      <c r="LTJ799" s="3796"/>
      <c r="LTK799" s="3796"/>
      <c r="LTL799" s="3796"/>
      <c r="LTM799" s="3796"/>
      <c r="LTN799" s="3796"/>
      <c r="LTO799" s="3796"/>
      <c r="LTP799" s="3796"/>
      <c r="LTQ799" s="3796"/>
      <c r="LTR799" s="3796"/>
      <c r="LTS799" s="3796"/>
      <c r="LTT799" s="3796"/>
      <c r="LTU799" s="3796"/>
      <c r="LTV799" s="3796"/>
      <c r="LTW799" s="3796"/>
      <c r="LTX799" s="3796"/>
      <c r="LTY799" s="3796"/>
      <c r="LTZ799" s="3796"/>
      <c r="LUA799" s="3796"/>
      <c r="LUB799" s="3796"/>
      <c r="LUC799" s="3796"/>
      <c r="LUD799" s="3796"/>
      <c r="LUE799" s="3796"/>
      <c r="LUF799" s="3796"/>
      <c r="LUG799" s="3796"/>
      <c r="LUH799" s="3796"/>
      <c r="LUI799" s="3796"/>
      <c r="LUJ799" s="3796"/>
      <c r="LUK799" s="3796"/>
      <c r="LUL799" s="3796"/>
      <c r="LUM799" s="3796"/>
      <c r="LUN799" s="3796"/>
      <c r="LUO799" s="3796"/>
      <c r="LUP799" s="3796"/>
      <c r="LUQ799" s="3796"/>
      <c r="LUR799" s="3796"/>
      <c r="LUS799" s="3796"/>
      <c r="LUT799" s="3796"/>
      <c r="LUU799" s="3796"/>
      <c r="LUV799" s="3796"/>
      <c r="LUW799" s="3796"/>
      <c r="LUX799" s="3796"/>
      <c r="LUY799" s="3796"/>
      <c r="LUZ799" s="3796"/>
      <c r="LVA799" s="3796"/>
      <c r="LVB799" s="3796"/>
      <c r="LVC799" s="3796"/>
      <c r="LVD799" s="3796"/>
      <c r="LVE799" s="3796"/>
      <c r="LVF799" s="3796"/>
      <c r="LVG799" s="3796"/>
      <c r="LVH799" s="3796"/>
      <c r="LVI799" s="3796"/>
      <c r="LVJ799" s="3796"/>
      <c r="LVK799" s="3796"/>
      <c r="LVL799" s="3796"/>
      <c r="LVM799" s="3796"/>
      <c r="LVN799" s="3796"/>
      <c r="LVO799" s="3796"/>
      <c r="LVP799" s="3796"/>
      <c r="LVQ799" s="3796"/>
      <c r="LVR799" s="3796"/>
      <c r="LVS799" s="3796"/>
      <c r="LVT799" s="3796"/>
      <c r="LVU799" s="3796"/>
      <c r="LVZ799" s="3796"/>
      <c r="LWF799" s="3796"/>
      <c r="LWG799" s="3796"/>
      <c r="LWH799" s="3796"/>
      <c r="LWL799" s="3796"/>
      <c r="LWS799" s="3796"/>
      <c r="LWT799" s="3796"/>
      <c r="LWU799" s="3796"/>
      <c r="LWV799" s="3796"/>
      <c r="LWW799" s="3796"/>
      <c r="LWX799" s="3796"/>
      <c r="LWY799" s="3796"/>
      <c r="LWZ799" s="3796"/>
      <c r="LXA799" s="3796"/>
      <c r="LXB799" s="3796"/>
      <c r="LXC799" s="3796"/>
      <c r="LXD799" s="3796"/>
      <c r="LXE799" s="3796"/>
      <c r="LXF799" s="3796"/>
      <c r="LXG799" s="3796"/>
      <c r="LXH799" s="3796"/>
      <c r="LXI799" s="3796"/>
      <c r="LXJ799" s="3796"/>
      <c r="LXK799" s="3796"/>
      <c r="LXL799" s="3796"/>
      <c r="LXM799" s="3796"/>
      <c r="LXN799" s="3796"/>
      <c r="LXO799" s="3796"/>
      <c r="LXP799" s="3796"/>
      <c r="LXQ799" s="3796"/>
      <c r="LXR799" s="3796"/>
      <c r="LXS799" s="3796"/>
      <c r="LXT799" s="3796"/>
      <c r="LXU799" s="3796"/>
      <c r="LXV799" s="3796"/>
      <c r="LXW799" s="3796"/>
      <c r="LXX799" s="3796"/>
      <c r="LXY799" s="3796"/>
      <c r="LXZ799" s="3796"/>
      <c r="LYA799" s="3796"/>
      <c r="LYB799" s="3796"/>
      <c r="LYC799" s="3796"/>
      <c r="LYD799" s="3796"/>
      <c r="LYE799" s="3796"/>
      <c r="LYF799" s="3796"/>
      <c r="LYG799" s="3796"/>
      <c r="LYH799" s="3796"/>
      <c r="LYI799" s="3796"/>
      <c r="LYJ799" s="3796"/>
      <c r="LYK799" s="3796"/>
      <c r="LYL799" s="3796"/>
      <c r="LYM799" s="3796"/>
      <c r="LYN799" s="3796"/>
      <c r="LYO799" s="3796"/>
      <c r="LYP799" s="3796"/>
      <c r="LYQ799" s="3796"/>
      <c r="LYR799" s="3796"/>
      <c r="LYS799" s="3796"/>
      <c r="LYT799" s="3796"/>
      <c r="LYU799" s="3796"/>
      <c r="LYV799" s="3796"/>
      <c r="LYW799" s="3796"/>
      <c r="LYX799" s="3796"/>
      <c r="LYY799" s="3796"/>
      <c r="LYZ799" s="3796"/>
      <c r="LZA799" s="3796"/>
      <c r="LZB799" s="3796"/>
      <c r="LZC799" s="3796"/>
      <c r="LZD799" s="3796"/>
      <c r="LZE799" s="3796"/>
      <c r="LZF799" s="3796"/>
      <c r="LZG799" s="3796"/>
      <c r="LZH799" s="3796"/>
      <c r="LZI799" s="3796"/>
      <c r="LZJ799" s="3796"/>
      <c r="LZK799" s="3796"/>
      <c r="LZL799" s="3796"/>
      <c r="LZM799" s="3796"/>
      <c r="LZN799" s="3796"/>
      <c r="LZO799" s="3796"/>
      <c r="LZP799" s="3796"/>
      <c r="LZQ799" s="3796"/>
      <c r="LZR799" s="3796"/>
      <c r="LZS799" s="3796"/>
      <c r="LZT799" s="3796"/>
      <c r="LZU799" s="3796"/>
      <c r="LZV799" s="3796"/>
      <c r="LZW799" s="3796"/>
      <c r="LZX799" s="3796"/>
      <c r="LZY799" s="3796"/>
      <c r="LZZ799" s="3796"/>
      <c r="MAA799" s="3796"/>
      <c r="MAB799" s="3796"/>
      <c r="MAC799" s="3796"/>
      <c r="MAD799" s="3796"/>
      <c r="MAE799" s="3796"/>
      <c r="MAF799" s="3796"/>
      <c r="MAG799" s="3796"/>
      <c r="MAH799" s="3796"/>
      <c r="MAI799" s="3796"/>
      <c r="MAJ799" s="3796"/>
      <c r="MAK799" s="3796"/>
      <c r="MAL799" s="3796"/>
      <c r="MAM799" s="3796"/>
      <c r="MAN799" s="3796"/>
      <c r="MAO799" s="3796"/>
      <c r="MAP799" s="3796"/>
      <c r="MAQ799" s="3796"/>
      <c r="MAR799" s="3796"/>
      <c r="MAS799" s="3796"/>
      <c r="MAT799" s="3796"/>
      <c r="MAU799" s="3796"/>
      <c r="MAV799" s="3796"/>
      <c r="MAW799" s="3796"/>
      <c r="MAX799" s="3796"/>
      <c r="MAY799" s="3796"/>
      <c r="MAZ799" s="3796"/>
      <c r="MBA799" s="3796"/>
      <c r="MBB799" s="3796"/>
      <c r="MBC799" s="3796"/>
      <c r="MBD799" s="3796"/>
      <c r="MBE799" s="3796"/>
      <c r="MBF799" s="3796"/>
      <c r="MBG799" s="3796"/>
      <c r="MBH799" s="3796"/>
      <c r="MBI799" s="3796"/>
      <c r="MBJ799" s="3796"/>
      <c r="MBK799" s="3796"/>
      <c r="MBL799" s="3796"/>
      <c r="MBM799" s="3796"/>
      <c r="MBN799" s="3796"/>
      <c r="MBO799" s="3796"/>
      <c r="MBP799" s="3796"/>
      <c r="MBQ799" s="3796"/>
      <c r="MBR799" s="3796"/>
      <c r="MBS799" s="3796"/>
      <c r="MBT799" s="3796"/>
      <c r="MBU799" s="3796"/>
      <c r="MBV799" s="3796"/>
      <c r="MBW799" s="3796"/>
      <c r="MBX799" s="3796"/>
      <c r="MBY799" s="3796"/>
      <c r="MBZ799" s="3796"/>
      <c r="MCA799" s="3796"/>
      <c r="MCB799" s="3796"/>
      <c r="MCC799" s="3796"/>
      <c r="MCD799" s="3796"/>
      <c r="MCE799" s="3796"/>
      <c r="MCF799" s="3796"/>
      <c r="MCG799" s="3796"/>
      <c r="MCH799" s="3796"/>
      <c r="MCI799" s="3796"/>
      <c r="MCJ799" s="3796"/>
      <c r="MCK799" s="3796"/>
      <c r="MCL799" s="3796"/>
      <c r="MCM799" s="3796"/>
      <c r="MCN799" s="3796"/>
      <c r="MCO799" s="3796"/>
      <c r="MCP799" s="3796"/>
      <c r="MCQ799" s="3796"/>
      <c r="MCR799" s="3796"/>
      <c r="MCS799" s="3796"/>
      <c r="MCT799" s="3796"/>
      <c r="MCU799" s="3796"/>
      <c r="MCV799" s="3796"/>
      <c r="MCW799" s="3796"/>
      <c r="MCX799" s="3796"/>
      <c r="MCY799" s="3796"/>
      <c r="MCZ799" s="3796"/>
      <c r="MDA799" s="3796"/>
      <c r="MDB799" s="3796"/>
      <c r="MDC799" s="3796"/>
      <c r="MDD799" s="3796"/>
      <c r="MDE799" s="3796"/>
      <c r="MDF799" s="3796"/>
      <c r="MDG799" s="3796"/>
      <c r="MDH799" s="3796"/>
      <c r="MDI799" s="3796"/>
      <c r="MDJ799" s="3796"/>
      <c r="MDK799" s="3796"/>
      <c r="MDL799" s="3796"/>
      <c r="MDM799" s="3796"/>
      <c r="MDN799" s="3796"/>
      <c r="MDO799" s="3796"/>
      <c r="MDP799" s="3796"/>
      <c r="MDQ799" s="3796"/>
      <c r="MDR799" s="3796"/>
      <c r="MDS799" s="3796"/>
      <c r="MDT799" s="3796"/>
      <c r="MDU799" s="3796"/>
      <c r="MDV799" s="3796"/>
      <c r="MDW799" s="3796"/>
      <c r="MDX799" s="3796"/>
      <c r="MDY799" s="3796"/>
      <c r="MDZ799" s="3796"/>
      <c r="MEA799" s="3796"/>
      <c r="MEB799" s="3796"/>
      <c r="MEC799" s="3796"/>
      <c r="MED799" s="3796"/>
      <c r="MEE799" s="3796"/>
      <c r="MEF799" s="3796"/>
      <c r="MEG799" s="3796"/>
      <c r="MEH799" s="3796"/>
      <c r="MEI799" s="3796"/>
      <c r="MEJ799" s="3796"/>
      <c r="MEK799" s="3796"/>
      <c r="MEL799" s="3796"/>
      <c r="MEM799" s="3796"/>
      <c r="MEN799" s="3796"/>
      <c r="MEO799" s="3796"/>
      <c r="MEP799" s="3796"/>
      <c r="MEQ799" s="3796"/>
      <c r="MER799" s="3796"/>
      <c r="MES799" s="3796"/>
      <c r="MET799" s="3796"/>
      <c r="MEU799" s="3796"/>
      <c r="MEV799" s="3796"/>
      <c r="MEW799" s="3796"/>
      <c r="MEX799" s="3796"/>
      <c r="MEY799" s="3796"/>
      <c r="MEZ799" s="3796"/>
      <c r="MFA799" s="3796"/>
      <c r="MFB799" s="3796"/>
      <c r="MFC799" s="3796"/>
      <c r="MFD799" s="3796"/>
      <c r="MFE799" s="3796"/>
      <c r="MFF799" s="3796"/>
      <c r="MFG799" s="3796"/>
      <c r="MFH799" s="3796"/>
      <c r="MFI799" s="3796"/>
      <c r="MFJ799" s="3796"/>
      <c r="MFK799" s="3796"/>
      <c r="MFL799" s="3796"/>
      <c r="MFM799" s="3796"/>
      <c r="MFN799" s="3796"/>
      <c r="MFO799" s="3796"/>
      <c r="MFP799" s="3796"/>
      <c r="MFQ799" s="3796"/>
      <c r="MFV799" s="3796"/>
      <c r="MGB799" s="3796"/>
      <c r="MGC799" s="3796"/>
      <c r="MGD799" s="3796"/>
      <c r="MGH799" s="3796"/>
      <c r="MGO799" s="3796"/>
      <c r="MGP799" s="3796"/>
      <c r="MGQ799" s="3796"/>
      <c r="MGR799" s="3796"/>
      <c r="MGS799" s="3796"/>
      <c r="MGT799" s="3796"/>
      <c r="MGU799" s="3796"/>
      <c r="MGV799" s="3796"/>
      <c r="MGW799" s="3796"/>
      <c r="MGX799" s="3796"/>
      <c r="MGY799" s="3796"/>
      <c r="MGZ799" s="3796"/>
      <c r="MHA799" s="3796"/>
      <c r="MHB799" s="3796"/>
      <c r="MHC799" s="3796"/>
      <c r="MHD799" s="3796"/>
      <c r="MHE799" s="3796"/>
      <c r="MHF799" s="3796"/>
      <c r="MHG799" s="3796"/>
      <c r="MHH799" s="3796"/>
      <c r="MHI799" s="3796"/>
      <c r="MHJ799" s="3796"/>
      <c r="MHK799" s="3796"/>
      <c r="MHL799" s="3796"/>
      <c r="MHM799" s="3796"/>
      <c r="MHN799" s="3796"/>
      <c r="MHO799" s="3796"/>
      <c r="MHP799" s="3796"/>
      <c r="MHQ799" s="3796"/>
      <c r="MHR799" s="3796"/>
      <c r="MHS799" s="3796"/>
      <c r="MHT799" s="3796"/>
      <c r="MHU799" s="3796"/>
      <c r="MHV799" s="3796"/>
      <c r="MHW799" s="3796"/>
      <c r="MHX799" s="3796"/>
      <c r="MHY799" s="3796"/>
      <c r="MHZ799" s="3796"/>
      <c r="MIA799" s="3796"/>
      <c r="MIB799" s="3796"/>
      <c r="MIC799" s="3796"/>
      <c r="MID799" s="3796"/>
      <c r="MIE799" s="3796"/>
      <c r="MIF799" s="3796"/>
      <c r="MIG799" s="3796"/>
      <c r="MIH799" s="3796"/>
      <c r="MII799" s="3796"/>
      <c r="MIJ799" s="3796"/>
      <c r="MIK799" s="3796"/>
      <c r="MIL799" s="3796"/>
      <c r="MIM799" s="3796"/>
      <c r="MIN799" s="3796"/>
      <c r="MIO799" s="3796"/>
      <c r="MIP799" s="3796"/>
      <c r="MIQ799" s="3796"/>
      <c r="MIR799" s="3796"/>
      <c r="MIS799" s="3796"/>
      <c r="MIT799" s="3796"/>
      <c r="MIU799" s="3796"/>
      <c r="MIV799" s="3796"/>
      <c r="MIW799" s="3796"/>
      <c r="MIX799" s="3796"/>
      <c r="MIY799" s="3796"/>
      <c r="MIZ799" s="3796"/>
      <c r="MJA799" s="3796"/>
      <c r="MJB799" s="3796"/>
      <c r="MJC799" s="3796"/>
      <c r="MJD799" s="3796"/>
      <c r="MJE799" s="3796"/>
      <c r="MJF799" s="3796"/>
      <c r="MJG799" s="3796"/>
      <c r="MJH799" s="3796"/>
      <c r="MJI799" s="3796"/>
      <c r="MJJ799" s="3796"/>
      <c r="MJK799" s="3796"/>
      <c r="MJL799" s="3796"/>
      <c r="MJM799" s="3796"/>
      <c r="MJN799" s="3796"/>
      <c r="MJO799" s="3796"/>
      <c r="MJP799" s="3796"/>
      <c r="MJQ799" s="3796"/>
      <c r="MJR799" s="3796"/>
      <c r="MJS799" s="3796"/>
      <c r="MJT799" s="3796"/>
      <c r="MJU799" s="3796"/>
      <c r="MJV799" s="3796"/>
      <c r="MJW799" s="3796"/>
      <c r="MJX799" s="3796"/>
      <c r="MJY799" s="3796"/>
      <c r="MJZ799" s="3796"/>
      <c r="MKA799" s="3796"/>
      <c r="MKB799" s="3796"/>
      <c r="MKC799" s="3796"/>
      <c r="MKD799" s="3796"/>
      <c r="MKE799" s="3796"/>
      <c r="MKF799" s="3796"/>
      <c r="MKG799" s="3796"/>
      <c r="MKH799" s="3796"/>
      <c r="MKI799" s="3796"/>
      <c r="MKJ799" s="3796"/>
      <c r="MKK799" s="3796"/>
      <c r="MKL799" s="3796"/>
      <c r="MKM799" s="3796"/>
      <c r="MKN799" s="3796"/>
      <c r="MKO799" s="3796"/>
      <c r="MKP799" s="3796"/>
      <c r="MKQ799" s="3796"/>
      <c r="MKR799" s="3796"/>
      <c r="MKS799" s="3796"/>
      <c r="MKT799" s="3796"/>
      <c r="MKU799" s="3796"/>
      <c r="MKV799" s="3796"/>
      <c r="MKW799" s="3796"/>
      <c r="MKX799" s="3796"/>
      <c r="MKY799" s="3796"/>
      <c r="MKZ799" s="3796"/>
      <c r="MLA799" s="3796"/>
      <c r="MLB799" s="3796"/>
      <c r="MLC799" s="3796"/>
      <c r="MLD799" s="3796"/>
      <c r="MLE799" s="3796"/>
      <c r="MLF799" s="3796"/>
      <c r="MLG799" s="3796"/>
      <c r="MLH799" s="3796"/>
      <c r="MLI799" s="3796"/>
      <c r="MLJ799" s="3796"/>
      <c r="MLK799" s="3796"/>
      <c r="MLL799" s="3796"/>
      <c r="MLM799" s="3796"/>
      <c r="MLN799" s="3796"/>
      <c r="MLO799" s="3796"/>
      <c r="MLP799" s="3796"/>
      <c r="MLQ799" s="3796"/>
      <c r="MLR799" s="3796"/>
      <c r="MLS799" s="3796"/>
      <c r="MLT799" s="3796"/>
      <c r="MLU799" s="3796"/>
      <c r="MLV799" s="3796"/>
      <c r="MLW799" s="3796"/>
      <c r="MLX799" s="3796"/>
      <c r="MLY799" s="3796"/>
      <c r="MLZ799" s="3796"/>
      <c r="MMA799" s="3796"/>
      <c r="MMB799" s="3796"/>
      <c r="MMC799" s="3796"/>
      <c r="MMD799" s="3796"/>
      <c r="MME799" s="3796"/>
      <c r="MMF799" s="3796"/>
      <c r="MMG799" s="3796"/>
      <c r="MMH799" s="3796"/>
      <c r="MMI799" s="3796"/>
      <c r="MMJ799" s="3796"/>
      <c r="MMK799" s="3796"/>
      <c r="MML799" s="3796"/>
      <c r="MMM799" s="3796"/>
      <c r="MMN799" s="3796"/>
      <c r="MMO799" s="3796"/>
      <c r="MMP799" s="3796"/>
      <c r="MMQ799" s="3796"/>
      <c r="MMR799" s="3796"/>
      <c r="MMS799" s="3796"/>
      <c r="MMT799" s="3796"/>
      <c r="MMU799" s="3796"/>
      <c r="MMV799" s="3796"/>
      <c r="MMW799" s="3796"/>
      <c r="MMX799" s="3796"/>
      <c r="MMY799" s="3796"/>
      <c r="MMZ799" s="3796"/>
      <c r="MNA799" s="3796"/>
      <c r="MNB799" s="3796"/>
      <c r="MNC799" s="3796"/>
      <c r="MND799" s="3796"/>
      <c r="MNE799" s="3796"/>
      <c r="MNF799" s="3796"/>
      <c r="MNG799" s="3796"/>
      <c r="MNH799" s="3796"/>
      <c r="MNI799" s="3796"/>
      <c r="MNJ799" s="3796"/>
      <c r="MNK799" s="3796"/>
      <c r="MNL799" s="3796"/>
      <c r="MNM799" s="3796"/>
      <c r="MNN799" s="3796"/>
      <c r="MNO799" s="3796"/>
      <c r="MNP799" s="3796"/>
      <c r="MNQ799" s="3796"/>
      <c r="MNR799" s="3796"/>
      <c r="MNS799" s="3796"/>
      <c r="MNT799" s="3796"/>
      <c r="MNU799" s="3796"/>
      <c r="MNV799" s="3796"/>
      <c r="MNW799" s="3796"/>
      <c r="MNX799" s="3796"/>
      <c r="MNY799" s="3796"/>
      <c r="MNZ799" s="3796"/>
      <c r="MOA799" s="3796"/>
      <c r="MOB799" s="3796"/>
      <c r="MOC799" s="3796"/>
      <c r="MOD799" s="3796"/>
      <c r="MOE799" s="3796"/>
      <c r="MOF799" s="3796"/>
      <c r="MOG799" s="3796"/>
      <c r="MOH799" s="3796"/>
      <c r="MOI799" s="3796"/>
      <c r="MOJ799" s="3796"/>
      <c r="MOK799" s="3796"/>
      <c r="MOL799" s="3796"/>
      <c r="MOM799" s="3796"/>
      <c r="MON799" s="3796"/>
      <c r="MOO799" s="3796"/>
      <c r="MOP799" s="3796"/>
      <c r="MOQ799" s="3796"/>
      <c r="MOR799" s="3796"/>
      <c r="MOS799" s="3796"/>
      <c r="MOT799" s="3796"/>
      <c r="MOU799" s="3796"/>
      <c r="MOV799" s="3796"/>
      <c r="MOW799" s="3796"/>
      <c r="MOX799" s="3796"/>
      <c r="MOY799" s="3796"/>
      <c r="MOZ799" s="3796"/>
      <c r="MPA799" s="3796"/>
      <c r="MPB799" s="3796"/>
      <c r="MPC799" s="3796"/>
      <c r="MPD799" s="3796"/>
      <c r="MPE799" s="3796"/>
      <c r="MPF799" s="3796"/>
      <c r="MPG799" s="3796"/>
      <c r="MPH799" s="3796"/>
      <c r="MPI799" s="3796"/>
      <c r="MPJ799" s="3796"/>
      <c r="MPK799" s="3796"/>
      <c r="MPL799" s="3796"/>
      <c r="MPM799" s="3796"/>
      <c r="MPR799" s="3796"/>
      <c r="MPX799" s="3796"/>
      <c r="MPY799" s="3796"/>
      <c r="MPZ799" s="3796"/>
      <c r="MQD799" s="3796"/>
      <c r="MQK799" s="3796"/>
      <c r="MQL799" s="3796"/>
      <c r="MQM799" s="3796"/>
      <c r="MQN799" s="3796"/>
      <c r="MQO799" s="3796"/>
      <c r="MQP799" s="3796"/>
      <c r="MQQ799" s="3796"/>
      <c r="MQR799" s="3796"/>
      <c r="MQS799" s="3796"/>
      <c r="MQT799" s="3796"/>
      <c r="MQU799" s="3796"/>
      <c r="MQV799" s="3796"/>
      <c r="MQW799" s="3796"/>
      <c r="MQX799" s="3796"/>
      <c r="MQY799" s="3796"/>
      <c r="MQZ799" s="3796"/>
      <c r="MRA799" s="3796"/>
      <c r="MRB799" s="3796"/>
      <c r="MRC799" s="3796"/>
      <c r="MRD799" s="3796"/>
      <c r="MRE799" s="3796"/>
      <c r="MRF799" s="3796"/>
      <c r="MRG799" s="3796"/>
      <c r="MRH799" s="3796"/>
      <c r="MRI799" s="3796"/>
      <c r="MRJ799" s="3796"/>
      <c r="MRK799" s="3796"/>
      <c r="MRL799" s="3796"/>
      <c r="MRM799" s="3796"/>
      <c r="MRN799" s="3796"/>
      <c r="MRO799" s="3796"/>
      <c r="MRP799" s="3796"/>
      <c r="MRQ799" s="3796"/>
      <c r="MRR799" s="3796"/>
      <c r="MRS799" s="3796"/>
      <c r="MRT799" s="3796"/>
      <c r="MRU799" s="3796"/>
      <c r="MRV799" s="3796"/>
      <c r="MRW799" s="3796"/>
      <c r="MRX799" s="3796"/>
      <c r="MRY799" s="3796"/>
      <c r="MRZ799" s="3796"/>
      <c r="MSA799" s="3796"/>
      <c r="MSB799" s="3796"/>
      <c r="MSC799" s="3796"/>
      <c r="MSD799" s="3796"/>
      <c r="MSE799" s="3796"/>
      <c r="MSF799" s="3796"/>
      <c r="MSG799" s="3796"/>
      <c r="MSH799" s="3796"/>
      <c r="MSI799" s="3796"/>
      <c r="MSJ799" s="3796"/>
      <c r="MSK799" s="3796"/>
      <c r="MSL799" s="3796"/>
      <c r="MSM799" s="3796"/>
      <c r="MSN799" s="3796"/>
      <c r="MSO799" s="3796"/>
      <c r="MSP799" s="3796"/>
      <c r="MSQ799" s="3796"/>
      <c r="MSR799" s="3796"/>
      <c r="MSS799" s="3796"/>
      <c r="MST799" s="3796"/>
      <c r="MSU799" s="3796"/>
      <c r="MSV799" s="3796"/>
      <c r="MSW799" s="3796"/>
      <c r="MSX799" s="3796"/>
      <c r="MSY799" s="3796"/>
      <c r="MSZ799" s="3796"/>
      <c r="MTA799" s="3796"/>
      <c r="MTB799" s="3796"/>
      <c r="MTC799" s="3796"/>
      <c r="MTD799" s="3796"/>
      <c r="MTE799" s="3796"/>
      <c r="MTF799" s="3796"/>
      <c r="MTG799" s="3796"/>
      <c r="MTH799" s="3796"/>
      <c r="MTI799" s="3796"/>
      <c r="MTJ799" s="3796"/>
      <c r="MTK799" s="3796"/>
      <c r="MTL799" s="3796"/>
      <c r="MTM799" s="3796"/>
      <c r="MTN799" s="3796"/>
      <c r="MTO799" s="3796"/>
      <c r="MTP799" s="3796"/>
      <c r="MTQ799" s="3796"/>
      <c r="MTR799" s="3796"/>
      <c r="MTS799" s="3796"/>
      <c r="MTT799" s="3796"/>
      <c r="MTU799" s="3796"/>
      <c r="MTV799" s="3796"/>
      <c r="MTW799" s="3796"/>
      <c r="MTX799" s="3796"/>
      <c r="MTY799" s="3796"/>
      <c r="MTZ799" s="3796"/>
      <c r="MUA799" s="3796"/>
      <c r="MUB799" s="3796"/>
      <c r="MUC799" s="3796"/>
      <c r="MUD799" s="3796"/>
      <c r="MUE799" s="3796"/>
      <c r="MUF799" s="3796"/>
      <c r="MUG799" s="3796"/>
      <c r="MUH799" s="3796"/>
      <c r="MUI799" s="3796"/>
      <c r="MUJ799" s="3796"/>
      <c r="MUK799" s="3796"/>
      <c r="MUL799" s="3796"/>
      <c r="MUM799" s="3796"/>
      <c r="MUN799" s="3796"/>
      <c r="MUO799" s="3796"/>
      <c r="MUP799" s="3796"/>
      <c r="MUQ799" s="3796"/>
      <c r="MUR799" s="3796"/>
      <c r="MUS799" s="3796"/>
      <c r="MUT799" s="3796"/>
      <c r="MUU799" s="3796"/>
      <c r="MUV799" s="3796"/>
      <c r="MUW799" s="3796"/>
      <c r="MUX799" s="3796"/>
      <c r="MUY799" s="3796"/>
      <c r="MUZ799" s="3796"/>
      <c r="MVA799" s="3796"/>
      <c r="MVB799" s="3796"/>
      <c r="MVC799" s="3796"/>
      <c r="MVD799" s="3796"/>
      <c r="MVE799" s="3796"/>
      <c r="MVF799" s="3796"/>
      <c r="MVG799" s="3796"/>
      <c r="MVH799" s="3796"/>
      <c r="MVI799" s="3796"/>
      <c r="MVJ799" s="3796"/>
      <c r="MVK799" s="3796"/>
      <c r="MVL799" s="3796"/>
      <c r="MVM799" s="3796"/>
      <c r="MVN799" s="3796"/>
      <c r="MVO799" s="3796"/>
      <c r="MVP799" s="3796"/>
      <c r="MVQ799" s="3796"/>
      <c r="MVR799" s="3796"/>
      <c r="MVS799" s="3796"/>
      <c r="MVT799" s="3796"/>
      <c r="MVU799" s="3796"/>
      <c r="MVV799" s="3796"/>
      <c r="MVW799" s="3796"/>
      <c r="MVX799" s="3796"/>
      <c r="MVY799" s="3796"/>
      <c r="MVZ799" s="3796"/>
      <c r="MWA799" s="3796"/>
      <c r="MWB799" s="3796"/>
      <c r="MWC799" s="3796"/>
      <c r="MWD799" s="3796"/>
      <c r="MWE799" s="3796"/>
      <c r="MWF799" s="3796"/>
      <c r="MWG799" s="3796"/>
      <c r="MWH799" s="3796"/>
      <c r="MWI799" s="3796"/>
      <c r="MWJ799" s="3796"/>
      <c r="MWK799" s="3796"/>
      <c r="MWL799" s="3796"/>
      <c r="MWM799" s="3796"/>
      <c r="MWN799" s="3796"/>
      <c r="MWO799" s="3796"/>
      <c r="MWP799" s="3796"/>
      <c r="MWQ799" s="3796"/>
      <c r="MWR799" s="3796"/>
      <c r="MWS799" s="3796"/>
      <c r="MWT799" s="3796"/>
      <c r="MWU799" s="3796"/>
      <c r="MWV799" s="3796"/>
      <c r="MWW799" s="3796"/>
      <c r="MWX799" s="3796"/>
      <c r="MWY799" s="3796"/>
      <c r="MWZ799" s="3796"/>
      <c r="MXA799" s="3796"/>
      <c r="MXB799" s="3796"/>
      <c r="MXC799" s="3796"/>
      <c r="MXD799" s="3796"/>
      <c r="MXE799" s="3796"/>
      <c r="MXF799" s="3796"/>
      <c r="MXG799" s="3796"/>
      <c r="MXH799" s="3796"/>
      <c r="MXI799" s="3796"/>
      <c r="MXJ799" s="3796"/>
      <c r="MXK799" s="3796"/>
      <c r="MXL799" s="3796"/>
      <c r="MXM799" s="3796"/>
      <c r="MXN799" s="3796"/>
      <c r="MXO799" s="3796"/>
      <c r="MXP799" s="3796"/>
      <c r="MXQ799" s="3796"/>
      <c r="MXR799" s="3796"/>
      <c r="MXS799" s="3796"/>
      <c r="MXT799" s="3796"/>
      <c r="MXU799" s="3796"/>
      <c r="MXV799" s="3796"/>
      <c r="MXW799" s="3796"/>
      <c r="MXX799" s="3796"/>
      <c r="MXY799" s="3796"/>
      <c r="MXZ799" s="3796"/>
      <c r="MYA799" s="3796"/>
      <c r="MYB799" s="3796"/>
      <c r="MYC799" s="3796"/>
      <c r="MYD799" s="3796"/>
      <c r="MYE799" s="3796"/>
      <c r="MYF799" s="3796"/>
      <c r="MYG799" s="3796"/>
      <c r="MYH799" s="3796"/>
      <c r="MYI799" s="3796"/>
      <c r="MYJ799" s="3796"/>
      <c r="MYK799" s="3796"/>
      <c r="MYL799" s="3796"/>
      <c r="MYM799" s="3796"/>
      <c r="MYN799" s="3796"/>
      <c r="MYO799" s="3796"/>
      <c r="MYP799" s="3796"/>
      <c r="MYQ799" s="3796"/>
      <c r="MYR799" s="3796"/>
      <c r="MYS799" s="3796"/>
      <c r="MYT799" s="3796"/>
      <c r="MYU799" s="3796"/>
      <c r="MYV799" s="3796"/>
      <c r="MYW799" s="3796"/>
      <c r="MYX799" s="3796"/>
      <c r="MYY799" s="3796"/>
      <c r="MYZ799" s="3796"/>
      <c r="MZA799" s="3796"/>
      <c r="MZB799" s="3796"/>
      <c r="MZC799" s="3796"/>
      <c r="MZD799" s="3796"/>
      <c r="MZE799" s="3796"/>
      <c r="MZF799" s="3796"/>
      <c r="MZG799" s="3796"/>
      <c r="MZH799" s="3796"/>
      <c r="MZI799" s="3796"/>
      <c r="MZN799" s="3796"/>
      <c r="MZT799" s="3796"/>
      <c r="MZU799" s="3796"/>
      <c r="MZV799" s="3796"/>
      <c r="MZZ799" s="3796"/>
      <c r="NAG799" s="3796"/>
      <c r="NAH799" s="3796"/>
      <c r="NAI799" s="3796"/>
      <c r="NAJ799" s="3796"/>
      <c r="NAK799" s="3796"/>
      <c r="NAL799" s="3796"/>
      <c r="NAM799" s="3796"/>
      <c r="NAN799" s="3796"/>
      <c r="NAO799" s="3796"/>
      <c r="NAP799" s="3796"/>
      <c r="NAQ799" s="3796"/>
      <c r="NAR799" s="3796"/>
      <c r="NAS799" s="3796"/>
      <c r="NAT799" s="3796"/>
      <c r="NAU799" s="3796"/>
      <c r="NAV799" s="3796"/>
      <c r="NAW799" s="3796"/>
      <c r="NAX799" s="3796"/>
      <c r="NAY799" s="3796"/>
      <c r="NAZ799" s="3796"/>
      <c r="NBA799" s="3796"/>
      <c r="NBB799" s="3796"/>
      <c r="NBC799" s="3796"/>
      <c r="NBD799" s="3796"/>
      <c r="NBE799" s="3796"/>
      <c r="NBF799" s="3796"/>
      <c r="NBG799" s="3796"/>
      <c r="NBH799" s="3796"/>
      <c r="NBI799" s="3796"/>
      <c r="NBJ799" s="3796"/>
      <c r="NBK799" s="3796"/>
      <c r="NBL799" s="3796"/>
      <c r="NBM799" s="3796"/>
      <c r="NBN799" s="3796"/>
      <c r="NBO799" s="3796"/>
      <c r="NBP799" s="3796"/>
      <c r="NBQ799" s="3796"/>
      <c r="NBR799" s="3796"/>
      <c r="NBS799" s="3796"/>
      <c r="NBT799" s="3796"/>
      <c r="NBU799" s="3796"/>
      <c r="NBV799" s="3796"/>
      <c r="NBW799" s="3796"/>
      <c r="NBX799" s="3796"/>
      <c r="NBY799" s="3796"/>
      <c r="NBZ799" s="3796"/>
      <c r="NCA799" s="3796"/>
      <c r="NCB799" s="3796"/>
      <c r="NCC799" s="3796"/>
      <c r="NCD799" s="3796"/>
      <c r="NCE799" s="3796"/>
      <c r="NCF799" s="3796"/>
      <c r="NCG799" s="3796"/>
      <c r="NCH799" s="3796"/>
      <c r="NCI799" s="3796"/>
      <c r="NCJ799" s="3796"/>
      <c r="NCK799" s="3796"/>
      <c r="NCL799" s="3796"/>
      <c r="NCM799" s="3796"/>
      <c r="NCN799" s="3796"/>
      <c r="NCO799" s="3796"/>
      <c r="NCP799" s="3796"/>
      <c r="NCQ799" s="3796"/>
      <c r="NCR799" s="3796"/>
      <c r="NCS799" s="3796"/>
      <c r="NCT799" s="3796"/>
      <c r="NCU799" s="3796"/>
      <c r="NCV799" s="3796"/>
      <c r="NCW799" s="3796"/>
      <c r="NCX799" s="3796"/>
      <c r="NCY799" s="3796"/>
      <c r="NCZ799" s="3796"/>
      <c r="NDA799" s="3796"/>
      <c r="NDB799" s="3796"/>
      <c r="NDC799" s="3796"/>
      <c r="NDD799" s="3796"/>
      <c r="NDE799" s="3796"/>
      <c r="NDF799" s="3796"/>
      <c r="NDG799" s="3796"/>
      <c r="NDH799" s="3796"/>
      <c r="NDI799" s="3796"/>
      <c r="NDJ799" s="3796"/>
      <c r="NDK799" s="3796"/>
      <c r="NDL799" s="3796"/>
      <c r="NDM799" s="3796"/>
      <c r="NDN799" s="3796"/>
      <c r="NDO799" s="3796"/>
      <c r="NDP799" s="3796"/>
      <c r="NDQ799" s="3796"/>
      <c r="NDR799" s="3796"/>
      <c r="NDS799" s="3796"/>
      <c r="NDT799" s="3796"/>
      <c r="NDU799" s="3796"/>
      <c r="NDV799" s="3796"/>
      <c r="NDW799" s="3796"/>
      <c r="NDX799" s="3796"/>
      <c r="NDY799" s="3796"/>
      <c r="NDZ799" s="3796"/>
      <c r="NEA799" s="3796"/>
      <c r="NEB799" s="3796"/>
      <c r="NEC799" s="3796"/>
      <c r="NED799" s="3796"/>
      <c r="NEE799" s="3796"/>
      <c r="NEF799" s="3796"/>
      <c r="NEG799" s="3796"/>
      <c r="NEH799" s="3796"/>
      <c r="NEI799" s="3796"/>
      <c r="NEJ799" s="3796"/>
      <c r="NEK799" s="3796"/>
      <c r="NEL799" s="3796"/>
      <c r="NEM799" s="3796"/>
      <c r="NEN799" s="3796"/>
      <c r="NEO799" s="3796"/>
      <c r="NEP799" s="3796"/>
      <c r="NEQ799" s="3796"/>
      <c r="NER799" s="3796"/>
      <c r="NES799" s="3796"/>
      <c r="NET799" s="3796"/>
      <c r="NEU799" s="3796"/>
      <c r="NEV799" s="3796"/>
      <c r="NEW799" s="3796"/>
      <c r="NEX799" s="3796"/>
      <c r="NEY799" s="3796"/>
      <c r="NEZ799" s="3796"/>
      <c r="NFA799" s="3796"/>
      <c r="NFB799" s="3796"/>
      <c r="NFC799" s="3796"/>
      <c r="NFD799" s="3796"/>
      <c r="NFE799" s="3796"/>
      <c r="NFF799" s="3796"/>
      <c r="NFG799" s="3796"/>
      <c r="NFH799" s="3796"/>
      <c r="NFI799" s="3796"/>
      <c r="NFJ799" s="3796"/>
      <c r="NFK799" s="3796"/>
      <c r="NFL799" s="3796"/>
      <c r="NFM799" s="3796"/>
      <c r="NFN799" s="3796"/>
      <c r="NFO799" s="3796"/>
      <c r="NFP799" s="3796"/>
      <c r="NFQ799" s="3796"/>
      <c r="NFR799" s="3796"/>
      <c r="NFS799" s="3796"/>
      <c r="NFT799" s="3796"/>
      <c r="NFU799" s="3796"/>
      <c r="NFV799" s="3796"/>
      <c r="NFW799" s="3796"/>
      <c r="NFX799" s="3796"/>
      <c r="NFY799" s="3796"/>
      <c r="NFZ799" s="3796"/>
      <c r="NGA799" s="3796"/>
      <c r="NGB799" s="3796"/>
      <c r="NGC799" s="3796"/>
      <c r="NGD799" s="3796"/>
      <c r="NGE799" s="3796"/>
      <c r="NGF799" s="3796"/>
      <c r="NGG799" s="3796"/>
      <c r="NGH799" s="3796"/>
      <c r="NGI799" s="3796"/>
      <c r="NGJ799" s="3796"/>
      <c r="NGK799" s="3796"/>
      <c r="NGL799" s="3796"/>
      <c r="NGM799" s="3796"/>
      <c r="NGN799" s="3796"/>
      <c r="NGO799" s="3796"/>
      <c r="NGP799" s="3796"/>
      <c r="NGQ799" s="3796"/>
      <c r="NGR799" s="3796"/>
      <c r="NGS799" s="3796"/>
      <c r="NGT799" s="3796"/>
      <c r="NGU799" s="3796"/>
      <c r="NGV799" s="3796"/>
      <c r="NGW799" s="3796"/>
      <c r="NGX799" s="3796"/>
      <c r="NGY799" s="3796"/>
      <c r="NGZ799" s="3796"/>
      <c r="NHA799" s="3796"/>
      <c r="NHB799" s="3796"/>
      <c r="NHC799" s="3796"/>
      <c r="NHD799" s="3796"/>
      <c r="NHE799" s="3796"/>
      <c r="NHF799" s="3796"/>
      <c r="NHG799" s="3796"/>
      <c r="NHH799" s="3796"/>
      <c r="NHI799" s="3796"/>
      <c r="NHJ799" s="3796"/>
      <c r="NHK799" s="3796"/>
      <c r="NHL799" s="3796"/>
      <c r="NHM799" s="3796"/>
      <c r="NHN799" s="3796"/>
      <c r="NHO799" s="3796"/>
      <c r="NHP799" s="3796"/>
      <c r="NHQ799" s="3796"/>
      <c r="NHR799" s="3796"/>
      <c r="NHS799" s="3796"/>
      <c r="NHT799" s="3796"/>
      <c r="NHU799" s="3796"/>
      <c r="NHV799" s="3796"/>
      <c r="NHW799" s="3796"/>
      <c r="NHX799" s="3796"/>
      <c r="NHY799" s="3796"/>
      <c r="NHZ799" s="3796"/>
      <c r="NIA799" s="3796"/>
      <c r="NIB799" s="3796"/>
      <c r="NIC799" s="3796"/>
      <c r="NID799" s="3796"/>
      <c r="NIE799" s="3796"/>
      <c r="NIF799" s="3796"/>
      <c r="NIG799" s="3796"/>
      <c r="NIH799" s="3796"/>
      <c r="NII799" s="3796"/>
      <c r="NIJ799" s="3796"/>
      <c r="NIK799" s="3796"/>
      <c r="NIL799" s="3796"/>
      <c r="NIM799" s="3796"/>
      <c r="NIN799" s="3796"/>
      <c r="NIO799" s="3796"/>
      <c r="NIP799" s="3796"/>
      <c r="NIQ799" s="3796"/>
      <c r="NIR799" s="3796"/>
      <c r="NIS799" s="3796"/>
      <c r="NIT799" s="3796"/>
      <c r="NIU799" s="3796"/>
      <c r="NIV799" s="3796"/>
      <c r="NIW799" s="3796"/>
      <c r="NIX799" s="3796"/>
      <c r="NIY799" s="3796"/>
      <c r="NIZ799" s="3796"/>
      <c r="NJA799" s="3796"/>
      <c r="NJB799" s="3796"/>
      <c r="NJC799" s="3796"/>
      <c r="NJD799" s="3796"/>
      <c r="NJE799" s="3796"/>
      <c r="NJJ799" s="3796"/>
      <c r="NJP799" s="3796"/>
      <c r="NJQ799" s="3796"/>
      <c r="NJR799" s="3796"/>
      <c r="NJV799" s="3796"/>
      <c r="NKC799" s="3796"/>
      <c r="NKD799" s="3796"/>
      <c r="NKE799" s="3796"/>
      <c r="NKF799" s="3796"/>
      <c r="NKG799" s="3796"/>
      <c r="NKH799" s="3796"/>
      <c r="NKI799" s="3796"/>
      <c r="NKJ799" s="3796"/>
      <c r="NKK799" s="3796"/>
      <c r="NKL799" s="3796"/>
      <c r="NKM799" s="3796"/>
      <c r="NKN799" s="3796"/>
      <c r="NKO799" s="3796"/>
      <c r="NKP799" s="3796"/>
      <c r="NKQ799" s="3796"/>
      <c r="NKR799" s="3796"/>
      <c r="NKS799" s="3796"/>
      <c r="NKT799" s="3796"/>
      <c r="NKU799" s="3796"/>
      <c r="NKV799" s="3796"/>
      <c r="NKW799" s="3796"/>
      <c r="NKX799" s="3796"/>
      <c r="NKY799" s="3796"/>
      <c r="NKZ799" s="3796"/>
      <c r="NLA799" s="3796"/>
      <c r="NLB799" s="3796"/>
      <c r="NLC799" s="3796"/>
      <c r="NLD799" s="3796"/>
      <c r="NLE799" s="3796"/>
      <c r="NLF799" s="3796"/>
      <c r="NLG799" s="3796"/>
      <c r="NLH799" s="3796"/>
      <c r="NLI799" s="3796"/>
      <c r="NLJ799" s="3796"/>
      <c r="NLK799" s="3796"/>
      <c r="NLL799" s="3796"/>
      <c r="NLM799" s="3796"/>
      <c r="NLN799" s="3796"/>
      <c r="NLO799" s="3796"/>
      <c r="NLP799" s="3796"/>
      <c r="NLQ799" s="3796"/>
      <c r="NLR799" s="3796"/>
      <c r="NLS799" s="3796"/>
      <c r="NLT799" s="3796"/>
      <c r="NLU799" s="3796"/>
      <c r="NLV799" s="3796"/>
      <c r="NLW799" s="3796"/>
      <c r="NLX799" s="3796"/>
      <c r="NLY799" s="3796"/>
      <c r="NLZ799" s="3796"/>
      <c r="NMA799" s="3796"/>
      <c r="NMB799" s="3796"/>
      <c r="NMC799" s="3796"/>
      <c r="NMD799" s="3796"/>
      <c r="NME799" s="3796"/>
      <c r="NMF799" s="3796"/>
      <c r="NMG799" s="3796"/>
      <c r="NMH799" s="3796"/>
      <c r="NMI799" s="3796"/>
      <c r="NMJ799" s="3796"/>
      <c r="NMK799" s="3796"/>
      <c r="NML799" s="3796"/>
      <c r="NMM799" s="3796"/>
      <c r="NMN799" s="3796"/>
      <c r="NMO799" s="3796"/>
      <c r="NMP799" s="3796"/>
      <c r="NMQ799" s="3796"/>
      <c r="NMR799" s="3796"/>
      <c r="NMS799" s="3796"/>
      <c r="NMT799" s="3796"/>
      <c r="NMU799" s="3796"/>
      <c r="NMV799" s="3796"/>
      <c r="NMW799" s="3796"/>
      <c r="NMX799" s="3796"/>
      <c r="NMY799" s="3796"/>
      <c r="NMZ799" s="3796"/>
      <c r="NNA799" s="3796"/>
      <c r="NNB799" s="3796"/>
      <c r="NNC799" s="3796"/>
      <c r="NND799" s="3796"/>
      <c r="NNE799" s="3796"/>
      <c r="NNF799" s="3796"/>
      <c r="NNG799" s="3796"/>
      <c r="NNH799" s="3796"/>
      <c r="NNI799" s="3796"/>
      <c r="NNJ799" s="3796"/>
      <c r="NNK799" s="3796"/>
      <c r="NNL799" s="3796"/>
      <c r="NNM799" s="3796"/>
      <c r="NNN799" s="3796"/>
      <c r="NNO799" s="3796"/>
      <c r="NNP799" s="3796"/>
      <c r="NNQ799" s="3796"/>
      <c r="NNR799" s="3796"/>
      <c r="NNS799" s="3796"/>
      <c r="NNT799" s="3796"/>
      <c r="NNU799" s="3796"/>
      <c r="NNV799" s="3796"/>
      <c r="NNW799" s="3796"/>
      <c r="NNX799" s="3796"/>
      <c r="NNY799" s="3796"/>
      <c r="NNZ799" s="3796"/>
      <c r="NOA799" s="3796"/>
      <c r="NOB799" s="3796"/>
      <c r="NOC799" s="3796"/>
      <c r="NOD799" s="3796"/>
      <c r="NOE799" s="3796"/>
      <c r="NOF799" s="3796"/>
      <c r="NOG799" s="3796"/>
      <c r="NOH799" s="3796"/>
      <c r="NOI799" s="3796"/>
      <c r="NOJ799" s="3796"/>
      <c r="NOK799" s="3796"/>
      <c r="NOL799" s="3796"/>
      <c r="NOM799" s="3796"/>
      <c r="NON799" s="3796"/>
      <c r="NOO799" s="3796"/>
      <c r="NOP799" s="3796"/>
      <c r="NOQ799" s="3796"/>
      <c r="NOR799" s="3796"/>
      <c r="NOS799" s="3796"/>
      <c r="NOT799" s="3796"/>
      <c r="NOU799" s="3796"/>
      <c r="NOV799" s="3796"/>
      <c r="NOW799" s="3796"/>
      <c r="NOX799" s="3796"/>
      <c r="NOY799" s="3796"/>
      <c r="NOZ799" s="3796"/>
      <c r="NPA799" s="3796"/>
      <c r="NPB799" s="3796"/>
      <c r="NPC799" s="3796"/>
      <c r="NPD799" s="3796"/>
      <c r="NPE799" s="3796"/>
      <c r="NPF799" s="3796"/>
      <c r="NPG799" s="3796"/>
      <c r="NPH799" s="3796"/>
      <c r="NPI799" s="3796"/>
      <c r="NPJ799" s="3796"/>
      <c r="NPK799" s="3796"/>
      <c r="NPL799" s="3796"/>
      <c r="NPM799" s="3796"/>
      <c r="NPN799" s="3796"/>
      <c r="NPO799" s="3796"/>
      <c r="NPP799" s="3796"/>
      <c r="NPQ799" s="3796"/>
      <c r="NPR799" s="3796"/>
      <c r="NPS799" s="3796"/>
      <c r="NPT799" s="3796"/>
      <c r="NPU799" s="3796"/>
      <c r="NPV799" s="3796"/>
      <c r="NPW799" s="3796"/>
      <c r="NPX799" s="3796"/>
      <c r="NPY799" s="3796"/>
      <c r="NPZ799" s="3796"/>
      <c r="NQA799" s="3796"/>
      <c r="NQB799" s="3796"/>
      <c r="NQC799" s="3796"/>
      <c r="NQD799" s="3796"/>
      <c r="NQE799" s="3796"/>
      <c r="NQF799" s="3796"/>
      <c r="NQG799" s="3796"/>
      <c r="NQH799" s="3796"/>
      <c r="NQI799" s="3796"/>
      <c r="NQJ799" s="3796"/>
      <c r="NQK799" s="3796"/>
      <c r="NQL799" s="3796"/>
      <c r="NQM799" s="3796"/>
      <c r="NQN799" s="3796"/>
      <c r="NQO799" s="3796"/>
      <c r="NQP799" s="3796"/>
      <c r="NQQ799" s="3796"/>
      <c r="NQR799" s="3796"/>
      <c r="NQS799" s="3796"/>
      <c r="NQT799" s="3796"/>
      <c r="NQU799" s="3796"/>
      <c r="NQV799" s="3796"/>
      <c r="NQW799" s="3796"/>
      <c r="NQX799" s="3796"/>
      <c r="NQY799" s="3796"/>
      <c r="NQZ799" s="3796"/>
      <c r="NRA799" s="3796"/>
      <c r="NRB799" s="3796"/>
      <c r="NRC799" s="3796"/>
      <c r="NRD799" s="3796"/>
      <c r="NRE799" s="3796"/>
      <c r="NRF799" s="3796"/>
      <c r="NRG799" s="3796"/>
      <c r="NRH799" s="3796"/>
      <c r="NRI799" s="3796"/>
      <c r="NRJ799" s="3796"/>
      <c r="NRK799" s="3796"/>
      <c r="NRL799" s="3796"/>
      <c r="NRM799" s="3796"/>
      <c r="NRN799" s="3796"/>
      <c r="NRO799" s="3796"/>
      <c r="NRP799" s="3796"/>
      <c r="NRQ799" s="3796"/>
      <c r="NRR799" s="3796"/>
      <c r="NRS799" s="3796"/>
      <c r="NRT799" s="3796"/>
      <c r="NRU799" s="3796"/>
      <c r="NRV799" s="3796"/>
      <c r="NRW799" s="3796"/>
      <c r="NRX799" s="3796"/>
      <c r="NRY799" s="3796"/>
      <c r="NRZ799" s="3796"/>
      <c r="NSA799" s="3796"/>
      <c r="NSB799" s="3796"/>
      <c r="NSC799" s="3796"/>
      <c r="NSD799" s="3796"/>
      <c r="NSE799" s="3796"/>
      <c r="NSF799" s="3796"/>
      <c r="NSG799" s="3796"/>
      <c r="NSH799" s="3796"/>
      <c r="NSI799" s="3796"/>
      <c r="NSJ799" s="3796"/>
      <c r="NSK799" s="3796"/>
      <c r="NSL799" s="3796"/>
      <c r="NSM799" s="3796"/>
      <c r="NSN799" s="3796"/>
      <c r="NSO799" s="3796"/>
      <c r="NSP799" s="3796"/>
      <c r="NSQ799" s="3796"/>
      <c r="NSR799" s="3796"/>
      <c r="NSS799" s="3796"/>
      <c r="NST799" s="3796"/>
      <c r="NSU799" s="3796"/>
      <c r="NSV799" s="3796"/>
      <c r="NSW799" s="3796"/>
      <c r="NSX799" s="3796"/>
      <c r="NSY799" s="3796"/>
      <c r="NSZ799" s="3796"/>
      <c r="NTA799" s="3796"/>
      <c r="NTF799" s="3796"/>
      <c r="NTL799" s="3796"/>
      <c r="NTM799" s="3796"/>
      <c r="NTN799" s="3796"/>
      <c r="NTR799" s="3796"/>
      <c r="NTY799" s="3796"/>
      <c r="NTZ799" s="3796"/>
      <c r="NUA799" s="3796"/>
      <c r="NUB799" s="3796"/>
      <c r="NUC799" s="3796"/>
      <c r="NUD799" s="3796"/>
      <c r="NUE799" s="3796"/>
      <c r="NUF799" s="3796"/>
      <c r="NUG799" s="3796"/>
      <c r="NUH799" s="3796"/>
      <c r="NUI799" s="3796"/>
      <c r="NUJ799" s="3796"/>
      <c r="NUK799" s="3796"/>
      <c r="NUL799" s="3796"/>
      <c r="NUM799" s="3796"/>
      <c r="NUN799" s="3796"/>
      <c r="NUO799" s="3796"/>
      <c r="NUP799" s="3796"/>
      <c r="NUQ799" s="3796"/>
      <c r="NUR799" s="3796"/>
      <c r="NUS799" s="3796"/>
      <c r="NUT799" s="3796"/>
      <c r="NUU799" s="3796"/>
      <c r="NUV799" s="3796"/>
      <c r="NUW799" s="3796"/>
      <c r="NUX799" s="3796"/>
      <c r="NUY799" s="3796"/>
      <c r="NUZ799" s="3796"/>
      <c r="NVA799" s="3796"/>
      <c r="NVB799" s="3796"/>
      <c r="NVC799" s="3796"/>
      <c r="NVD799" s="3796"/>
      <c r="NVE799" s="3796"/>
      <c r="NVF799" s="3796"/>
      <c r="NVG799" s="3796"/>
      <c r="NVH799" s="3796"/>
      <c r="NVI799" s="3796"/>
      <c r="NVJ799" s="3796"/>
      <c r="NVK799" s="3796"/>
      <c r="NVL799" s="3796"/>
      <c r="NVM799" s="3796"/>
      <c r="NVN799" s="3796"/>
      <c r="NVO799" s="3796"/>
      <c r="NVP799" s="3796"/>
      <c r="NVQ799" s="3796"/>
      <c r="NVR799" s="3796"/>
      <c r="NVS799" s="3796"/>
      <c r="NVT799" s="3796"/>
      <c r="NVU799" s="3796"/>
      <c r="NVV799" s="3796"/>
      <c r="NVW799" s="3796"/>
      <c r="NVX799" s="3796"/>
      <c r="NVY799" s="3796"/>
      <c r="NVZ799" s="3796"/>
      <c r="NWA799" s="3796"/>
      <c r="NWB799" s="3796"/>
      <c r="NWC799" s="3796"/>
      <c r="NWD799" s="3796"/>
      <c r="NWE799" s="3796"/>
      <c r="NWF799" s="3796"/>
      <c r="NWG799" s="3796"/>
      <c r="NWH799" s="3796"/>
      <c r="NWI799" s="3796"/>
      <c r="NWJ799" s="3796"/>
      <c r="NWK799" s="3796"/>
      <c r="NWL799" s="3796"/>
      <c r="NWM799" s="3796"/>
      <c r="NWN799" s="3796"/>
      <c r="NWO799" s="3796"/>
      <c r="NWP799" s="3796"/>
      <c r="NWQ799" s="3796"/>
      <c r="NWR799" s="3796"/>
      <c r="NWS799" s="3796"/>
      <c r="NWT799" s="3796"/>
      <c r="NWU799" s="3796"/>
      <c r="NWV799" s="3796"/>
      <c r="NWW799" s="3796"/>
      <c r="NWX799" s="3796"/>
      <c r="NWY799" s="3796"/>
      <c r="NWZ799" s="3796"/>
      <c r="NXA799" s="3796"/>
      <c r="NXB799" s="3796"/>
      <c r="NXC799" s="3796"/>
      <c r="NXD799" s="3796"/>
      <c r="NXE799" s="3796"/>
      <c r="NXF799" s="3796"/>
      <c r="NXG799" s="3796"/>
      <c r="NXH799" s="3796"/>
      <c r="NXI799" s="3796"/>
      <c r="NXJ799" s="3796"/>
      <c r="NXK799" s="3796"/>
      <c r="NXL799" s="3796"/>
      <c r="NXM799" s="3796"/>
      <c r="NXN799" s="3796"/>
      <c r="NXO799" s="3796"/>
      <c r="NXP799" s="3796"/>
      <c r="NXQ799" s="3796"/>
      <c r="NXR799" s="3796"/>
      <c r="NXS799" s="3796"/>
      <c r="NXT799" s="3796"/>
      <c r="NXU799" s="3796"/>
      <c r="NXV799" s="3796"/>
      <c r="NXW799" s="3796"/>
      <c r="NXX799" s="3796"/>
      <c r="NXY799" s="3796"/>
      <c r="NXZ799" s="3796"/>
      <c r="NYA799" s="3796"/>
      <c r="NYB799" s="3796"/>
      <c r="NYC799" s="3796"/>
      <c r="NYD799" s="3796"/>
      <c r="NYE799" s="3796"/>
      <c r="NYF799" s="3796"/>
      <c r="NYG799" s="3796"/>
      <c r="NYH799" s="3796"/>
      <c r="NYI799" s="3796"/>
      <c r="NYJ799" s="3796"/>
      <c r="NYK799" s="3796"/>
      <c r="NYL799" s="3796"/>
      <c r="NYM799" s="3796"/>
      <c r="NYN799" s="3796"/>
      <c r="NYO799" s="3796"/>
      <c r="NYP799" s="3796"/>
      <c r="NYQ799" s="3796"/>
      <c r="NYR799" s="3796"/>
      <c r="NYS799" s="3796"/>
      <c r="NYT799" s="3796"/>
      <c r="NYU799" s="3796"/>
      <c r="NYV799" s="3796"/>
      <c r="NYW799" s="3796"/>
      <c r="NYX799" s="3796"/>
      <c r="NYY799" s="3796"/>
      <c r="NYZ799" s="3796"/>
      <c r="NZA799" s="3796"/>
      <c r="NZB799" s="3796"/>
      <c r="NZC799" s="3796"/>
      <c r="NZD799" s="3796"/>
      <c r="NZE799" s="3796"/>
      <c r="NZF799" s="3796"/>
      <c r="NZG799" s="3796"/>
      <c r="NZH799" s="3796"/>
      <c r="NZI799" s="3796"/>
      <c r="NZJ799" s="3796"/>
      <c r="NZK799" s="3796"/>
      <c r="NZL799" s="3796"/>
      <c r="NZM799" s="3796"/>
      <c r="NZN799" s="3796"/>
      <c r="NZO799" s="3796"/>
      <c r="NZP799" s="3796"/>
      <c r="NZQ799" s="3796"/>
      <c r="NZR799" s="3796"/>
      <c r="NZS799" s="3796"/>
      <c r="NZT799" s="3796"/>
      <c r="NZU799" s="3796"/>
      <c r="NZV799" s="3796"/>
      <c r="NZW799" s="3796"/>
      <c r="NZX799" s="3796"/>
      <c r="NZY799" s="3796"/>
      <c r="NZZ799" s="3796"/>
      <c r="OAA799" s="3796"/>
      <c r="OAB799" s="3796"/>
      <c r="OAC799" s="3796"/>
      <c r="OAD799" s="3796"/>
      <c r="OAE799" s="3796"/>
      <c r="OAF799" s="3796"/>
      <c r="OAG799" s="3796"/>
      <c r="OAH799" s="3796"/>
      <c r="OAI799" s="3796"/>
      <c r="OAJ799" s="3796"/>
      <c r="OAK799" s="3796"/>
      <c r="OAL799" s="3796"/>
      <c r="OAM799" s="3796"/>
      <c r="OAN799" s="3796"/>
      <c r="OAO799" s="3796"/>
      <c r="OAP799" s="3796"/>
      <c r="OAQ799" s="3796"/>
      <c r="OAR799" s="3796"/>
      <c r="OAS799" s="3796"/>
      <c r="OAT799" s="3796"/>
      <c r="OAU799" s="3796"/>
      <c r="OAV799" s="3796"/>
      <c r="OAW799" s="3796"/>
      <c r="OAX799" s="3796"/>
      <c r="OAY799" s="3796"/>
      <c r="OAZ799" s="3796"/>
      <c r="OBA799" s="3796"/>
      <c r="OBB799" s="3796"/>
      <c r="OBC799" s="3796"/>
      <c r="OBD799" s="3796"/>
      <c r="OBE799" s="3796"/>
      <c r="OBF799" s="3796"/>
      <c r="OBG799" s="3796"/>
      <c r="OBH799" s="3796"/>
      <c r="OBI799" s="3796"/>
      <c r="OBJ799" s="3796"/>
      <c r="OBK799" s="3796"/>
      <c r="OBL799" s="3796"/>
      <c r="OBM799" s="3796"/>
      <c r="OBN799" s="3796"/>
      <c r="OBO799" s="3796"/>
      <c r="OBP799" s="3796"/>
      <c r="OBQ799" s="3796"/>
      <c r="OBR799" s="3796"/>
      <c r="OBS799" s="3796"/>
      <c r="OBT799" s="3796"/>
      <c r="OBU799" s="3796"/>
      <c r="OBV799" s="3796"/>
      <c r="OBW799" s="3796"/>
      <c r="OBX799" s="3796"/>
      <c r="OBY799" s="3796"/>
      <c r="OBZ799" s="3796"/>
      <c r="OCA799" s="3796"/>
      <c r="OCB799" s="3796"/>
      <c r="OCC799" s="3796"/>
      <c r="OCD799" s="3796"/>
      <c r="OCE799" s="3796"/>
      <c r="OCF799" s="3796"/>
      <c r="OCG799" s="3796"/>
      <c r="OCH799" s="3796"/>
      <c r="OCI799" s="3796"/>
      <c r="OCJ799" s="3796"/>
      <c r="OCK799" s="3796"/>
      <c r="OCL799" s="3796"/>
      <c r="OCM799" s="3796"/>
      <c r="OCN799" s="3796"/>
      <c r="OCO799" s="3796"/>
      <c r="OCP799" s="3796"/>
      <c r="OCQ799" s="3796"/>
      <c r="OCR799" s="3796"/>
      <c r="OCS799" s="3796"/>
      <c r="OCT799" s="3796"/>
      <c r="OCU799" s="3796"/>
      <c r="OCV799" s="3796"/>
      <c r="OCW799" s="3796"/>
      <c r="ODB799" s="3796"/>
      <c r="ODH799" s="3796"/>
      <c r="ODI799" s="3796"/>
      <c r="ODJ799" s="3796"/>
      <c r="ODN799" s="3796"/>
      <c r="ODU799" s="3796"/>
      <c r="ODV799" s="3796"/>
      <c r="ODW799" s="3796"/>
      <c r="ODX799" s="3796"/>
      <c r="ODY799" s="3796"/>
      <c r="ODZ799" s="3796"/>
      <c r="OEA799" s="3796"/>
      <c r="OEB799" s="3796"/>
      <c r="OEC799" s="3796"/>
      <c r="OED799" s="3796"/>
      <c r="OEE799" s="3796"/>
      <c r="OEF799" s="3796"/>
      <c r="OEG799" s="3796"/>
      <c r="OEH799" s="3796"/>
      <c r="OEI799" s="3796"/>
      <c r="OEJ799" s="3796"/>
      <c r="OEK799" s="3796"/>
      <c r="OEL799" s="3796"/>
      <c r="OEM799" s="3796"/>
      <c r="OEN799" s="3796"/>
      <c r="OEO799" s="3796"/>
      <c r="OEP799" s="3796"/>
      <c r="OEQ799" s="3796"/>
      <c r="OER799" s="3796"/>
      <c r="OES799" s="3796"/>
      <c r="OET799" s="3796"/>
      <c r="OEU799" s="3796"/>
      <c r="OEV799" s="3796"/>
      <c r="OEW799" s="3796"/>
      <c r="OEX799" s="3796"/>
      <c r="OEY799" s="3796"/>
      <c r="OEZ799" s="3796"/>
      <c r="OFA799" s="3796"/>
      <c r="OFB799" s="3796"/>
      <c r="OFC799" s="3796"/>
      <c r="OFD799" s="3796"/>
      <c r="OFE799" s="3796"/>
      <c r="OFF799" s="3796"/>
      <c r="OFG799" s="3796"/>
      <c r="OFH799" s="3796"/>
      <c r="OFI799" s="3796"/>
      <c r="OFJ799" s="3796"/>
      <c r="OFK799" s="3796"/>
      <c r="OFL799" s="3796"/>
      <c r="OFM799" s="3796"/>
      <c r="OFN799" s="3796"/>
      <c r="OFO799" s="3796"/>
      <c r="OFP799" s="3796"/>
      <c r="OFQ799" s="3796"/>
      <c r="OFR799" s="3796"/>
      <c r="OFS799" s="3796"/>
      <c r="OFT799" s="3796"/>
      <c r="OFU799" s="3796"/>
      <c r="OFV799" s="3796"/>
      <c r="OFW799" s="3796"/>
      <c r="OFX799" s="3796"/>
      <c r="OFY799" s="3796"/>
      <c r="OFZ799" s="3796"/>
      <c r="OGA799" s="3796"/>
      <c r="OGB799" s="3796"/>
      <c r="OGC799" s="3796"/>
      <c r="OGD799" s="3796"/>
      <c r="OGE799" s="3796"/>
      <c r="OGF799" s="3796"/>
      <c r="OGG799" s="3796"/>
      <c r="OGH799" s="3796"/>
      <c r="OGI799" s="3796"/>
      <c r="OGJ799" s="3796"/>
      <c r="OGK799" s="3796"/>
      <c r="OGL799" s="3796"/>
      <c r="OGM799" s="3796"/>
      <c r="OGN799" s="3796"/>
      <c r="OGO799" s="3796"/>
      <c r="OGP799" s="3796"/>
      <c r="OGQ799" s="3796"/>
      <c r="OGR799" s="3796"/>
      <c r="OGS799" s="3796"/>
      <c r="OGT799" s="3796"/>
      <c r="OGU799" s="3796"/>
      <c r="OGV799" s="3796"/>
      <c r="OGW799" s="3796"/>
      <c r="OGX799" s="3796"/>
      <c r="OGY799" s="3796"/>
      <c r="OGZ799" s="3796"/>
      <c r="OHA799" s="3796"/>
      <c r="OHB799" s="3796"/>
      <c r="OHC799" s="3796"/>
      <c r="OHD799" s="3796"/>
      <c r="OHE799" s="3796"/>
      <c r="OHF799" s="3796"/>
      <c r="OHG799" s="3796"/>
      <c r="OHH799" s="3796"/>
      <c r="OHI799" s="3796"/>
      <c r="OHJ799" s="3796"/>
      <c r="OHK799" s="3796"/>
      <c r="OHL799" s="3796"/>
      <c r="OHM799" s="3796"/>
      <c r="OHN799" s="3796"/>
      <c r="OHO799" s="3796"/>
      <c r="OHP799" s="3796"/>
      <c r="OHQ799" s="3796"/>
      <c r="OHR799" s="3796"/>
      <c r="OHS799" s="3796"/>
      <c r="OHT799" s="3796"/>
      <c r="OHU799" s="3796"/>
      <c r="OHV799" s="3796"/>
      <c r="OHW799" s="3796"/>
      <c r="OHX799" s="3796"/>
      <c r="OHY799" s="3796"/>
      <c r="OHZ799" s="3796"/>
      <c r="OIA799" s="3796"/>
      <c r="OIB799" s="3796"/>
      <c r="OIC799" s="3796"/>
      <c r="OID799" s="3796"/>
      <c r="OIE799" s="3796"/>
      <c r="OIF799" s="3796"/>
      <c r="OIG799" s="3796"/>
      <c r="OIH799" s="3796"/>
      <c r="OII799" s="3796"/>
      <c r="OIJ799" s="3796"/>
      <c r="OIK799" s="3796"/>
      <c r="OIL799" s="3796"/>
      <c r="OIM799" s="3796"/>
      <c r="OIN799" s="3796"/>
      <c r="OIO799" s="3796"/>
      <c r="OIP799" s="3796"/>
      <c r="OIQ799" s="3796"/>
      <c r="OIR799" s="3796"/>
      <c r="OIS799" s="3796"/>
      <c r="OIT799" s="3796"/>
      <c r="OIU799" s="3796"/>
      <c r="OIV799" s="3796"/>
      <c r="OIW799" s="3796"/>
      <c r="OIX799" s="3796"/>
      <c r="OIY799" s="3796"/>
      <c r="OIZ799" s="3796"/>
      <c r="OJA799" s="3796"/>
      <c r="OJB799" s="3796"/>
      <c r="OJC799" s="3796"/>
      <c r="OJD799" s="3796"/>
      <c r="OJE799" s="3796"/>
      <c r="OJF799" s="3796"/>
      <c r="OJG799" s="3796"/>
      <c r="OJH799" s="3796"/>
      <c r="OJI799" s="3796"/>
      <c r="OJJ799" s="3796"/>
      <c r="OJK799" s="3796"/>
      <c r="OJL799" s="3796"/>
      <c r="OJM799" s="3796"/>
      <c r="OJN799" s="3796"/>
      <c r="OJO799" s="3796"/>
      <c r="OJP799" s="3796"/>
      <c r="OJQ799" s="3796"/>
      <c r="OJR799" s="3796"/>
      <c r="OJS799" s="3796"/>
      <c r="OJT799" s="3796"/>
      <c r="OJU799" s="3796"/>
      <c r="OJV799" s="3796"/>
      <c r="OJW799" s="3796"/>
      <c r="OJX799" s="3796"/>
      <c r="OJY799" s="3796"/>
      <c r="OJZ799" s="3796"/>
      <c r="OKA799" s="3796"/>
      <c r="OKB799" s="3796"/>
      <c r="OKC799" s="3796"/>
      <c r="OKD799" s="3796"/>
      <c r="OKE799" s="3796"/>
      <c r="OKF799" s="3796"/>
      <c r="OKG799" s="3796"/>
      <c r="OKH799" s="3796"/>
      <c r="OKI799" s="3796"/>
      <c r="OKJ799" s="3796"/>
      <c r="OKK799" s="3796"/>
      <c r="OKL799" s="3796"/>
      <c r="OKM799" s="3796"/>
      <c r="OKN799" s="3796"/>
      <c r="OKO799" s="3796"/>
      <c r="OKP799" s="3796"/>
      <c r="OKQ799" s="3796"/>
      <c r="OKR799" s="3796"/>
      <c r="OKS799" s="3796"/>
      <c r="OKT799" s="3796"/>
      <c r="OKU799" s="3796"/>
      <c r="OKV799" s="3796"/>
      <c r="OKW799" s="3796"/>
      <c r="OKX799" s="3796"/>
      <c r="OKY799" s="3796"/>
      <c r="OKZ799" s="3796"/>
      <c r="OLA799" s="3796"/>
      <c r="OLB799" s="3796"/>
      <c r="OLC799" s="3796"/>
      <c r="OLD799" s="3796"/>
      <c r="OLE799" s="3796"/>
      <c r="OLF799" s="3796"/>
      <c r="OLG799" s="3796"/>
      <c r="OLH799" s="3796"/>
      <c r="OLI799" s="3796"/>
      <c r="OLJ799" s="3796"/>
      <c r="OLK799" s="3796"/>
      <c r="OLL799" s="3796"/>
      <c r="OLM799" s="3796"/>
      <c r="OLN799" s="3796"/>
      <c r="OLO799" s="3796"/>
      <c r="OLP799" s="3796"/>
      <c r="OLQ799" s="3796"/>
      <c r="OLR799" s="3796"/>
      <c r="OLS799" s="3796"/>
      <c r="OLT799" s="3796"/>
      <c r="OLU799" s="3796"/>
      <c r="OLV799" s="3796"/>
      <c r="OLW799" s="3796"/>
      <c r="OLX799" s="3796"/>
      <c r="OLY799" s="3796"/>
      <c r="OLZ799" s="3796"/>
      <c r="OMA799" s="3796"/>
      <c r="OMB799" s="3796"/>
      <c r="OMC799" s="3796"/>
      <c r="OMD799" s="3796"/>
      <c r="OME799" s="3796"/>
      <c r="OMF799" s="3796"/>
      <c r="OMG799" s="3796"/>
      <c r="OMH799" s="3796"/>
      <c r="OMI799" s="3796"/>
      <c r="OMJ799" s="3796"/>
      <c r="OMK799" s="3796"/>
      <c r="OML799" s="3796"/>
      <c r="OMM799" s="3796"/>
      <c r="OMN799" s="3796"/>
      <c r="OMO799" s="3796"/>
      <c r="OMP799" s="3796"/>
      <c r="OMQ799" s="3796"/>
      <c r="OMR799" s="3796"/>
      <c r="OMS799" s="3796"/>
      <c r="OMX799" s="3796"/>
      <c r="OND799" s="3796"/>
      <c r="ONE799" s="3796"/>
      <c r="ONF799" s="3796"/>
      <c r="ONJ799" s="3796"/>
      <c r="ONQ799" s="3796"/>
      <c r="ONR799" s="3796"/>
      <c r="ONS799" s="3796"/>
      <c r="ONT799" s="3796"/>
      <c r="ONU799" s="3796"/>
      <c r="ONV799" s="3796"/>
      <c r="ONW799" s="3796"/>
      <c r="ONX799" s="3796"/>
      <c r="ONY799" s="3796"/>
      <c r="ONZ799" s="3796"/>
      <c r="OOA799" s="3796"/>
      <c r="OOB799" s="3796"/>
      <c r="OOC799" s="3796"/>
      <c r="OOD799" s="3796"/>
      <c r="OOE799" s="3796"/>
      <c r="OOF799" s="3796"/>
      <c r="OOG799" s="3796"/>
      <c r="OOH799" s="3796"/>
      <c r="OOI799" s="3796"/>
      <c r="OOJ799" s="3796"/>
      <c r="OOK799" s="3796"/>
      <c r="OOL799" s="3796"/>
      <c r="OOM799" s="3796"/>
      <c r="OON799" s="3796"/>
      <c r="OOO799" s="3796"/>
      <c r="OOP799" s="3796"/>
      <c r="OOQ799" s="3796"/>
      <c r="OOR799" s="3796"/>
      <c r="OOS799" s="3796"/>
      <c r="OOT799" s="3796"/>
      <c r="OOU799" s="3796"/>
      <c r="OOV799" s="3796"/>
      <c r="OOW799" s="3796"/>
      <c r="OOX799" s="3796"/>
      <c r="OOY799" s="3796"/>
      <c r="OOZ799" s="3796"/>
      <c r="OPA799" s="3796"/>
      <c r="OPB799" s="3796"/>
      <c r="OPC799" s="3796"/>
      <c r="OPD799" s="3796"/>
      <c r="OPE799" s="3796"/>
      <c r="OPF799" s="3796"/>
      <c r="OPG799" s="3796"/>
      <c r="OPH799" s="3796"/>
      <c r="OPI799" s="3796"/>
      <c r="OPJ799" s="3796"/>
      <c r="OPK799" s="3796"/>
      <c r="OPL799" s="3796"/>
      <c r="OPM799" s="3796"/>
      <c r="OPN799" s="3796"/>
      <c r="OPO799" s="3796"/>
      <c r="OPP799" s="3796"/>
      <c r="OPQ799" s="3796"/>
      <c r="OPR799" s="3796"/>
      <c r="OPS799" s="3796"/>
      <c r="OPT799" s="3796"/>
      <c r="OPU799" s="3796"/>
      <c r="OPV799" s="3796"/>
      <c r="OPW799" s="3796"/>
      <c r="OPX799" s="3796"/>
      <c r="OPY799" s="3796"/>
      <c r="OPZ799" s="3796"/>
      <c r="OQA799" s="3796"/>
      <c r="OQB799" s="3796"/>
      <c r="OQC799" s="3796"/>
      <c r="OQD799" s="3796"/>
      <c r="OQE799" s="3796"/>
      <c r="OQF799" s="3796"/>
      <c r="OQG799" s="3796"/>
      <c r="OQH799" s="3796"/>
      <c r="OQI799" s="3796"/>
      <c r="OQJ799" s="3796"/>
      <c r="OQK799" s="3796"/>
      <c r="OQL799" s="3796"/>
      <c r="OQM799" s="3796"/>
      <c r="OQN799" s="3796"/>
      <c r="OQO799" s="3796"/>
      <c r="OQP799" s="3796"/>
      <c r="OQQ799" s="3796"/>
      <c r="OQR799" s="3796"/>
      <c r="OQS799" s="3796"/>
      <c r="OQT799" s="3796"/>
      <c r="OQU799" s="3796"/>
      <c r="OQV799" s="3796"/>
      <c r="OQW799" s="3796"/>
      <c r="OQX799" s="3796"/>
      <c r="OQY799" s="3796"/>
      <c r="OQZ799" s="3796"/>
      <c r="ORA799" s="3796"/>
      <c r="ORB799" s="3796"/>
      <c r="ORC799" s="3796"/>
      <c r="ORD799" s="3796"/>
      <c r="ORE799" s="3796"/>
      <c r="ORF799" s="3796"/>
      <c r="ORG799" s="3796"/>
      <c r="ORH799" s="3796"/>
      <c r="ORI799" s="3796"/>
      <c r="ORJ799" s="3796"/>
      <c r="ORK799" s="3796"/>
      <c r="ORL799" s="3796"/>
      <c r="ORM799" s="3796"/>
      <c r="ORN799" s="3796"/>
      <c r="ORO799" s="3796"/>
      <c r="ORP799" s="3796"/>
      <c r="ORQ799" s="3796"/>
      <c r="ORR799" s="3796"/>
      <c r="ORS799" s="3796"/>
      <c r="ORT799" s="3796"/>
      <c r="ORU799" s="3796"/>
      <c r="ORV799" s="3796"/>
      <c r="ORW799" s="3796"/>
      <c r="ORX799" s="3796"/>
      <c r="ORY799" s="3796"/>
      <c r="ORZ799" s="3796"/>
      <c r="OSA799" s="3796"/>
      <c r="OSB799" s="3796"/>
      <c r="OSC799" s="3796"/>
      <c r="OSD799" s="3796"/>
      <c r="OSE799" s="3796"/>
      <c r="OSF799" s="3796"/>
      <c r="OSG799" s="3796"/>
      <c r="OSH799" s="3796"/>
      <c r="OSI799" s="3796"/>
      <c r="OSJ799" s="3796"/>
      <c r="OSK799" s="3796"/>
      <c r="OSL799" s="3796"/>
      <c r="OSM799" s="3796"/>
      <c r="OSN799" s="3796"/>
      <c r="OSO799" s="3796"/>
      <c r="OSP799" s="3796"/>
      <c r="OSQ799" s="3796"/>
      <c r="OSR799" s="3796"/>
      <c r="OSS799" s="3796"/>
      <c r="OST799" s="3796"/>
      <c r="OSU799" s="3796"/>
      <c r="OSV799" s="3796"/>
      <c r="OSW799" s="3796"/>
      <c r="OSX799" s="3796"/>
      <c r="OSY799" s="3796"/>
      <c r="OSZ799" s="3796"/>
      <c r="OTA799" s="3796"/>
      <c r="OTB799" s="3796"/>
      <c r="OTC799" s="3796"/>
      <c r="OTD799" s="3796"/>
      <c r="OTE799" s="3796"/>
      <c r="OTF799" s="3796"/>
      <c r="OTG799" s="3796"/>
      <c r="OTH799" s="3796"/>
      <c r="OTI799" s="3796"/>
      <c r="OTJ799" s="3796"/>
      <c r="OTK799" s="3796"/>
      <c r="OTL799" s="3796"/>
      <c r="OTM799" s="3796"/>
      <c r="OTN799" s="3796"/>
      <c r="OTO799" s="3796"/>
      <c r="OTP799" s="3796"/>
      <c r="OTQ799" s="3796"/>
      <c r="OTR799" s="3796"/>
      <c r="OTS799" s="3796"/>
      <c r="OTT799" s="3796"/>
      <c r="OTU799" s="3796"/>
      <c r="OTV799" s="3796"/>
      <c r="OTW799" s="3796"/>
      <c r="OTX799" s="3796"/>
      <c r="OTY799" s="3796"/>
      <c r="OTZ799" s="3796"/>
      <c r="OUA799" s="3796"/>
      <c r="OUB799" s="3796"/>
      <c r="OUC799" s="3796"/>
      <c r="OUD799" s="3796"/>
      <c r="OUE799" s="3796"/>
      <c r="OUF799" s="3796"/>
      <c r="OUG799" s="3796"/>
      <c r="OUH799" s="3796"/>
      <c r="OUI799" s="3796"/>
      <c r="OUJ799" s="3796"/>
      <c r="OUK799" s="3796"/>
      <c r="OUL799" s="3796"/>
      <c r="OUM799" s="3796"/>
      <c r="OUN799" s="3796"/>
      <c r="OUO799" s="3796"/>
      <c r="OUP799" s="3796"/>
      <c r="OUQ799" s="3796"/>
      <c r="OUR799" s="3796"/>
      <c r="OUS799" s="3796"/>
      <c r="OUT799" s="3796"/>
      <c r="OUU799" s="3796"/>
      <c r="OUV799" s="3796"/>
      <c r="OUW799" s="3796"/>
      <c r="OUX799" s="3796"/>
      <c r="OUY799" s="3796"/>
      <c r="OUZ799" s="3796"/>
      <c r="OVA799" s="3796"/>
      <c r="OVB799" s="3796"/>
      <c r="OVC799" s="3796"/>
      <c r="OVD799" s="3796"/>
      <c r="OVE799" s="3796"/>
      <c r="OVF799" s="3796"/>
      <c r="OVG799" s="3796"/>
      <c r="OVH799" s="3796"/>
      <c r="OVI799" s="3796"/>
      <c r="OVJ799" s="3796"/>
      <c r="OVK799" s="3796"/>
      <c r="OVL799" s="3796"/>
      <c r="OVM799" s="3796"/>
      <c r="OVN799" s="3796"/>
      <c r="OVO799" s="3796"/>
      <c r="OVP799" s="3796"/>
      <c r="OVQ799" s="3796"/>
      <c r="OVR799" s="3796"/>
      <c r="OVS799" s="3796"/>
      <c r="OVT799" s="3796"/>
      <c r="OVU799" s="3796"/>
      <c r="OVV799" s="3796"/>
      <c r="OVW799" s="3796"/>
      <c r="OVX799" s="3796"/>
      <c r="OVY799" s="3796"/>
      <c r="OVZ799" s="3796"/>
      <c r="OWA799" s="3796"/>
      <c r="OWB799" s="3796"/>
      <c r="OWC799" s="3796"/>
      <c r="OWD799" s="3796"/>
      <c r="OWE799" s="3796"/>
      <c r="OWF799" s="3796"/>
      <c r="OWG799" s="3796"/>
      <c r="OWH799" s="3796"/>
      <c r="OWI799" s="3796"/>
      <c r="OWJ799" s="3796"/>
      <c r="OWK799" s="3796"/>
      <c r="OWL799" s="3796"/>
      <c r="OWM799" s="3796"/>
      <c r="OWN799" s="3796"/>
      <c r="OWO799" s="3796"/>
      <c r="OWT799" s="3796"/>
      <c r="OWZ799" s="3796"/>
      <c r="OXA799" s="3796"/>
      <c r="OXB799" s="3796"/>
      <c r="OXF799" s="3796"/>
      <c r="OXM799" s="3796"/>
      <c r="OXN799" s="3796"/>
      <c r="OXO799" s="3796"/>
      <c r="OXP799" s="3796"/>
      <c r="OXQ799" s="3796"/>
      <c r="OXR799" s="3796"/>
      <c r="OXS799" s="3796"/>
      <c r="OXT799" s="3796"/>
      <c r="OXU799" s="3796"/>
      <c r="OXV799" s="3796"/>
      <c r="OXW799" s="3796"/>
      <c r="OXX799" s="3796"/>
      <c r="OXY799" s="3796"/>
      <c r="OXZ799" s="3796"/>
      <c r="OYA799" s="3796"/>
      <c r="OYB799" s="3796"/>
      <c r="OYC799" s="3796"/>
      <c r="OYD799" s="3796"/>
      <c r="OYE799" s="3796"/>
      <c r="OYF799" s="3796"/>
      <c r="OYG799" s="3796"/>
      <c r="OYH799" s="3796"/>
      <c r="OYI799" s="3796"/>
      <c r="OYJ799" s="3796"/>
      <c r="OYK799" s="3796"/>
      <c r="OYL799" s="3796"/>
      <c r="OYM799" s="3796"/>
      <c r="OYN799" s="3796"/>
      <c r="OYO799" s="3796"/>
      <c r="OYP799" s="3796"/>
      <c r="OYQ799" s="3796"/>
      <c r="OYR799" s="3796"/>
      <c r="OYS799" s="3796"/>
      <c r="OYT799" s="3796"/>
      <c r="OYU799" s="3796"/>
      <c r="OYV799" s="3796"/>
      <c r="OYW799" s="3796"/>
      <c r="OYX799" s="3796"/>
      <c r="OYY799" s="3796"/>
      <c r="OYZ799" s="3796"/>
      <c r="OZA799" s="3796"/>
      <c r="OZB799" s="3796"/>
      <c r="OZC799" s="3796"/>
      <c r="OZD799" s="3796"/>
      <c r="OZE799" s="3796"/>
      <c r="OZF799" s="3796"/>
      <c r="OZG799" s="3796"/>
      <c r="OZH799" s="3796"/>
      <c r="OZI799" s="3796"/>
      <c r="OZJ799" s="3796"/>
      <c r="OZK799" s="3796"/>
      <c r="OZL799" s="3796"/>
      <c r="OZM799" s="3796"/>
      <c r="OZN799" s="3796"/>
      <c r="OZO799" s="3796"/>
      <c r="OZP799" s="3796"/>
      <c r="OZQ799" s="3796"/>
      <c r="OZR799" s="3796"/>
      <c r="OZS799" s="3796"/>
      <c r="OZT799" s="3796"/>
      <c r="OZU799" s="3796"/>
      <c r="OZV799" s="3796"/>
      <c r="OZW799" s="3796"/>
      <c r="OZX799" s="3796"/>
      <c r="OZY799" s="3796"/>
      <c r="OZZ799" s="3796"/>
      <c r="PAA799" s="3796"/>
      <c r="PAB799" s="3796"/>
      <c r="PAC799" s="3796"/>
      <c r="PAD799" s="3796"/>
      <c r="PAE799" s="3796"/>
      <c r="PAF799" s="3796"/>
      <c r="PAG799" s="3796"/>
      <c r="PAH799" s="3796"/>
      <c r="PAI799" s="3796"/>
      <c r="PAJ799" s="3796"/>
      <c r="PAK799" s="3796"/>
      <c r="PAL799" s="3796"/>
      <c r="PAM799" s="3796"/>
      <c r="PAN799" s="3796"/>
      <c r="PAO799" s="3796"/>
      <c r="PAP799" s="3796"/>
      <c r="PAQ799" s="3796"/>
      <c r="PAR799" s="3796"/>
      <c r="PAS799" s="3796"/>
      <c r="PAT799" s="3796"/>
      <c r="PAU799" s="3796"/>
      <c r="PAV799" s="3796"/>
      <c r="PAW799" s="3796"/>
      <c r="PAX799" s="3796"/>
      <c r="PAY799" s="3796"/>
      <c r="PAZ799" s="3796"/>
      <c r="PBA799" s="3796"/>
      <c r="PBB799" s="3796"/>
      <c r="PBC799" s="3796"/>
      <c r="PBD799" s="3796"/>
      <c r="PBE799" s="3796"/>
      <c r="PBF799" s="3796"/>
      <c r="PBG799" s="3796"/>
      <c r="PBH799" s="3796"/>
      <c r="PBI799" s="3796"/>
      <c r="PBJ799" s="3796"/>
      <c r="PBK799" s="3796"/>
      <c r="PBL799" s="3796"/>
      <c r="PBM799" s="3796"/>
      <c r="PBN799" s="3796"/>
      <c r="PBO799" s="3796"/>
      <c r="PBP799" s="3796"/>
      <c r="PBQ799" s="3796"/>
      <c r="PBR799" s="3796"/>
      <c r="PBS799" s="3796"/>
      <c r="PBT799" s="3796"/>
      <c r="PBU799" s="3796"/>
      <c r="PBV799" s="3796"/>
      <c r="PBW799" s="3796"/>
      <c r="PBX799" s="3796"/>
      <c r="PBY799" s="3796"/>
      <c r="PBZ799" s="3796"/>
      <c r="PCA799" s="3796"/>
      <c r="PCB799" s="3796"/>
      <c r="PCC799" s="3796"/>
      <c r="PCD799" s="3796"/>
      <c r="PCE799" s="3796"/>
      <c r="PCF799" s="3796"/>
      <c r="PCG799" s="3796"/>
      <c r="PCH799" s="3796"/>
      <c r="PCI799" s="3796"/>
      <c r="PCJ799" s="3796"/>
      <c r="PCK799" s="3796"/>
      <c r="PCL799" s="3796"/>
      <c r="PCM799" s="3796"/>
      <c r="PCN799" s="3796"/>
      <c r="PCO799" s="3796"/>
      <c r="PCP799" s="3796"/>
      <c r="PCQ799" s="3796"/>
      <c r="PCR799" s="3796"/>
      <c r="PCS799" s="3796"/>
      <c r="PCT799" s="3796"/>
      <c r="PCU799" s="3796"/>
      <c r="PCV799" s="3796"/>
      <c r="PCW799" s="3796"/>
      <c r="PCX799" s="3796"/>
      <c r="PCY799" s="3796"/>
      <c r="PCZ799" s="3796"/>
      <c r="PDA799" s="3796"/>
      <c r="PDB799" s="3796"/>
      <c r="PDC799" s="3796"/>
      <c r="PDD799" s="3796"/>
      <c r="PDE799" s="3796"/>
      <c r="PDF799" s="3796"/>
      <c r="PDG799" s="3796"/>
      <c r="PDH799" s="3796"/>
      <c r="PDI799" s="3796"/>
      <c r="PDJ799" s="3796"/>
      <c r="PDK799" s="3796"/>
      <c r="PDL799" s="3796"/>
      <c r="PDM799" s="3796"/>
      <c r="PDN799" s="3796"/>
      <c r="PDO799" s="3796"/>
      <c r="PDP799" s="3796"/>
      <c r="PDQ799" s="3796"/>
      <c r="PDR799" s="3796"/>
      <c r="PDS799" s="3796"/>
      <c r="PDT799" s="3796"/>
      <c r="PDU799" s="3796"/>
      <c r="PDV799" s="3796"/>
      <c r="PDW799" s="3796"/>
      <c r="PDX799" s="3796"/>
      <c r="PDY799" s="3796"/>
      <c r="PDZ799" s="3796"/>
      <c r="PEA799" s="3796"/>
      <c r="PEB799" s="3796"/>
      <c r="PEC799" s="3796"/>
      <c r="PED799" s="3796"/>
      <c r="PEE799" s="3796"/>
      <c r="PEF799" s="3796"/>
      <c r="PEG799" s="3796"/>
      <c r="PEH799" s="3796"/>
      <c r="PEI799" s="3796"/>
      <c r="PEJ799" s="3796"/>
      <c r="PEK799" s="3796"/>
      <c r="PEL799" s="3796"/>
      <c r="PEM799" s="3796"/>
      <c r="PEN799" s="3796"/>
      <c r="PEO799" s="3796"/>
      <c r="PEP799" s="3796"/>
      <c r="PEQ799" s="3796"/>
      <c r="PER799" s="3796"/>
      <c r="PES799" s="3796"/>
      <c r="PET799" s="3796"/>
      <c r="PEU799" s="3796"/>
      <c r="PEV799" s="3796"/>
      <c r="PEW799" s="3796"/>
      <c r="PEX799" s="3796"/>
      <c r="PEY799" s="3796"/>
      <c r="PEZ799" s="3796"/>
      <c r="PFA799" s="3796"/>
      <c r="PFB799" s="3796"/>
      <c r="PFC799" s="3796"/>
      <c r="PFD799" s="3796"/>
      <c r="PFE799" s="3796"/>
      <c r="PFF799" s="3796"/>
      <c r="PFG799" s="3796"/>
      <c r="PFH799" s="3796"/>
      <c r="PFI799" s="3796"/>
      <c r="PFJ799" s="3796"/>
      <c r="PFK799" s="3796"/>
      <c r="PFL799" s="3796"/>
      <c r="PFM799" s="3796"/>
      <c r="PFN799" s="3796"/>
      <c r="PFO799" s="3796"/>
      <c r="PFP799" s="3796"/>
      <c r="PFQ799" s="3796"/>
      <c r="PFR799" s="3796"/>
      <c r="PFS799" s="3796"/>
      <c r="PFT799" s="3796"/>
      <c r="PFU799" s="3796"/>
      <c r="PFV799" s="3796"/>
      <c r="PFW799" s="3796"/>
      <c r="PFX799" s="3796"/>
      <c r="PFY799" s="3796"/>
      <c r="PFZ799" s="3796"/>
      <c r="PGA799" s="3796"/>
      <c r="PGB799" s="3796"/>
      <c r="PGC799" s="3796"/>
      <c r="PGD799" s="3796"/>
      <c r="PGE799" s="3796"/>
      <c r="PGF799" s="3796"/>
      <c r="PGG799" s="3796"/>
      <c r="PGH799" s="3796"/>
      <c r="PGI799" s="3796"/>
      <c r="PGJ799" s="3796"/>
      <c r="PGK799" s="3796"/>
      <c r="PGP799" s="3796"/>
      <c r="PGV799" s="3796"/>
      <c r="PGW799" s="3796"/>
      <c r="PGX799" s="3796"/>
      <c r="PHB799" s="3796"/>
      <c r="PHI799" s="3796"/>
      <c r="PHJ799" s="3796"/>
      <c r="PHK799" s="3796"/>
      <c r="PHL799" s="3796"/>
      <c r="PHM799" s="3796"/>
      <c r="PHN799" s="3796"/>
      <c r="PHO799" s="3796"/>
      <c r="PHP799" s="3796"/>
      <c r="PHQ799" s="3796"/>
      <c r="PHR799" s="3796"/>
      <c r="PHS799" s="3796"/>
      <c r="PHT799" s="3796"/>
      <c r="PHU799" s="3796"/>
      <c r="PHV799" s="3796"/>
      <c r="PHW799" s="3796"/>
      <c r="PHX799" s="3796"/>
      <c r="PHY799" s="3796"/>
      <c r="PHZ799" s="3796"/>
      <c r="PIA799" s="3796"/>
      <c r="PIB799" s="3796"/>
      <c r="PIC799" s="3796"/>
      <c r="PID799" s="3796"/>
      <c r="PIE799" s="3796"/>
      <c r="PIF799" s="3796"/>
      <c r="PIG799" s="3796"/>
      <c r="PIH799" s="3796"/>
      <c r="PII799" s="3796"/>
      <c r="PIJ799" s="3796"/>
      <c r="PIK799" s="3796"/>
      <c r="PIL799" s="3796"/>
      <c r="PIM799" s="3796"/>
      <c r="PIN799" s="3796"/>
      <c r="PIO799" s="3796"/>
      <c r="PIP799" s="3796"/>
      <c r="PIQ799" s="3796"/>
      <c r="PIR799" s="3796"/>
      <c r="PIS799" s="3796"/>
      <c r="PIT799" s="3796"/>
      <c r="PIU799" s="3796"/>
      <c r="PIV799" s="3796"/>
      <c r="PIW799" s="3796"/>
      <c r="PIX799" s="3796"/>
      <c r="PIY799" s="3796"/>
      <c r="PIZ799" s="3796"/>
      <c r="PJA799" s="3796"/>
      <c r="PJB799" s="3796"/>
      <c r="PJC799" s="3796"/>
      <c r="PJD799" s="3796"/>
      <c r="PJE799" s="3796"/>
      <c r="PJF799" s="3796"/>
      <c r="PJG799" s="3796"/>
      <c r="PJH799" s="3796"/>
      <c r="PJI799" s="3796"/>
      <c r="PJJ799" s="3796"/>
      <c r="PJK799" s="3796"/>
      <c r="PJL799" s="3796"/>
      <c r="PJM799" s="3796"/>
      <c r="PJN799" s="3796"/>
      <c r="PJO799" s="3796"/>
      <c r="PJP799" s="3796"/>
      <c r="PJQ799" s="3796"/>
      <c r="PJR799" s="3796"/>
      <c r="PJS799" s="3796"/>
      <c r="PJT799" s="3796"/>
      <c r="PJU799" s="3796"/>
      <c r="PJV799" s="3796"/>
      <c r="PJW799" s="3796"/>
      <c r="PJX799" s="3796"/>
      <c r="PJY799" s="3796"/>
      <c r="PJZ799" s="3796"/>
      <c r="PKA799" s="3796"/>
      <c r="PKB799" s="3796"/>
      <c r="PKC799" s="3796"/>
      <c r="PKD799" s="3796"/>
      <c r="PKE799" s="3796"/>
      <c r="PKF799" s="3796"/>
      <c r="PKG799" s="3796"/>
      <c r="PKH799" s="3796"/>
      <c r="PKI799" s="3796"/>
      <c r="PKJ799" s="3796"/>
      <c r="PKK799" s="3796"/>
      <c r="PKL799" s="3796"/>
      <c r="PKM799" s="3796"/>
      <c r="PKN799" s="3796"/>
      <c r="PKO799" s="3796"/>
      <c r="PKP799" s="3796"/>
      <c r="PKQ799" s="3796"/>
      <c r="PKR799" s="3796"/>
      <c r="PKS799" s="3796"/>
      <c r="PKT799" s="3796"/>
      <c r="PKU799" s="3796"/>
      <c r="PKV799" s="3796"/>
      <c r="PKW799" s="3796"/>
      <c r="PKX799" s="3796"/>
      <c r="PKY799" s="3796"/>
      <c r="PKZ799" s="3796"/>
      <c r="PLA799" s="3796"/>
      <c r="PLB799" s="3796"/>
      <c r="PLC799" s="3796"/>
      <c r="PLD799" s="3796"/>
      <c r="PLE799" s="3796"/>
      <c r="PLF799" s="3796"/>
      <c r="PLG799" s="3796"/>
      <c r="PLH799" s="3796"/>
      <c r="PLI799" s="3796"/>
      <c r="PLJ799" s="3796"/>
      <c r="PLK799" s="3796"/>
      <c r="PLL799" s="3796"/>
      <c r="PLM799" s="3796"/>
      <c r="PLN799" s="3796"/>
      <c r="PLO799" s="3796"/>
      <c r="PLP799" s="3796"/>
      <c r="PLQ799" s="3796"/>
      <c r="PLR799" s="3796"/>
      <c r="PLS799" s="3796"/>
      <c r="PLT799" s="3796"/>
      <c r="PLU799" s="3796"/>
      <c r="PLV799" s="3796"/>
      <c r="PLW799" s="3796"/>
      <c r="PLX799" s="3796"/>
      <c r="PLY799" s="3796"/>
      <c r="PLZ799" s="3796"/>
      <c r="PMA799" s="3796"/>
      <c r="PMB799" s="3796"/>
      <c r="PMC799" s="3796"/>
      <c r="PMD799" s="3796"/>
      <c r="PME799" s="3796"/>
      <c r="PMF799" s="3796"/>
      <c r="PMG799" s="3796"/>
      <c r="PMH799" s="3796"/>
      <c r="PMI799" s="3796"/>
      <c r="PMJ799" s="3796"/>
      <c r="PMK799" s="3796"/>
      <c r="PML799" s="3796"/>
      <c r="PMM799" s="3796"/>
      <c r="PMN799" s="3796"/>
      <c r="PMO799" s="3796"/>
      <c r="PMP799" s="3796"/>
      <c r="PMQ799" s="3796"/>
      <c r="PMR799" s="3796"/>
      <c r="PMS799" s="3796"/>
      <c r="PMT799" s="3796"/>
      <c r="PMU799" s="3796"/>
      <c r="PMV799" s="3796"/>
      <c r="PMW799" s="3796"/>
      <c r="PMX799" s="3796"/>
      <c r="PMY799" s="3796"/>
      <c r="PMZ799" s="3796"/>
      <c r="PNA799" s="3796"/>
      <c r="PNB799" s="3796"/>
      <c r="PNC799" s="3796"/>
      <c r="PND799" s="3796"/>
      <c r="PNE799" s="3796"/>
      <c r="PNF799" s="3796"/>
      <c r="PNG799" s="3796"/>
      <c r="PNH799" s="3796"/>
      <c r="PNI799" s="3796"/>
      <c r="PNJ799" s="3796"/>
      <c r="PNK799" s="3796"/>
      <c r="PNL799" s="3796"/>
      <c r="PNM799" s="3796"/>
      <c r="PNN799" s="3796"/>
      <c r="PNO799" s="3796"/>
      <c r="PNP799" s="3796"/>
      <c r="PNQ799" s="3796"/>
      <c r="PNR799" s="3796"/>
      <c r="PNS799" s="3796"/>
      <c r="PNT799" s="3796"/>
      <c r="PNU799" s="3796"/>
      <c r="PNV799" s="3796"/>
      <c r="PNW799" s="3796"/>
      <c r="PNX799" s="3796"/>
      <c r="PNY799" s="3796"/>
      <c r="PNZ799" s="3796"/>
      <c r="POA799" s="3796"/>
      <c r="POB799" s="3796"/>
      <c r="POC799" s="3796"/>
      <c r="POD799" s="3796"/>
      <c r="POE799" s="3796"/>
      <c r="POF799" s="3796"/>
      <c r="POG799" s="3796"/>
      <c r="POH799" s="3796"/>
      <c r="POI799" s="3796"/>
      <c r="POJ799" s="3796"/>
      <c r="POK799" s="3796"/>
      <c r="POL799" s="3796"/>
      <c r="POM799" s="3796"/>
      <c r="PON799" s="3796"/>
      <c r="POO799" s="3796"/>
      <c r="POP799" s="3796"/>
      <c r="POQ799" s="3796"/>
      <c r="POR799" s="3796"/>
      <c r="POS799" s="3796"/>
      <c r="POT799" s="3796"/>
      <c r="POU799" s="3796"/>
      <c r="POV799" s="3796"/>
      <c r="POW799" s="3796"/>
      <c r="POX799" s="3796"/>
      <c r="POY799" s="3796"/>
      <c r="POZ799" s="3796"/>
      <c r="PPA799" s="3796"/>
      <c r="PPB799" s="3796"/>
      <c r="PPC799" s="3796"/>
      <c r="PPD799" s="3796"/>
      <c r="PPE799" s="3796"/>
      <c r="PPF799" s="3796"/>
      <c r="PPG799" s="3796"/>
      <c r="PPH799" s="3796"/>
      <c r="PPI799" s="3796"/>
      <c r="PPJ799" s="3796"/>
      <c r="PPK799" s="3796"/>
      <c r="PPL799" s="3796"/>
      <c r="PPM799" s="3796"/>
      <c r="PPN799" s="3796"/>
      <c r="PPO799" s="3796"/>
      <c r="PPP799" s="3796"/>
      <c r="PPQ799" s="3796"/>
      <c r="PPR799" s="3796"/>
      <c r="PPS799" s="3796"/>
      <c r="PPT799" s="3796"/>
      <c r="PPU799" s="3796"/>
      <c r="PPV799" s="3796"/>
      <c r="PPW799" s="3796"/>
      <c r="PPX799" s="3796"/>
      <c r="PPY799" s="3796"/>
      <c r="PPZ799" s="3796"/>
      <c r="PQA799" s="3796"/>
      <c r="PQB799" s="3796"/>
      <c r="PQC799" s="3796"/>
      <c r="PQD799" s="3796"/>
      <c r="PQE799" s="3796"/>
      <c r="PQF799" s="3796"/>
      <c r="PQG799" s="3796"/>
      <c r="PQL799" s="3796"/>
      <c r="PQR799" s="3796"/>
      <c r="PQS799" s="3796"/>
      <c r="PQT799" s="3796"/>
      <c r="PQX799" s="3796"/>
      <c r="PRE799" s="3796"/>
      <c r="PRF799" s="3796"/>
      <c r="PRG799" s="3796"/>
      <c r="PRH799" s="3796"/>
      <c r="PRI799" s="3796"/>
      <c r="PRJ799" s="3796"/>
      <c r="PRK799" s="3796"/>
      <c r="PRL799" s="3796"/>
      <c r="PRM799" s="3796"/>
      <c r="PRN799" s="3796"/>
      <c r="PRO799" s="3796"/>
      <c r="PRP799" s="3796"/>
      <c r="PRQ799" s="3796"/>
      <c r="PRR799" s="3796"/>
      <c r="PRS799" s="3796"/>
      <c r="PRT799" s="3796"/>
      <c r="PRU799" s="3796"/>
      <c r="PRV799" s="3796"/>
      <c r="PRW799" s="3796"/>
      <c r="PRX799" s="3796"/>
      <c r="PRY799" s="3796"/>
      <c r="PRZ799" s="3796"/>
      <c r="PSA799" s="3796"/>
      <c r="PSB799" s="3796"/>
      <c r="PSC799" s="3796"/>
      <c r="PSD799" s="3796"/>
      <c r="PSE799" s="3796"/>
      <c r="PSF799" s="3796"/>
      <c r="PSG799" s="3796"/>
      <c r="PSH799" s="3796"/>
      <c r="PSI799" s="3796"/>
      <c r="PSJ799" s="3796"/>
      <c r="PSK799" s="3796"/>
      <c r="PSL799" s="3796"/>
      <c r="PSM799" s="3796"/>
      <c r="PSN799" s="3796"/>
      <c r="PSO799" s="3796"/>
      <c r="PSP799" s="3796"/>
      <c r="PSQ799" s="3796"/>
      <c r="PSR799" s="3796"/>
      <c r="PSS799" s="3796"/>
      <c r="PST799" s="3796"/>
      <c r="PSU799" s="3796"/>
      <c r="PSV799" s="3796"/>
      <c r="PSW799" s="3796"/>
      <c r="PSX799" s="3796"/>
      <c r="PSY799" s="3796"/>
      <c r="PSZ799" s="3796"/>
      <c r="PTA799" s="3796"/>
      <c r="PTB799" s="3796"/>
      <c r="PTC799" s="3796"/>
      <c r="PTD799" s="3796"/>
      <c r="PTE799" s="3796"/>
      <c r="PTF799" s="3796"/>
      <c r="PTG799" s="3796"/>
      <c r="PTH799" s="3796"/>
      <c r="PTI799" s="3796"/>
      <c r="PTJ799" s="3796"/>
      <c r="PTK799" s="3796"/>
      <c r="PTL799" s="3796"/>
      <c r="PTM799" s="3796"/>
      <c r="PTN799" s="3796"/>
      <c r="PTO799" s="3796"/>
      <c r="PTP799" s="3796"/>
      <c r="PTQ799" s="3796"/>
      <c r="PTR799" s="3796"/>
      <c r="PTS799" s="3796"/>
      <c r="PTT799" s="3796"/>
      <c r="PTU799" s="3796"/>
      <c r="PTV799" s="3796"/>
      <c r="PTW799" s="3796"/>
      <c r="PTX799" s="3796"/>
      <c r="PTY799" s="3796"/>
      <c r="PTZ799" s="3796"/>
      <c r="PUA799" s="3796"/>
      <c r="PUB799" s="3796"/>
      <c r="PUC799" s="3796"/>
      <c r="PUD799" s="3796"/>
      <c r="PUE799" s="3796"/>
      <c r="PUF799" s="3796"/>
      <c r="PUG799" s="3796"/>
      <c r="PUH799" s="3796"/>
      <c r="PUI799" s="3796"/>
      <c r="PUJ799" s="3796"/>
      <c r="PUK799" s="3796"/>
      <c r="PUL799" s="3796"/>
      <c r="PUM799" s="3796"/>
      <c r="PUN799" s="3796"/>
      <c r="PUO799" s="3796"/>
      <c r="PUP799" s="3796"/>
      <c r="PUQ799" s="3796"/>
      <c r="PUR799" s="3796"/>
      <c r="PUS799" s="3796"/>
      <c r="PUT799" s="3796"/>
      <c r="PUU799" s="3796"/>
      <c r="PUV799" s="3796"/>
      <c r="PUW799" s="3796"/>
      <c r="PUX799" s="3796"/>
      <c r="PUY799" s="3796"/>
      <c r="PUZ799" s="3796"/>
      <c r="PVA799" s="3796"/>
      <c r="PVB799" s="3796"/>
      <c r="PVC799" s="3796"/>
      <c r="PVD799" s="3796"/>
      <c r="PVE799" s="3796"/>
      <c r="PVF799" s="3796"/>
      <c r="PVG799" s="3796"/>
      <c r="PVH799" s="3796"/>
      <c r="PVI799" s="3796"/>
      <c r="PVJ799" s="3796"/>
      <c r="PVK799" s="3796"/>
      <c r="PVL799" s="3796"/>
      <c r="PVM799" s="3796"/>
      <c r="PVN799" s="3796"/>
      <c r="PVO799" s="3796"/>
      <c r="PVP799" s="3796"/>
      <c r="PVQ799" s="3796"/>
      <c r="PVR799" s="3796"/>
      <c r="PVS799" s="3796"/>
      <c r="PVT799" s="3796"/>
      <c r="PVU799" s="3796"/>
      <c r="PVV799" s="3796"/>
      <c r="PVW799" s="3796"/>
      <c r="PVX799" s="3796"/>
      <c r="PVY799" s="3796"/>
      <c r="PVZ799" s="3796"/>
      <c r="PWA799" s="3796"/>
      <c r="PWB799" s="3796"/>
      <c r="PWC799" s="3796"/>
      <c r="PWD799" s="3796"/>
      <c r="PWE799" s="3796"/>
      <c r="PWF799" s="3796"/>
      <c r="PWG799" s="3796"/>
      <c r="PWH799" s="3796"/>
      <c r="PWI799" s="3796"/>
      <c r="PWJ799" s="3796"/>
      <c r="PWK799" s="3796"/>
      <c r="PWL799" s="3796"/>
      <c r="PWM799" s="3796"/>
      <c r="PWN799" s="3796"/>
      <c r="PWO799" s="3796"/>
      <c r="PWP799" s="3796"/>
      <c r="PWQ799" s="3796"/>
      <c r="PWR799" s="3796"/>
      <c r="PWS799" s="3796"/>
      <c r="PWT799" s="3796"/>
      <c r="PWU799" s="3796"/>
      <c r="PWV799" s="3796"/>
      <c r="PWW799" s="3796"/>
      <c r="PWX799" s="3796"/>
      <c r="PWY799" s="3796"/>
      <c r="PWZ799" s="3796"/>
      <c r="PXA799" s="3796"/>
      <c r="PXB799" s="3796"/>
      <c r="PXC799" s="3796"/>
      <c r="PXD799" s="3796"/>
      <c r="PXE799" s="3796"/>
      <c r="PXF799" s="3796"/>
      <c r="PXG799" s="3796"/>
      <c r="PXH799" s="3796"/>
      <c r="PXI799" s="3796"/>
      <c r="PXJ799" s="3796"/>
      <c r="PXK799" s="3796"/>
      <c r="PXL799" s="3796"/>
      <c r="PXM799" s="3796"/>
      <c r="PXN799" s="3796"/>
      <c r="PXO799" s="3796"/>
      <c r="PXP799" s="3796"/>
      <c r="PXQ799" s="3796"/>
      <c r="PXR799" s="3796"/>
      <c r="PXS799" s="3796"/>
      <c r="PXT799" s="3796"/>
      <c r="PXU799" s="3796"/>
      <c r="PXV799" s="3796"/>
      <c r="PXW799" s="3796"/>
      <c r="PXX799" s="3796"/>
      <c r="PXY799" s="3796"/>
      <c r="PXZ799" s="3796"/>
      <c r="PYA799" s="3796"/>
      <c r="PYB799" s="3796"/>
      <c r="PYC799" s="3796"/>
      <c r="PYD799" s="3796"/>
      <c r="PYE799" s="3796"/>
      <c r="PYF799" s="3796"/>
      <c r="PYG799" s="3796"/>
      <c r="PYH799" s="3796"/>
      <c r="PYI799" s="3796"/>
      <c r="PYJ799" s="3796"/>
      <c r="PYK799" s="3796"/>
      <c r="PYL799" s="3796"/>
      <c r="PYM799" s="3796"/>
      <c r="PYN799" s="3796"/>
      <c r="PYO799" s="3796"/>
      <c r="PYP799" s="3796"/>
      <c r="PYQ799" s="3796"/>
      <c r="PYR799" s="3796"/>
      <c r="PYS799" s="3796"/>
      <c r="PYT799" s="3796"/>
      <c r="PYU799" s="3796"/>
      <c r="PYV799" s="3796"/>
      <c r="PYW799" s="3796"/>
      <c r="PYX799" s="3796"/>
      <c r="PYY799" s="3796"/>
      <c r="PYZ799" s="3796"/>
      <c r="PZA799" s="3796"/>
      <c r="PZB799" s="3796"/>
      <c r="PZC799" s="3796"/>
      <c r="PZD799" s="3796"/>
      <c r="PZE799" s="3796"/>
      <c r="PZF799" s="3796"/>
      <c r="PZG799" s="3796"/>
      <c r="PZH799" s="3796"/>
      <c r="PZI799" s="3796"/>
      <c r="PZJ799" s="3796"/>
      <c r="PZK799" s="3796"/>
      <c r="PZL799" s="3796"/>
      <c r="PZM799" s="3796"/>
      <c r="PZN799" s="3796"/>
      <c r="PZO799" s="3796"/>
      <c r="PZP799" s="3796"/>
      <c r="PZQ799" s="3796"/>
      <c r="PZR799" s="3796"/>
      <c r="PZS799" s="3796"/>
      <c r="PZT799" s="3796"/>
      <c r="PZU799" s="3796"/>
      <c r="PZV799" s="3796"/>
      <c r="PZW799" s="3796"/>
      <c r="PZX799" s="3796"/>
      <c r="PZY799" s="3796"/>
      <c r="PZZ799" s="3796"/>
      <c r="QAA799" s="3796"/>
      <c r="QAB799" s="3796"/>
      <c r="QAC799" s="3796"/>
      <c r="QAH799" s="3796"/>
      <c r="QAN799" s="3796"/>
      <c r="QAO799" s="3796"/>
      <c r="QAP799" s="3796"/>
      <c r="QAT799" s="3796"/>
      <c r="QBA799" s="3796"/>
      <c r="QBB799" s="3796"/>
      <c r="QBC799" s="3796"/>
      <c r="QBD799" s="3796"/>
      <c r="QBE799" s="3796"/>
      <c r="QBF799" s="3796"/>
      <c r="QBG799" s="3796"/>
      <c r="QBH799" s="3796"/>
      <c r="QBI799" s="3796"/>
      <c r="QBJ799" s="3796"/>
      <c r="QBK799" s="3796"/>
      <c r="QBL799" s="3796"/>
      <c r="QBM799" s="3796"/>
      <c r="QBN799" s="3796"/>
      <c r="QBO799" s="3796"/>
      <c r="QBP799" s="3796"/>
      <c r="QBQ799" s="3796"/>
      <c r="QBR799" s="3796"/>
      <c r="QBS799" s="3796"/>
      <c r="QBT799" s="3796"/>
      <c r="QBU799" s="3796"/>
      <c r="QBV799" s="3796"/>
      <c r="QBW799" s="3796"/>
      <c r="QBX799" s="3796"/>
      <c r="QBY799" s="3796"/>
      <c r="QBZ799" s="3796"/>
      <c r="QCA799" s="3796"/>
      <c r="QCB799" s="3796"/>
      <c r="QCC799" s="3796"/>
      <c r="QCD799" s="3796"/>
      <c r="QCE799" s="3796"/>
      <c r="QCF799" s="3796"/>
      <c r="QCG799" s="3796"/>
      <c r="QCH799" s="3796"/>
      <c r="QCI799" s="3796"/>
      <c r="QCJ799" s="3796"/>
      <c r="QCK799" s="3796"/>
      <c r="QCL799" s="3796"/>
      <c r="QCM799" s="3796"/>
      <c r="QCN799" s="3796"/>
      <c r="QCO799" s="3796"/>
      <c r="QCP799" s="3796"/>
      <c r="QCQ799" s="3796"/>
      <c r="QCR799" s="3796"/>
      <c r="QCS799" s="3796"/>
      <c r="QCT799" s="3796"/>
      <c r="QCU799" s="3796"/>
      <c r="QCV799" s="3796"/>
      <c r="QCW799" s="3796"/>
      <c r="QCX799" s="3796"/>
      <c r="QCY799" s="3796"/>
      <c r="QCZ799" s="3796"/>
      <c r="QDA799" s="3796"/>
      <c r="QDB799" s="3796"/>
      <c r="QDC799" s="3796"/>
      <c r="QDD799" s="3796"/>
      <c r="QDE799" s="3796"/>
      <c r="QDF799" s="3796"/>
      <c r="QDG799" s="3796"/>
      <c r="QDH799" s="3796"/>
      <c r="QDI799" s="3796"/>
      <c r="QDJ799" s="3796"/>
      <c r="QDK799" s="3796"/>
      <c r="QDL799" s="3796"/>
      <c r="QDM799" s="3796"/>
      <c r="QDN799" s="3796"/>
      <c r="QDO799" s="3796"/>
      <c r="QDP799" s="3796"/>
      <c r="QDQ799" s="3796"/>
      <c r="QDR799" s="3796"/>
      <c r="QDS799" s="3796"/>
      <c r="QDT799" s="3796"/>
      <c r="QDU799" s="3796"/>
      <c r="QDV799" s="3796"/>
      <c r="QDW799" s="3796"/>
      <c r="QDX799" s="3796"/>
      <c r="QDY799" s="3796"/>
      <c r="QDZ799" s="3796"/>
      <c r="QEA799" s="3796"/>
      <c r="QEB799" s="3796"/>
      <c r="QEC799" s="3796"/>
      <c r="QED799" s="3796"/>
      <c r="QEE799" s="3796"/>
      <c r="QEF799" s="3796"/>
      <c r="QEG799" s="3796"/>
      <c r="QEH799" s="3796"/>
      <c r="QEI799" s="3796"/>
      <c r="QEJ799" s="3796"/>
      <c r="QEK799" s="3796"/>
      <c r="QEL799" s="3796"/>
      <c r="QEM799" s="3796"/>
      <c r="QEN799" s="3796"/>
      <c r="QEO799" s="3796"/>
      <c r="QEP799" s="3796"/>
      <c r="QEQ799" s="3796"/>
      <c r="QER799" s="3796"/>
      <c r="QES799" s="3796"/>
      <c r="QET799" s="3796"/>
      <c r="QEU799" s="3796"/>
      <c r="QEV799" s="3796"/>
      <c r="QEW799" s="3796"/>
      <c r="QEX799" s="3796"/>
      <c r="QEY799" s="3796"/>
      <c r="QEZ799" s="3796"/>
      <c r="QFA799" s="3796"/>
      <c r="QFB799" s="3796"/>
      <c r="QFC799" s="3796"/>
      <c r="QFD799" s="3796"/>
      <c r="QFE799" s="3796"/>
      <c r="QFF799" s="3796"/>
      <c r="QFG799" s="3796"/>
      <c r="QFH799" s="3796"/>
      <c r="QFI799" s="3796"/>
      <c r="QFJ799" s="3796"/>
      <c r="QFK799" s="3796"/>
      <c r="QFL799" s="3796"/>
      <c r="QFM799" s="3796"/>
      <c r="QFN799" s="3796"/>
      <c r="QFO799" s="3796"/>
      <c r="QFP799" s="3796"/>
      <c r="QFQ799" s="3796"/>
      <c r="QFR799" s="3796"/>
      <c r="QFS799" s="3796"/>
      <c r="QFT799" s="3796"/>
      <c r="QFU799" s="3796"/>
      <c r="QFV799" s="3796"/>
      <c r="QFW799" s="3796"/>
      <c r="QFX799" s="3796"/>
      <c r="QFY799" s="3796"/>
      <c r="QFZ799" s="3796"/>
      <c r="QGA799" s="3796"/>
      <c r="QGB799" s="3796"/>
      <c r="QGC799" s="3796"/>
      <c r="QGD799" s="3796"/>
      <c r="QGE799" s="3796"/>
      <c r="QGF799" s="3796"/>
      <c r="QGG799" s="3796"/>
      <c r="QGH799" s="3796"/>
      <c r="QGI799" s="3796"/>
      <c r="QGJ799" s="3796"/>
      <c r="QGK799" s="3796"/>
      <c r="QGL799" s="3796"/>
      <c r="QGM799" s="3796"/>
      <c r="QGN799" s="3796"/>
      <c r="QGO799" s="3796"/>
      <c r="QGP799" s="3796"/>
      <c r="QGQ799" s="3796"/>
      <c r="QGR799" s="3796"/>
      <c r="QGS799" s="3796"/>
      <c r="QGT799" s="3796"/>
      <c r="QGU799" s="3796"/>
      <c r="QGV799" s="3796"/>
      <c r="QGW799" s="3796"/>
      <c r="QGX799" s="3796"/>
      <c r="QGY799" s="3796"/>
      <c r="QGZ799" s="3796"/>
      <c r="QHA799" s="3796"/>
      <c r="QHB799" s="3796"/>
      <c r="QHC799" s="3796"/>
      <c r="QHD799" s="3796"/>
      <c r="QHE799" s="3796"/>
      <c r="QHF799" s="3796"/>
      <c r="QHG799" s="3796"/>
      <c r="QHH799" s="3796"/>
      <c r="QHI799" s="3796"/>
      <c r="QHJ799" s="3796"/>
      <c r="QHK799" s="3796"/>
      <c r="QHL799" s="3796"/>
      <c r="QHM799" s="3796"/>
      <c r="QHN799" s="3796"/>
      <c r="QHO799" s="3796"/>
      <c r="QHP799" s="3796"/>
      <c r="QHQ799" s="3796"/>
      <c r="QHR799" s="3796"/>
      <c r="QHS799" s="3796"/>
      <c r="QHT799" s="3796"/>
      <c r="QHU799" s="3796"/>
      <c r="QHV799" s="3796"/>
      <c r="QHW799" s="3796"/>
      <c r="QHX799" s="3796"/>
      <c r="QHY799" s="3796"/>
      <c r="QHZ799" s="3796"/>
      <c r="QIA799" s="3796"/>
      <c r="QIB799" s="3796"/>
      <c r="QIC799" s="3796"/>
      <c r="QID799" s="3796"/>
      <c r="QIE799" s="3796"/>
      <c r="QIF799" s="3796"/>
      <c r="QIG799" s="3796"/>
      <c r="QIH799" s="3796"/>
      <c r="QII799" s="3796"/>
      <c r="QIJ799" s="3796"/>
      <c r="QIK799" s="3796"/>
      <c r="QIL799" s="3796"/>
      <c r="QIM799" s="3796"/>
      <c r="QIN799" s="3796"/>
      <c r="QIO799" s="3796"/>
      <c r="QIP799" s="3796"/>
      <c r="QIQ799" s="3796"/>
      <c r="QIR799" s="3796"/>
      <c r="QIS799" s="3796"/>
      <c r="QIT799" s="3796"/>
      <c r="QIU799" s="3796"/>
      <c r="QIV799" s="3796"/>
      <c r="QIW799" s="3796"/>
      <c r="QIX799" s="3796"/>
      <c r="QIY799" s="3796"/>
      <c r="QIZ799" s="3796"/>
      <c r="QJA799" s="3796"/>
      <c r="QJB799" s="3796"/>
      <c r="QJC799" s="3796"/>
      <c r="QJD799" s="3796"/>
      <c r="QJE799" s="3796"/>
      <c r="QJF799" s="3796"/>
      <c r="QJG799" s="3796"/>
      <c r="QJH799" s="3796"/>
      <c r="QJI799" s="3796"/>
      <c r="QJJ799" s="3796"/>
      <c r="QJK799" s="3796"/>
      <c r="QJL799" s="3796"/>
      <c r="QJM799" s="3796"/>
      <c r="QJN799" s="3796"/>
      <c r="QJO799" s="3796"/>
      <c r="QJP799" s="3796"/>
      <c r="QJQ799" s="3796"/>
      <c r="QJR799" s="3796"/>
      <c r="QJS799" s="3796"/>
      <c r="QJT799" s="3796"/>
      <c r="QJU799" s="3796"/>
      <c r="QJV799" s="3796"/>
      <c r="QJW799" s="3796"/>
      <c r="QJX799" s="3796"/>
      <c r="QJY799" s="3796"/>
      <c r="QKD799" s="3796"/>
      <c r="QKJ799" s="3796"/>
      <c r="QKK799" s="3796"/>
      <c r="QKL799" s="3796"/>
      <c r="QKP799" s="3796"/>
      <c r="QKW799" s="3796"/>
      <c r="QKX799" s="3796"/>
      <c r="QKY799" s="3796"/>
      <c r="QKZ799" s="3796"/>
      <c r="QLA799" s="3796"/>
      <c r="QLB799" s="3796"/>
      <c r="QLC799" s="3796"/>
      <c r="QLD799" s="3796"/>
      <c r="QLE799" s="3796"/>
      <c r="QLF799" s="3796"/>
      <c r="QLG799" s="3796"/>
      <c r="QLH799" s="3796"/>
      <c r="QLI799" s="3796"/>
      <c r="QLJ799" s="3796"/>
      <c r="QLK799" s="3796"/>
      <c r="QLL799" s="3796"/>
      <c r="QLM799" s="3796"/>
      <c r="QLN799" s="3796"/>
      <c r="QLO799" s="3796"/>
      <c r="QLP799" s="3796"/>
      <c r="QLQ799" s="3796"/>
      <c r="QLR799" s="3796"/>
      <c r="QLS799" s="3796"/>
      <c r="QLT799" s="3796"/>
      <c r="QLU799" s="3796"/>
      <c r="QLV799" s="3796"/>
      <c r="QLW799" s="3796"/>
      <c r="QLX799" s="3796"/>
      <c r="QLY799" s="3796"/>
      <c r="QLZ799" s="3796"/>
      <c r="QMA799" s="3796"/>
      <c r="QMB799" s="3796"/>
      <c r="QMC799" s="3796"/>
      <c r="QMD799" s="3796"/>
      <c r="QME799" s="3796"/>
      <c r="QMF799" s="3796"/>
      <c r="QMG799" s="3796"/>
      <c r="QMH799" s="3796"/>
      <c r="QMI799" s="3796"/>
      <c r="QMJ799" s="3796"/>
      <c r="QMK799" s="3796"/>
      <c r="QML799" s="3796"/>
      <c r="QMM799" s="3796"/>
      <c r="QMN799" s="3796"/>
      <c r="QMO799" s="3796"/>
      <c r="QMP799" s="3796"/>
      <c r="QMQ799" s="3796"/>
      <c r="QMR799" s="3796"/>
      <c r="QMS799" s="3796"/>
      <c r="QMT799" s="3796"/>
      <c r="QMU799" s="3796"/>
      <c r="QMV799" s="3796"/>
      <c r="QMW799" s="3796"/>
      <c r="QMX799" s="3796"/>
      <c r="QMY799" s="3796"/>
      <c r="QMZ799" s="3796"/>
      <c r="QNA799" s="3796"/>
      <c r="QNB799" s="3796"/>
      <c r="QNC799" s="3796"/>
      <c r="QND799" s="3796"/>
      <c r="QNE799" s="3796"/>
      <c r="QNF799" s="3796"/>
      <c r="QNG799" s="3796"/>
      <c r="QNH799" s="3796"/>
      <c r="QNI799" s="3796"/>
      <c r="QNJ799" s="3796"/>
      <c r="QNK799" s="3796"/>
      <c r="QNL799" s="3796"/>
      <c r="QNM799" s="3796"/>
      <c r="QNN799" s="3796"/>
      <c r="QNO799" s="3796"/>
      <c r="QNP799" s="3796"/>
      <c r="QNQ799" s="3796"/>
      <c r="QNR799" s="3796"/>
      <c r="QNS799" s="3796"/>
      <c r="QNT799" s="3796"/>
      <c r="QNU799" s="3796"/>
      <c r="QNV799" s="3796"/>
      <c r="QNW799" s="3796"/>
      <c r="QNX799" s="3796"/>
      <c r="QNY799" s="3796"/>
      <c r="QNZ799" s="3796"/>
      <c r="QOA799" s="3796"/>
      <c r="QOB799" s="3796"/>
      <c r="QOC799" s="3796"/>
      <c r="QOD799" s="3796"/>
      <c r="QOE799" s="3796"/>
      <c r="QOF799" s="3796"/>
      <c r="QOG799" s="3796"/>
      <c r="QOH799" s="3796"/>
      <c r="QOI799" s="3796"/>
      <c r="QOJ799" s="3796"/>
      <c r="QOK799" s="3796"/>
      <c r="QOL799" s="3796"/>
      <c r="QOM799" s="3796"/>
      <c r="QON799" s="3796"/>
      <c r="QOO799" s="3796"/>
      <c r="QOP799" s="3796"/>
      <c r="QOQ799" s="3796"/>
      <c r="QOR799" s="3796"/>
      <c r="QOS799" s="3796"/>
      <c r="QOT799" s="3796"/>
      <c r="QOU799" s="3796"/>
      <c r="QOV799" s="3796"/>
      <c r="QOW799" s="3796"/>
      <c r="QOX799" s="3796"/>
      <c r="QOY799" s="3796"/>
      <c r="QOZ799" s="3796"/>
      <c r="QPA799" s="3796"/>
      <c r="QPB799" s="3796"/>
      <c r="QPC799" s="3796"/>
      <c r="QPD799" s="3796"/>
      <c r="QPE799" s="3796"/>
      <c r="QPF799" s="3796"/>
      <c r="QPG799" s="3796"/>
      <c r="QPH799" s="3796"/>
      <c r="QPI799" s="3796"/>
      <c r="QPJ799" s="3796"/>
      <c r="QPK799" s="3796"/>
      <c r="QPL799" s="3796"/>
      <c r="QPM799" s="3796"/>
      <c r="QPN799" s="3796"/>
      <c r="QPO799" s="3796"/>
      <c r="QPP799" s="3796"/>
      <c r="QPQ799" s="3796"/>
      <c r="QPR799" s="3796"/>
      <c r="QPS799" s="3796"/>
      <c r="QPT799" s="3796"/>
      <c r="QPU799" s="3796"/>
      <c r="QPV799" s="3796"/>
      <c r="QPW799" s="3796"/>
      <c r="QPX799" s="3796"/>
      <c r="QPY799" s="3796"/>
      <c r="QPZ799" s="3796"/>
      <c r="QQA799" s="3796"/>
      <c r="QQB799" s="3796"/>
      <c r="QQC799" s="3796"/>
      <c r="QQD799" s="3796"/>
      <c r="QQE799" s="3796"/>
      <c r="QQF799" s="3796"/>
      <c r="QQG799" s="3796"/>
      <c r="QQH799" s="3796"/>
      <c r="QQI799" s="3796"/>
      <c r="QQJ799" s="3796"/>
      <c r="QQK799" s="3796"/>
      <c r="QQL799" s="3796"/>
      <c r="QQM799" s="3796"/>
      <c r="QQN799" s="3796"/>
      <c r="QQO799" s="3796"/>
      <c r="QQP799" s="3796"/>
      <c r="QQQ799" s="3796"/>
      <c r="QQR799" s="3796"/>
      <c r="QQS799" s="3796"/>
      <c r="QQT799" s="3796"/>
      <c r="QQU799" s="3796"/>
      <c r="QQV799" s="3796"/>
      <c r="QQW799" s="3796"/>
      <c r="QQX799" s="3796"/>
      <c r="QQY799" s="3796"/>
      <c r="QQZ799" s="3796"/>
      <c r="QRA799" s="3796"/>
      <c r="QRB799" s="3796"/>
      <c r="QRC799" s="3796"/>
      <c r="QRD799" s="3796"/>
      <c r="QRE799" s="3796"/>
      <c r="QRF799" s="3796"/>
      <c r="QRG799" s="3796"/>
      <c r="QRH799" s="3796"/>
      <c r="QRI799" s="3796"/>
      <c r="QRJ799" s="3796"/>
      <c r="QRK799" s="3796"/>
      <c r="QRL799" s="3796"/>
      <c r="QRM799" s="3796"/>
      <c r="QRN799" s="3796"/>
      <c r="QRO799" s="3796"/>
      <c r="QRP799" s="3796"/>
      <c r="QRQ799" s="3796"/>
      <c r="QRR799" s="3796"/>
      <c r="QRS799" s="3796"/>
      <c r="QRT799" s="3796"/>
      <c r="QRU799" s="3796"/>
      <c r="QRV799" s="3796"/>
      <c r="QRW799" s="3796"/>
      <c r="QRX799" s="3796"/>
      <c r="QRY799" s="3796"/>
      <c r="QRZ799" s="3796"/>
      <c r="QSA799" s="3796"/>
      <c r="QSB799" s="3796"/>
      <c r="QSC799" s="3796"/>
      <c r="QSD799" s="3796"/>
      <c r="QSE799" s="3796"/>
      <c r="QSF799" s="3796"/>
      <c r="QSG799" s="3796"/>
      <c r="QSH799" s="3796"/>
      <c r="QSI799" s="3796"/>
      <c r="QSJ799" s="3796"/>
      <c r="QSK799" s="3796"/>
      <c r="QSL799" s="3796"/>
      <c r="QSM799" s="3796"/>
      <c r="QSN799" s="3796"/>
      <c r="QSO799" s="3796"/>
      <c r="QSP799" s="3796"/>
      <c r="QSQ799" s="3796"/>
      <c r="QSR799" s="3796"/>
      <c r="QSS799" s="3796"/>
      <c r="QST799" s="3796"/>
      <c r="QSU799" s="3796"/>
      <c r="QSV799" s="3796"/>
      <c r="QSW799" s="3796"/>
      <c r="QSX799" s="3796"/>
      <c r="QSY799" s="3796"/>
      <c r="QSZ799" s="3796"/>
      <c r="QTA799" s="3796"/>
      <c r="QTB799" s="3796"/>
      <c r="QTC799" s="3796"/>
      <c r="QTD799" s="3796"/>
      <c r="QTE799" s="3796"/>
      <c r="QTF799" s="3796"/>
      <c r="QTG799" s="3796"/>
      <c r="QTH799" s="3796"/>
      <c r="QTI799" s="3796"/>
      <c r="QTJ799" s="3796"/>
      <c r="QTK799" s="3796"/>
      <c r="QTL799" s="3796"/>
      <c r="QTM799" s="3796"/>
      <c r="QTN799" s="3796"/>
      <c r="QTO799" s="3796"/>
      <c r="QTP799" s="3796"/>
      <c r="QTQ799" s="3796"/>
      <c r="QTR799" s="3796"/>
      <c r="QTS799" s="3796"/>
      <c r="QTT799" s="3796"/>
      <c r="QTU799" s="3796"/>
      <c r="QTZ799" s="3796"/>
      <c r="QUF799" s="3796"/>
      <c r="QUG799" s="3796"/>
      <c r="QUH799" s="3796"/>
      <c r="QUL799" s="3796"/>
      <c r="QUS799" s="3796"/>
      <c r="QUT799" s="3796"/>
      <c r="QUU799" s="3796"/>
      <c r="QUV799" s="3796"/>
      <c r="QUW799" s="3796"/>
      <c r="QUX799" s="3796"/>
      <c r="QUY799" s="3796"/>
      <c r="QUZ799" s="3796"/>
      <c r="QVA799" s="3796"/>
      <c r="QVB799" s="3796"/>
      <c r="QVC799" s="3796"/>
      <c r="QVD799" s="3796"/>
      <c r="QVE799" s="3796"/>
      <c r="QVF799" s="3796"/>
      <c r="QVG799" s="3796"/>
      <c r="QVH799" s="3796"/>
      <c r="QVI799" s="3796"/>
      <c r="QVJ799" s="3796"/>
      <c r="QVK799" s="3796"/>
      <c r="QVL799" s="3796"/>
      <c r="QVM799" s="3796"/>
      <c r="QVN799" s="3796"/>
      <c r="QVO799" s="3796"/>
      <c r="QVP799" s="3796"/>
      <c r="QVQ799" s="3796"/>
      <c r="QVR799" s="3796"/>
      <c r="QVS799" s="3796"/>
      <c r="QVT799" s="3796"/>
      <c r="QVU799" s="3796"/>
      <c r="QVV799" s="3796"/>
      <c r="QVW799" s="3796"/>
      <c r="QVX799" s="3796"/>
      <c r="QVY799" s="3796"/>
      <c r="QVZ799" s="3796"/>
      <c r="QWA799" s="3796"/>
      <c r="QWB799" s="3796"/>
      <c r="QWC799" s="3796"/>
      <c r="QWD799" s="3796"/>
      <c r="QWE799" s="3796"/>
      <c r="QWF799" s="3796"/>
      <c r="QWG799" s="3796"/>
      <c r="QWH799" s="3796"/>
      <c r="QWI799" s="3796"/>
      <c r="QWJ799" s="3796"/>
      <c r="QWK799" s="3796"/>
      <c r="QWL799" s="3796"/>
      <c r="QWM799" s="3796"/>
      <c r="QWN799" s="3796"/>
      <c r="QWO799" s="3796"/>
      <c r="QWP799" s="3796"/>
      <c r="QWQ799" s="3796"/>
      <c r="QWR799" s="3796"/>
      <c r="QWS799" s="3796"/>
      <c r="QWT799" s="3796"/>
      <c r="QWU799" s="3796"/>
      <c r="QWV799" s="3796"/>
      <c r="QWW799" s="3796"/>
      <c r="QWX799" s="3796"/>
      <c r="QWY799" s="3796"/>
      <c r="QWZ799" s="3796"/>
      <c r="QXA799" s="3796"/>
      <c r="QXB799" s="3796"/>
      <c r="QXC799" s="3796"/>
      <c r="QXD799" s="3796"/>
      <c r="QXE799" s="3796"/>
      <c r="QXF799" s="3796"/>
      <c r="QXG799" s="3796"/>
      <c r="QXH799" s="3796"/>
      <c r="QXI799" s="3796"/>
      <c r="QXJ799" s="3796"/>
      <c r="QXK799" s="3796"/>
      <c r="QXL799" s="3796"/>
      <c r="QXM799" s="3796"/>
      <c r="QXN799" s="3796"/>
      <c r="QXO799" s="3796"/>
      <c r="QXP799" s="3796"/>
      <c r="QXQ799" s="3796"/>
      <c r="QXR799" s="3796"/>
      <c r="QXS799" s="3796"/>
      <c r="QXT799" s="3796"/>
      <c r="QXU799" s="3796"/>
      <c r="QXV799" s="3796"/>
      <c r="QXW799" s="3796"/>
      <c r="QXX799" s="3796"/>
      <c r="QXY799" s="3796"/>
      <c r="QXZ799" s="3796"/>
      <c r="QYA799" s="3796"/>
      <c r="QYB799" s="3796"/>
      <c r="QYC799" s="3796"/>
      <c r="QYD799" s="3796"/>
      <c r="QYE799" s="3796"/>
      <c r="QYF799" s="3796"/>
      <c r="QYG799" s="3796"/>
      <c r="QYH799" s="3796"/>
      <c r="QYI799" s="3796"/>
      <c r="QYJ799" s="3796"/>
      <c r="QYK799" s="3796"/>
      <c r="QYL799" s="3796"/>
      <c r="QYM799" s="3796"/>
      <c r="QYN799" s="3796"/>
      <c r="QYO799" s="3796"/>
      <c r="QYP799" s="3796"/>
      <c r="QYQ799" s="3796"/>
      <c r="QYR799" s="3796"/>
      <c r="QYS799" s="3796"/>
      <c r="QYT799" s="3796"/>
      <c r="QYU799" s="3796"/>
      <c r="QYV799" s="3796"/>
      <c r="QYW799" s="3796"/>
      <c r="QYX799" s="3796"/>
      <c r="QYY799" s="3796"/>
      <c r="QYZ799" s="3796"/>
      <c r="QZA799" s="3796"/>
      <c r="QZB799" s="3796"/>
      <c r="QZC799" s="3796"/>
      <c r="QZD799" s="3796"/>
      <c r="QZE799" s="3796"/>
      <c r="QZF799" s="3796"/>
      <c r="QZG799" s="3796"/>
      <c r="QZH799" s="3796"/>
      <c r="QZI799" s="3796"/>
      <c r="QZJ799" s="3796"/>
      <c r="QZK799" s="3796"/>
      <c r="QZL799" s="3796"/>
      <c r="QZM799" s="3796"/>
      <c r="QZN799" s="3796"/>
      <c r="QZO799" s="3796"/>
      <c r="QZP799" s="3796"/>
      <c r="QZQ799" s="3796"/>
      <c r="QZR799" s="3796"/>
      <c r="QZS799" s="3796"/>
      <c r="QZT799" s="3796"/>
      <c r="QZU799" s="3796"/>
      <c r="QZV799" s="3796"/>
      <c r="QZW799" s="3796"/>
      <c r="QZX799" s="3796"/>
      <c r="QZY799" s="3796"/>
      <c r="QZZ799" s="3796"/>
      <c r="RAA799" s="3796"/>
      <c r="RAB799" s="3796"/>
      <c r="RAC799" s="3796"/>
      <c r="RAD799" s="3796"/>
      <c r="RAE799" s="3796"/>
      <c r="RAF799" s="3796"/>
      <c r="RAG799" s="3796"/>
      <c r="RAH799" s="3796"/>
      <c r="RAI799" s="3796"/>
      <c r="RAJ799" s="3796"/>
      <c r="RAK799" s="3796"/>
      <c r="RAL799" s="3796"/>
      <c r="RAM799" s="3796"/>
      <c r="RAN799" s="3796"/>
      <c r="RAO799" s="3796"/>
      <c r="RAP799" s="3796"/>
      <c r="RAQ799" s="3796"/>
      <c r="RAR799" s="3796"/>
      <c r="RAS799" s="3796"/>
      <c r="RAT799" s="3796"/>
      <c r="RAU799" s="3796"/>
      <c r="RAV799" s="3796"/>
      <c r="RAW799" s="3796"/>
      <c r="RAX799" s="3796"/>
      <c r="RAY799" s="3796"/>
      <c r="RAZ799" s="3796"/>
      <c r="RBA799" s="3796"/>
      <c r="RBB799" s="3796"/>
      <c r="RBC799" s="3796"/>
      <c r="RBD799" s="3796"/>
      <c r="RBE799" s="3796"/>
      <c r="RBF799" s="3796"/>
      <c r="RBG799" s="3796"/>
      <c r="RBH799" s="3796"/>
      <c r="RBI799" s="3796"/>
      <c r="RBJ799" s="3796"/>
      <c r="RBK799" s="3796"/>
      <c r="RBL799" s="3796"/>
      <c r="RBM799" s="3796"/>
      <c r="RBN799" s="3796"/>
      <c r="RBO799" s="3796"/>
      <c r="RBP799" s="3796"/>
      <c r="RBQ799" s="3796"/>
      <c r="RBR799" s="3796"/>
      <c r="RBS799" s="3796"/>
      <c r="RBT799" s="3796"/>
      <c r="RBU799" s="3796"/>
      <c r="RBV799" s="3796"/>
      <c r="RBW799" s="3796"/>
      <c r="RBX799" s="3796"/>
      <c r="RBY799" s="3796"/>
      <c r="RBZ799" s="3796"/>
      <c r="RCA799" s="3796"/>
      <c r="RCB799" s="3796"/>
      <c r="RCC799" s="3796"/>
      <c r="RCD799" s="3796"/>
      <c r="RCE799" s="3796"/>
      <c r="RCF799" s="3796"/>
      <c r="RCG799" s="3796"/>
      <c r="RCH799" s="3796"/>
      <c r="RCI799" s="3796"/>
      <c r="RCJ799" s="3796"/>
      <c r="RCK799" s="3796"/>
      <c r="RCL799" s="3796"/>
      <c r="RCM799" s="3796"/>
      <c r="RCN799" s="3796"/>
      <c r="RCO799" s="3796"/>
      <c r="RCP799" s="3796"/>
      <c r="RCQ799" s="3796"/>
      <c r="RCR799" s="3796"/>
      <c r="RCS799" s="3796"/>
      <c r="RCT799" s="3796"/>
      <c r="RCU799" s="3796"/>
      <c r="RCV799" s="3796"/>
      <c r="RCW799" s="3796"/>
      <c r="RCX799" s="3796"/>
      <c r="RCY799" s="3796"/>
      <c r="RCZ799" s="3796"/>
      <c r="RDA799" s="3796"/>
      <c r="RDB799" s="3796"/>
      <c r="RDC799" s="3796"/>
      <c r="RDD799" s="3796"/>
      <c r="RDE799" s="3796"/>
      <c r="RDF799" s="3796"/>
      <c r="RDG799" s="3796"/>
      <c r="RDH799" s="3796"/>
      <c r="RDI799" s="3796"/>
      <c r="RDJ799" s="3796"/>
      <c r="RDK799" s="3796"/>
      <c r="RDL799" s="3796"/>
      <c r="RDM799" s="3796"/>
      <c r="RDN799" s="3796"/>
      <c r="RDO799" s="3796"/>
      <c r="RDP799" s="3796"/>
      <c r="RDQ799" s="3796"/>
      <c r="RDV799" s="3796"/>
      <c r="REB799" s="3796"/>
      <c r="REC799" s="3796"/>
      <c r="RED799" s="3796"/>
      <c r="REH799" s="3796"/>
      <c r="REO799" s="3796"/>
      <c r="REP799" s="3796"/>
      <c r="REQ799" s="3796"/>
      <c r="RER799" s="3796"/>
      <c r="RES799" s="3796"/>
      <c r="RET799" s="3796"/>
      <c r="REU799" s="3796"/>
      <c r="REV799" s="3796"/>
      <c r="REW799" s="3796"/>
      <c r="REX799" s="3796"/>
      <c r="REY799" s="3796"/>
      <c r="REZ799" s="3796"/>
      <c r="RFA799" s="3796"/>
      <c r="RFB799" s="3796"/>
      <c r="RFC799" s="3796"/>
      <c r="RFD799" s="3796"/>
      <c r="RFE799" s="3796"/>
      <c r="RFF799" s="3796"/>
      <c r="RFG799" s="3796"/>
      <c r="RFH799" s="3796"/>
      <c r="RFI799" s="3796"/>
      <c r="RFJ799" s="3796"/>
      <c r="RFK799" s="3796"/>
      <c r="RFL799" s="3796"/>
      <c r="RFM799" s="3796"/>
      <c r="RFN799" s="3796"/>
      <c r="RFO799" s="3796"/>
      <c r="RFP799" s="3796"/>
      <c r="RFQ799" s="3796"/>
      <c r="RFR799" s="3796"/>
      <c r="RFS799" s="3796"/>
      <c r="RFT799" s="3796"/>
      <c r="RFU799" s="3796"/>
      <c r="RFV799" s="3796"/>
      <c r="RFW799" s="3796"/>
      <c r="RFX799" s="3796"/>
      <c r="RFY799" s="3796"/>
      <c r="RFZ799" s="3796"/>
      <c r="RGA799" s="3796"/>
      <c r="RGB799" s="3796"/>
      <c r="RGC799" s="3796"/>
      <c r="RGD799" s="3796"/>
      <c r="RGE799" s="3796"/>
      <c r="RGF799" s="3796"/>
      <c r="RGG799" s="3796"/>
      <c r="RGH799" s="3796"/>
      <c r="RGI799" s="3796"/>
      <c r="RGJ799" s="3796"/>
      <c r="RGK799" s="3796"/>
      <c r="RGL799" s="3796"/>
      <c r="RGM799" s="3796"/>
      <c r="RGN799" s="3796"/>
      <c r="RGO799" s="3796"/>
      <c r="RGP799" s="3796"/>
      <c r="RGQ799" s="3796"/>
      <c r="RGR799" s="3796"/>
      <c r="RGS799" s="3796"/>
      <c r="RGT799" s="3796"/>
      <c r="RGU799" s="3796"/>
      <c r="RGV799" s="3796"/>
      <c r="RGW799" s="3796"/>
      <c r="RGX799" s="3796"/>
      <c r="RGY799" s="3796"/>
      <c r="RGZ799" s="3796"/>
      <c r="RHA799" s="3796"/>
      <c r="RHB799" s="3796"/>
      <c r="RHC799" s="3796"/>
      <c r="RHD799" s="3796"/>
      <c r="RHE799" s="3796"/>
      <c r="RHF799" s="3796"/>
      <c r="RHG799" s="3796"/>
      <c r="RHH799" s="3796"/>
      <c r="RHI799" s="3796"/>
      <c r="RHJ799" s="3796"/>
      <c r="RHK799" s="3796"/>
      <c r="RHL799" s="3796"/>
      <c r="RHM799" s="3796"/>
      <c r="RHN799" s="3796"/>
      <c r="RHO799" s="3796"/>
      <c r="RHP799" s="3796"/>
      <c r="RHQ799" s="3796"/>
      <c r="RHR799" s="3796"/>
      <c r="RHS799" s="3796"/>
      <c r="RHT799" s="3796"/>
      <c r="RHU799" s="3796"/>
      <c r="RHV799" s="3796"/>
      <c r="RHW799" s="3796"/>
      <c r="RHX799" s="3796"/>
      <c r="RHY799" s="3796"/>
      <c r="RHZ799" s="3796"/>
      <c r="RIA799" s="3796"/>
      <c r="RIB799" s="3796"/>
      <c r="RIC799" s="3796"/>
      <c r="RID799" s="3796"/>
      <c r="RIE799" s="3796"/>
      <c r="RIF799" s="3796"/>
      <c r="RIG799" s="3796"/>
      <c r="RIH799" s="3796"/>
      <c r="RII799" s="3796"/>
      <c r="RIJ799" s="3796"/>
      <c r="RIK799" s="3796"/>
      <c r="RIL799" s="3796"/>
      <c r="RIM799" s="3796"/>
      <c r="RIN799" s="3796"/>
      <c r="RIO799" s="3796"/>
      <c r="RIP799" s="3796"/>
      <c r="RIQ799" s="3796"/>
      <c r="RIR799" s="3796"/>
      <c r="RIS799" s="3796"/>
      <c r="RIT799" s="3796"/>
      <c r="RIU799" s="3796"/>
      <c r="RIV799" s="3796"/>
      <c r="RIW799" s="3796"/>
      <c r="RIX799" s="3796"/>
      <c r="RIY799" s="3796"/>
      <c r="RIZ799" s="3796"/>
      <c r="RJA799" s="3796"/>
      <c r="RJB799" s="3796"/>
      <c r="RJC799" s="3796"/>
      <c r="RJD799" s="3796"/>
      <c r="RJE799" s="3796"/>
      <c r="RJF799" s="3796"/>
      <c r="RJG799" s="3796"/>
      <c r="RJH799" s="3796"/>
      <c r="RJI799" s="3796"/>
      <c r="RJJ799" s="3796"/>
      <c r="RJK799" s="3796"/>
      <c r="RJL799" s="3796"/>
      <c r="RJM799" s="3796"/>
      <c r="RJN799" s="3796"/>
      <c r="RJO799" s="3796"/>
      <c r="RJP799" s="3796"/>
      <c r="RJQ799" s="3796"/>
      <c r="RJR799" s="3796"/>
      <c r="RJS799" s="3796"/>
      <c r="RJT799" s="3796"/>
      <c r="RJU799" s="3796"/>
      <c r="RJV799" s="3796"/>
      <c r="RJW799" s="3796"/>
      <c r="RJX799" s="3796"/>
      <c r="RJY799" s="3796"/>
      <c r="RJZ799" s="3796"/>
      <c r="RKA799" s="3796"/>
      <c r="RKB799" s="3796"/>
      <c r="RKC799" s="3796"/>
      <c r="RKD799" s="3796"/>
      <c r="RKE799" s="3796"/>
      <c r="RKF799" s="3796"/>
      <c r="RKG799" s="3796"/>
      <c r="RKH799" s="3796"/>
      <c r="RKI799" s="3796"/>
      <c r="RKJ799" s="3796"/>
      <c r="RKK799" s="3796"/>
      <c r="RKL799" s="3796"/>
      <c r="RKM799" s="3796"/>
      <c r="RKN799" s="3796"/>
      <c r="RKO799" s="3796"/>
      <c r="RKP799" s="3796"/>
      <c r="RKQ799" s="3796"/>
      <c r="RKR799" s="3796"/>
      <c r="RKS799" s="3796"/>
      <c r="RKT799" s="3796"/>
      <c r="RKU799" s="3796"/>
      <c r="RKV799" s="3796"/>
      <c r="RKW799" s="3796"/>
      <c r="RKX799" s="3796"/>
      <c r="RKY799" s="3796"/>
      <c r="RKZ799" s="3796"/>
      <c r="RLA799" s="3796"/>
      <c r="RLB799" s="3796"/>
      <c r="RLC799" s="3796"/>
      <c r="RLD799" s="3796"/>
      <c r="RLE799" s="3796"/>
      <c r="RLF799" s="3796"/>
      <c r="RLG799" s="3796"/>
      <c r="RLH799" s="3796"/>
      <c r="RLI799" s="3796"/>
      <c r="RLJ799" s="3796"/>
      <c r="RLK799" s="3796"/>
      <c r="RLL799" s="3796"/>
      <c r="RLM799" s="3796"/>
      <c r="RLN799" s="3796"/>
      <c r="RLO799" s="3796"/>
      <c r="RLP799" s="3796"/>
      <c r="RLQ799" s="3796"/>
      <c r="RLR799" s="3796"/>
      <c r="RLS799" s="3796"/>
      <c r="RLT799" s="3796"/>
      <c r="RLU799" s="3796"/>
      <c r="RLV799" s="3796"/>
      <c r="RLW799" s="3796"/>
      <c r="RLX799" s="3796"/>
      <c r="RLY799" s="3796"/>
      <c r="RLZ799" s="3796"/>
      <c r="RMA799" s="3796"/>
      <c r="RMB799" s="3796"/>
      <c r="RMC799" s="3796"/>
      <c r="RMD799" s="3796"/>
      <c r="RME799" s="3796"/>
      <c r="RMF799" s="3796"/>
      <c r="RMG799" s="3796"/>
      <c r="RMH799" s="3796"/>
      <c r="RMI799" s="3796"/>
      <c r="RMJ799" s="3796"/>
      <c r="RMK799" s="3796"/>
      <c r="RML799" s="3796"/>
      <c r="RMM799" s="3796"/>
      <c r="RMN799" s="3796"/>
      <c r="RMO799" s="3796"/>
      <c r="RMP799" s="3796"/>
      <c r="RMQ799" s="3796"/>
      <c r="RMR799" s="3796"/>
      <c r="RMS799" s="3796"/>
      <c r="RMT799" s="3796"/>
      <c r="RMU799" s="3796"/>
      <c r="RMV799" s="3796"/>
      <c r="RMW799" s="3796"/>
      <c r="RMX799" s="3796"/>
      <c r="RMY799" s="3796"/>
      <c r="RMZ799" s="3796"/>
      <c r="RNA799" s="3796"/>
      <c r="RNB799" s="3796"/>
      <c r="RNC799" s="3796"/>
      <c r="RND799" s="3796"/>
      <c r="RNE799" s="3796"/>
      <c r="RNF799" s="3796"/>
      <c r="RNG799" s="3796"/>
      <c r="RNH799" s="3796"/>
      <c r="RNI799" s="3796"/>
      <c r="RNJ799" s="3796"/>
      <c r="RNK799" s="3796"/>
      <c r="RNL799" s="3796"/>
      <c r="RNM799" s="3796"/>
      <c r="RNR799" s="3796"/>
      <c r="RNX799" s="3796"/>
      <c r="RNY799" s="3796"/>
      <c r="RNZ799" s="3796"/>
      <c r="ROD799" s="3796"/>
      <c r="ROK799" s="3796"/>
      <c r="ROL799" s="3796"/>
      <c r="ROM799" s="3796"/>
      <c r="RON799" s="3796"/>
      <c r="ROO799" s="3796"/>
      <c r="ROP799" s="3796"/>
      <c r="ROQ799" s="3796"/>
      <c r="ROR799" s="3796"/>
      <c r="ROS799" s="3796"/>
      <c r="ROT799" s="3796"/>
      <c r="ROU799" s="3796"/>
      <c r="ROV799" s="3796"/>
      <c r="ROW799" s="3796"/>
      <c r="ROX799" s="3796"/>
      <c r="ROY799" s="3796"/>
      <c r="ROZ799" s="3796"/>
      <c r="RPA799" s="3796"/>
      <c r="RPB799" s="3796"/>
      <c r="RPC799" s="3796"/>
      <c r="RPD799" s="3796"/>
      <c r="RPE799" s="3796"/>
      <c r="RPF799" s="3796"/>
      <c r="RPG799" s="3796"/>
      <c r="RPH799" s="3796"/>
      <c r="RPI799" s="3796"/>
      <c r="RPJ799" s="3796"/>
      <c r="RPK799" s="3796"/>
      <c r="RPL799" s="3796"/>
      <c r="RPM799" s="3796"/>
      <c r="RPN799" s="3796"/>
      <c r="RPO799" s="3796"/>
      <c r="RPP799" s="3796"/>
      <c r="RPQ799" s="3796"/>
      <c r="RPR799" s="3796"/>
      <c r="RPS799" s="3796"/>
      <c r="RPT799" s="3796"/>
      <c r="RPU799" s="3796"/>
      <c r="RPV799" s="3796"/>
      <c r="RPW799" s="3796"/>
      <c r="RPX799" s="3796"/>
      <c r="RPY799" s="3796"/>
      <c r="RPZ799" s="3796"/>
      <c r="RQA799" s="3796"/>
      <c r="RQB799" s="3796"/>
      <c r="RQC799" s="3796"/>
      <c r="RQD799" s="3796"/>
      <c r="RQE799" s="3796"/>
      <c r="RQF799" s="3796"/>
      <c r="RQG799" s="3796"/>
      <c r="RQH799" s="3796"/>
      <c r="RQI799" s="3796"/>
      <c r="RQJ799" s="3796"/>
      <c r="RQK799" s="3796"/>
      <c r="RQL799" s="3796"/>
      <c r="RQM799" s="3796"/>
      <c r="RQN799" s="3796"/>
      <c r="RQO799" s="3796"/>
      <c r="RQP799" s="3796"/>
      <c r="RQQ799" s="3796"/>
      <c r="RQR799" s="3796"/>
      <c r="RQS799" s="3796"/>
      <c r="RQT799" s="3796"/>
      <c r="RQU799" s="3796"/>
      <c r="RQV799" s="3796"/>
      <c r="RQW799" s="3796"/>
      <c r="RQX799" s="3796"/>
      <c r="RQY799" s="3796"/>
      <c r="RQZ799" s="3796"/>
      <c r="RRA799" s="3796"/>
      <c r="RRB799" s="3796"/>
      <c r="RRC799" s="3796"/>
      <c r="RRD799" s="3796"/>
      <c r="RRE799" s="3796"/>
      <c r="RRF799" s="3796"/>
      <c r="RRG799" s="3796"/>
      <c r="RRH799" s="3796"/>
      <c r="RRI799" s="3796"/>
      <c r="RRJ799" s="3796"/>
      <c r="RRK799" s="3796"/>
      <c r="RRL799" s="3796"/>
      <c r="RRM799" s="3796"/>
      <c r="RRN799" s="3796"/>
      <c r="RRO799" s="3796"/>
      <c r="RRP799" s="3796"/>
      <c r="RRQ799" s="3796"/>
      <c r="RRR799" s="3796"/>
      <c r="RRS799" s="3796"/>
      <c r="RRT799" s="3796"/>
      <c r="RRU799" s="3796"/>
      <c r="RRV799" s="3796"/>
      <c r="RRW799" s="3796"/>
      <c r="RRX799" s="3796"/>
      <c r="RRY799" s="3796"/>
      <c r="RRZ799" s="3796"/>
      <c r="RSA799" s="3796"/>
      <c r="RSB799" s="3796"/>
      <c r="RSC799" s="3796"/>
      <c r="RSD799" s="3796"/>
      <c r="RSE799" s="3796"/>
      <c r="RSF799" s="3796"/>
      <c r="RSG799" s="3796"/>
      <c r="RSH799" s="3796"/>
      <c r="RSI799" s="3796"/>
      <c r="RSJ799" s="3796"/>
      <c r="RSK799" s="3796"/>
      <c r="RSL799" s="3796"/>
      <c r="RSM799" s="3796"/>
      <c r="RSN799" s="3796"/>
      <c r="RSO799" s="3796"/>
      <c r="RSP799" s="3796"/>
      <c r="RSQ799" s="3796"/>
      <c r="RSR799" s="3796"/>
      <c r="RSS799" s="3796"/>
      <c r="RST799" s="3796"/>
      <c r="RSU799" s="3796"/>
      <c r="RSV799" s="3796"/>
      <c r="RSW799" s="3796"/>
      <c r="RSX799" s="3796"/>
      <c r="RSY799" s="3796"/>
      <c r="RSZ799" s="3796"/>
      <c r="RTA799" s="3796"/>
      <c r="RTB799" s="3796"/>
      <c r="RTC799" s="3796"/>
      <c r="RTD799" s="3796"/>
      <c r="RTE799" s="3796"/>
      <c r="RTF799" s="3796"/>
      <c r="RTG799" s="3796"/>
      <c r="RTH799" s="3796"/>
      <c r="RTI799" s="3796"/>
      <c r="RTJ799" s="3796"/>
      <c r="RTK799" s="3796"/>
      <c r="RTL799" s="3796"/>
      <c r="RTM799" s="3796"/>
      <c r="RTN799" s="3796"/>
      <c r="RTO799" s="3796"/>
      <c r="RTP799" s="3796"/>
      <c r="RTQ799" s="3796"/>
      <c r="RTR799" s="3796"/>
      <c r="RTS799" s="3796"/>
      <c r="RTT799" s="3796"/>
      <c r="RTU799" s="3796"/>
      <c r="RTV799" s="3796"/>
      <c r="RTW799" s="3796"/>
      <c r="RTX799" s="3796"/>
      <c r="RTY799" s="3796"/>
      <c r="RTZ799" s="3796"/>
      <c r="RUA799" s="3796"/>
      <c r="RUB799" s="3796"/>
      <c r="RUC799" s="3796"/>
      <c r="RUD799" s="3796"/>
      <c r="RUE799" s="3796"/>
      <c r="RUF799" s="3796"/>
      <c r="RUG799" s="3796"/>
      <c r="RUH799" s="3796"/>
      <c r="RUI799" s="3796"/>
      <c r="RUJ799" s="3796"/>
      <c r="RUK799" s="3796"/>
      <c r="RUL799" s="3796"/>
      <c r="RUM799" s="3796"/>
      <c r="RUN799" s="3796"/>
      <c r="RUO799" s="3796"/>
      <c r="RUP799" s="3796"/>
      <c r="RUQ799" s="3796"/>
      <c r="RUR799" s="3796"/>
      <c r="RUS799" s="3796"/>
      <c r="RUT799" s="3796"/>
      <c r="RUU799" s="3796"/>
      <c r="RUV799" s="3796"/>
      <c r="RUW799" s="3796"/>
      <c r="RUX799" s="3796"/>
      <c r="RUY799" s="3796"/>
      <c r="RUZ799" s="3796"/>
      <c r="RVA799" s="3796"/>
      <c r="RVB799" s="3796"/>
      <c r="RVC799" s="3796"/>
      <c r="RVD799" s="3796"/>
      <c r="RVE799" s="3796"/>
      <c r="RVF799" s="3796"/>
      <c r="RVG799" s="3796"/>
      <c r="RVH799" s="3796"/>
      <c r="RVI799" s="3796"/>
      <c r="RVJ799" s="3796"/>
      <c r="RVK799" s="3796"/>
      <c r="RVL799" s="3796"/>
      <c r="RVM799" s="3796"/>
      <c r="RVN799" s="3796"/>
      <c r="RVO799" s="3796"/>
      <c r="RVP799" s="3796"/>
      <c r="RVQ799" s="3796"/>
      <c r="RVR799" s="3796"/>
      <c r="RVS799" s="3796"/>
      <c r="RVT799" s="3796"/>
      <c r="RVU799" s="3796"/>
      <c r="RVV799" s="3796"/>
      <c r="RVW799" s="3796"/>
      <c r="RVX799" s="3796"/>
      <c r="RVY799" s="3796"/>
      <c r="RVZ799" s="3796"/>
      <c r="RWA799" s="3796"/>
      <c r="RWB799" s="3796"/>
      <c r="RWC799" s="3796"/>
      <c r="RWD799" s="3796"/>
      <c r="RWE799" s="3796"/>
      <c r="RWF799" s="3796"/>
      <c r="RWG799" s="3796"/>
      <c r="RWH799" s="3796"/>
      <c r="RWI799" s="3796"/>
      <c r="RWJ799" s="3796"/>
      <c r="RWK799" s="3796"/>
      <c r="RWL799" s="3796"/>
      <c r="RWM799" s="3796"/>
      <c r="RWN799" s="3796"/>
      <c r="RWO799" s="3796"/>
      <c r="RWP799" s="3796"/>
      <c r="RWQ799" s="3796"/>
      <c r="RWR799" s="3796"/>
      <c r="RWS799" s="3796"/>
      <c r="RWT799" s="3796"/>
      <c r="RWU799" s="3796"/>
      <c r="RWV799" s="3796"/>
      <c r="RWW799" s="3796"/>
      <c r="RWX799" s="3796"/>
      <c r="RWY799" s="3796"/>
      <c r="RWZ799" s="3796"/>
      <c r="RXA799" s="3796"/>
      <c r="RXB799" s="3796"/>
      <c r="RXC799" s="3796"/>
      <c r="RXD799" s="3796"/>
      <c r="RXE799" s="3796"/>
      <c r="RXF799" s="3796"/>
      <c r="RXG799" s="3796"/>
      <c r="RXH799" s="3796"/>
      <c r="RXI799" s="3796"/>
      <c r="RXN799" s="3796"/>
      <c r="RXT799" s="3796"/>
      <c r="RXU799" s="3796"/>
      <c r="RXV799" s="3796"/>
      <c r="RXZ799" s="3796"/>
      <c r="RYG799" s="3796"/>
      <c r="RYH799" s="3796"/>
      <c r="RYI799" s="3796"/>
      <c r="RYJ799" s="3796"/>
      <c r="RYK799" s="3796"/>
      <c r="RYL799" s="3796"/>
      <c r="RYM799" s="3796"/>
      <c r="RYN799" s="3796"/>
      <c r="RYO799" s="3796"/>
      <c r="RYP799" s="3796"/>
      <c r="RYQ799" s="3796"/>
      <c r="RYR799" s="3796"/>
      <c r="RYS799" s="3796"/>
      <c r="RYT799" s="3796"/>
      <c r="RYU799" s="3796"/>
      <c r="RYV799" s="3796"/>
      <c r="RYW799" s="3796"/>
      <c r="RYX799" s="3796"/>
      <c r="RYY799" s="3796"/>
      <c r="RYZ799" s="3796"/>
      <c r="RZA799" s="3796"/>
      <c r="RZB799" s="3796"/>
      <c r="RZC799" s="3796"/>
      <c r="RZD799" s="3796"/>
      <c r="RZE799" s="3796"/>
      <c r="RZF799" s="3796"/>
      <c r="RZG799" s="3796"/>
      <c r="RZH799" s="3796"/>
      <c r="RZI799" s="3796"/>
      <c r="RZJ799" s="3796"/>
      <c r="RZK799" s="3796"/>
      <c r="RZL799" s="3796"/>
      <c r="RZM799" s="3796"/>
      <c r="RZN799" s="3796"/>
      <c r="RZO799" s="3796"/>
      <c r="RZP799" s="3796"/>
      <c r="RZQ799" s="3796"/>
      <c r="RZR799" s="3796"/>
      <c r="RZS799" s="3796"/>
      <c r="RZT799" s="3796"/>
      <c r="RZU799" s="3796"/>
      <c r="RZV799" s="3796"/>
      <c r="RZW799" s="3796"/>
      <c r="RZX799" s="3796"/>
      <c r="RZY799" s="3796"/>
      <c r="RZZ799" s="3796"/>
      <c r="SAA799" s="3796"/>
      <c r="SAB799" s="3796"/>
      <c r="SAC799" s="3796"/>
      <c r="SAD799" s="3796"/>
      <c r="SAE799" s="3796"/>
      <c r="SAF799" s="3796"/>
      <c r="SAG799" s="3796"/>
      <c r="SAH799" s="3796"/>
      <c r="SAI799" s="3796"/>
      <c r="SAJ799" s="3796"/>
      <c r="SAK799" s="3796"/>
      <c r="SAL799" s="3796"/>
      <c r="SAM799" s="3796"/>
      <c r="SAN799" s="3796"/>
      <c r="SAO799" s="3796"/>
      <c r="SAP799" s="3796"/>
      <c r="SAQ799" s="3796"/>
      <c r="SAR799" s="3796"/>
      <c r="SAS799" s="3796"/>
      <c r="SAT799" s="3796"/>
      <c r="SAU799" s="3796"/>
      <c r="SAV799" s="3796"/>
      <c r="SAW799" s="3796"/>
      <c r="SAX799" s="3796"/>
      <c r="SAY799" s="3796"/>
      <c r="SAZ799" s="3796"/>
      <c r="SBA799" s="3796"/>
      <c r="SBB799" s="3796"/>
      <c r="SBC799" s="3796"/>
      <c r="SBD799" s="3796"/>
      <c r="SBE799" s="3796"/>
      <c r="SBF799" s="3796"/>
      <c r="SBG799" s="3796"/>
      <c r="SBH799" s="3796"/>
      <c r="SBI799" s="3796"/>
      <c r="SBJ799" s="3796"/>
      <c r="SBK799" s="3796"/>
      <c r="SBL799" s="3796"/>
      <c r="SBM799" s="3796"/>
      <c r="SBN799" s="3796"/>
      <c r="SBO799" s="3796"/>
      <c r="SBP799" s="3796"/>
      <c r="SBQ799" s="3796"/>
      <c r="SBR799" s="3796"/>
      <c r="SBS799" s="3796"/>
      <c r="SBT799" s="3796"/>
      <c r="SBU799" s="3796"/>
      <c r="SBV799" s="3796"/>
      <c r="SBW799" s="3796"/>
      <c r="SBX799" s="3796"/>
      <c r="SBY799" s="3796"/>
      <c r="SBZ799" s="3796"/>
      <c r="SCA799" s="3796"/>
      <c r="SCB799" s="3796"/>
      <c r="SCC799" s="3796"/>
      <c r="SCD799" s="3796"/>
      <c r="SCE799" s="3796"/>
      <c r="SCF799" s="3796"/>
      <c r="SCG799" s="3796"/>
      <c r="SCH799" s="3796"/>
      <c r="SCI799" s="3796"/>
      <c r="SCJ799" s="3796"/>
      <c r="SCK799" s="3796"/>
      <c r="SCL799" s="3796"/>
      <c r="SCM799" s="3796"/>
      <c r="SCN799" s="3796"/>
      <c r="SCO799" s="3796"/>
      <c r="SCP799" s="3796"/>
      <c r="SCQ799" s="3796"/>
      <c r="SCR799" s="3796"/>
      <c r="SCS799" s="3796"/>
      <c r="SCT799" s="3796"/>
      <c r="SCU799" s="3796"/>
      <c r="SCV799" s="3796"/>
      <c r="SCW799" s="3796"/>
      <c r="SCX799" s="3796"/>
      <c r="SCY799" s="3796"/>
      <c r="SCZ799" s="3796"/>
      <c r="SDA799" s="3796"/>
      <c r="SDB799" s="3796"/>
      <c r="SDC799" s="3796"/>
      <c r="SDD799" s="3796"/>
      <c r="SDE799" s="3796"/>
      <c r="SDF799" s="3796"/>
      <c r="SDG799" s="3796"/>
      <c r="SDH799" s="3796"/>
      <c r="SDI799" s="3796"/>
      <c r="SDJ799" s="3796"/>
      <c r="SDK799" s="3796"/>
      <c r="SDL799" s="3796"/>
      <c r="SDM799" s="3796"/>
      <c r="SDN799" s="3796"/>
      <c r="SDO799" s="3796"/>
      <c r="SDP799" s="3796"/>
      <c r="SDQ799" s="3796"/>
      <c r="SDR799" s="3796"/>
      <c r="SDS799" s="3796"/>
      <c r="SDT799" s="3796"/>
      <c r="SDU799" s="3796"/>
      <c r="SDV799" s="3796"/>
      <c r="SDW799" s="3796"/>
      <c r="SDX799" s="3796"/>
      <c r="SDY799" s="3796"/>
      <c r="SDZ799" s="3796"/>
      <c r="SEA799" s="3796"/>
      <c r="SEB799" s="3796"/>
      <c r="SEC799" s="3796"/>
      <c r="SED799" s="3796"/>
      <c r="SEE799" s="3796"/>
      <c r="SEF799" s="3796"/>
      <c r="SEG799" s="3796"/>
      <c r="SEH799" s="3796"/>
      <c r="SEI799" s="3796"/>
      <c r="SEJ799" s="3796"/>
      <c r="SEK799" s="3796"/>
      <c r="SEL799" s="3796"/>
      <c r="SEM799" s="3796"/>
      <c r="SEN799" s="3796"/>
      <c r="SEO799" s="3796"/>
      <c r="SEP799" s="3796"/>
      <c r="SEQ799" s="3796"/>
      <c r="SER799" s="3796"/>
      <c r="SES799" s="3796"/>
      <c r="SET799" s="3796"/>
      <c r="SEU799" s="3796"/>
      <c r="SEV799" s="3796"/>
      <c r="SEW799" s="3796"/>
      <c r="SEX799" s="3796"/>
      <c r="SEY799" s="3796"/>
      <c r="SEZ799" s="3796"/>
      <c r="SFA799" s="3796"/>
      <c r="SFB799" s="3796"/>
      <c r="SFC799" s="3796"/>
      <c r="SFD799" s="3796"/>
      <c r="SFE799" s="3796"/>
      <c r="SFF799" s="3796"/>
      <c r="SFG799" s="3796"/>
      <c r="SFH799" s="3796"/>
      <c r="SFI799" s="3796"/>
      <c r="SFJ799" s="3796"/>
      <c r="SFK799" s="3796"/>
      <c r="SFL799" s="3796"/>
      <c r="SFM799" s="3796"/>
      <c r="SFN799" s="3796"/>
      <c r="SFO799" s="3796"/>
      <c r="SFP799" s="3796"/>
      <c r="SFQ799" s="3796"/>
      <c r="SFR799" s="3796"/>
      <c r="SFS799" s="3796"/>
      <c r="SFT799" s="3796"/>
      <c r="SFU799" s="3796"/>
      <c r="SFV799" s="3796"/>
      <c r="SFW799" s="3796"/>
      <c r="SFX799" s="3796"/>
      <c r="SFY799" s="3796"/>
      <c r="SFZ799" s="3796"/>
      <c r="SGA799" s="3796"/>
      <c r="SGB799" s="3796"/>
      <c r="SGC799" s="3796"/>
      <c r="SGD799" s="3796"/>
      <c r="SGE799" s="3796"/>
      <c r="SGF799" s="3796"/>
      <c r="SGG799" s="3796"/>
      <c r="SGH799" s="3796"/>
      <c r="SGI799" s="3796"/>
      <c r="SGJ799" s="3796"/>
      <c r="SGK799" s="3796"/>
      <c r="SGL799" s="3796"/>
      <c r="SGM799" s="3796"/>
      <c r="SGN799" s="3796"/>
      <c r="SGO799" s="3796"/>
      <c r="SGP799" s="3796"/>
      <c r="SGQ799" s="3796"/>
      <c r="SGR799" s="3796"/>
      <c r="SGS799" s="3796"/>
      <c r="SGT799" s="3796"/>
      <c r="SGU799" s="3796"/>
      <c r="SGV799" s="3796"/>
      <c r="SGW799" s="3796"/>
      <c r="SGX799" s="3796"/>
      <c r="SGY799" s="3796"/>
      <c r="SGZ799" s="3796"/>
      <c r="SHA799" s="3796"/>
      <c r="SHB799" s="3796"/>
      <c r="SHC799" s="3796"/>
      <c r="SHD799" s="3796"/>
      <c r="SHE799" s="3796"/>
      <c r="SHJ799" s="3796"/>
      <c r="SHP799" s="3796"/>
      <c r="SHQ799" s="3796"/>
      <c r="SHR799" s="3796"/>
      <c r="SHV799" s="3796"/>
      <c r="SIC799" s="3796"/>
      <c r="SID799" s="3796"/>
      <c r="SIE799" s="3796"/>
      <c r="SIF799" s="3796"/>
      <c r="SIG799" s="3796"/>
      <c r="SIH799" s="3796"/>
      <c r="SII799" s="3796"/>
      <c r="SIJ799" s="3796"/>
      <c r="SIK799" s="3796"/>
      <c r="SIL799" s="3796"/>
      <c r="SIM799" s="3796"/>
      <c r="SIN799" s="3796"/>
      <c r="SIO799" s="3796"/>
      <c r="SIP799" s="3796"/>
      <c r="SIQ799" s="3796"/>
      <c r="SIR799" s="3796"/>
      <c r="SIS799" s="3796"/>
      <c r="SIT799" s="3796"/>
      <c r="SIU799" s="3796"/>
      <c r="SIV799" s="3796"/>
      <c r="SIW799" s="3796"/>
      <c r="SIX799" s="3796"/>
      <c r="SIY799" s="3796"/>
      <c r="SIZ799" s="3796"/>
      <c r="SJA799" s="3796"/>
      <c r="SJB799" s="3796"/>
      <c r="SJC799" s="3796"/>
      <c r="SJD799" s="3796"/>
      <c r="SJE799" s="3796"/>
      <c r="SJF799" s="3796"/>
      <c r="SJG799" s="3796"/>
      <c r="SJH799" s="3796"/>
      <c r="SJI799" s="3796"/>
      <c r="SJJ799" s="3796"/>
      <c r="SJK799" s="3796"/>
      <c r="SJL799" s="3796"/>
      <c r="SJM799" s="3796"/>
      <c r="SJN799" s="3796"/>
      <c r="SJO799" s="3796"/>
      <c r="SJP799" s="3796"/>
      <c r="SJQ799" s="3796"/>
      <c r="SJR799" s="3796"/>
      <c r="SJS799" s="3796"/>
      <c r="SJT799" s="3796"/>
      <c r="SJU799" s="3796"/>
      <c r="SJV799" s="3796"/>
      <c r="SJW799" s="3796"/>
      <c r="SJX799" s="3796"/>
      <c r="SJY799" s="3796"/>
      <c r="SJZ799" s="3796"/>
      <c r="SKA799" s="3796"/>
      <c r="SKB799" s="3796"/>
      <c r="SKC799" s="3796"/>
      <c r="SKD799" s="3796"/>
      <c r="SKE799" s="3796"/>
      <c r="SKF799" s="3796"/>
      <c r="SKG799" s="3796"/>
      <c r="SKH799" s="3796"/>
      <c r="SKI799" s="3796"/>
      <c r="SKJ799" s="3796"/>
      <c r="SKK799" s="3796"/>
      <c r="SKL799" s="3796"/>
      <c r="SKM799" s="3796"/>
      <c r="SKN799" s="3796"/>
      <c r="SKO799" s="3796"/>
      <c r="SKP799" s="3796"/>
      <c r="SKQ799" s="3796"/>
      <c r="SKR799" s="3796"/>
      <c r="SKS799" s="3796"/>
      <c r="SKT799" s="3796"/>
      <c r="SKU799" s="3796"/>
      <c r="SKV799" s="3796"/>
      <c r="SKW799" s="3796"/>
      <c r="SKX799" s="3796"/>
      <c r="SKY799" s="3796"/>
      <c r="SKZ799" s="3796"/>
      <c r="SLA799" s="3796"/>
      <c r="SLB799" s="3796"/>
      <c r="SLC799" s="3796"/>
      <c r="SLD799" s="3796"/>
      <c r="SLE799" s="3796"/>
      <c r="SLF799" s="3796"/>
      <c r="SLG799" s="3796"/>
      <c r="SLH799" s="3796"/>
      <c r="SLI799" s="3796"/>
      <c r="SLJ799" s="3796"/>
      <c r="SLK799" s="3796"/>
      <c r="SLL799" s="3796"/>
      <c r="SLM799" s="3796"/>
      <c r="SLN799" s="3796"/>
      <c r="SLO799" s="3796"/>
      <c r="SLP799" s="3796"/>
      <c r="SLQ799" s="3796"/>
      <c r="SLR799" s="3796"/>
      <c r="SLS799" s="3796"/>
      <c r="SLT799" s="3796"/>
      <c r="SLU799" s="3796"/>
      <c r="SLV799" s="3796"/>
      <c r="SLW799" s="3796"/>
      <c r="SLX799" s="3796"/>
      <c r="SLY799" s="3796"/>
      <c r="SLZ799" s="3796"/>
      <c r="SMA799" s="3796"/>
      <c r="SMB799" s="3796"/>
      <c r="SMC799" s="3796"/>
      <c r="SMD799" s="3796"/>
      <c r="SME799" s="3796"/>
      <c r="SMF799" s="3796"/>
      <c r="SMG799" s="3796"/>
      <c r="SMH799" s="3796"/>
      <c r="SMI799" s="3796"/>
      <c r="SMJ799" s="3796"/>
      <c r="SMK799" s="3796"/>
      <c r="SML799" s="3796"/>
      <c r="SMM799" s="3796"/>
      <c r="SMN799" s="3796"/>
      <c r="SMO799" s="3796"/>
      <c r="SMP799" s="3796"/>
      <c r="SMQ799" s="3796"/>
      <c r="SMR799" s="3796"/>
      <c r="SMS799" s="3796"/>
      <c r="SMT799" s="3796"/>
      <c r="SMU799" s="3796"/>
      <c r="SMV799" s="3796"/>
      <c r="SMW799" s="3796"/>
      <c r="SMX799" s="3796"/>
      <c r="SMY799" s="3796"/>
      <c r="SMZ799" s="3796"/>
      <c r="SNA799" s="3796"/>
      <c r="SNB799" s="3796"/>
      <c r="SNC799" s="3796"/>
      <c r="SND799" s="3796"/>
      <c r="SNE799" s="3796"/>
      <c r="SNF799" s="3796"/>
      <c r="SNG799" s="3796"/>
      <c r="SNH799" s="3796"/>
      <c r="SNI799" s="3796"/>
      <c r="SNJ799" s="3796"/>
      <c r="SNK799" s="3796"/>
      <c r="SNL799" s="3796"/>
      <c r="SNM799" s="3796"/>
      <c r="SNN799" s="3796"/>
      <c r="SNO799" s="3796"/>
      <c r="SNP799" s="3796"/>
      <c r="SNQ799" s="3796"/>
      <c r="SNR799" s="3796"/>
      <c r="SNS799" s="3796"/>
      <c r="SNT799" s="3796"/>
      <c r="SNU799" s="3796"/>
      <c r="SNV799" s="3796"/>
      <c r="SNW799" s="3796"/>
      <c r="SNX799" s="3796"/>
      <c r="SNY799" s="3796"/>
      <c r="SNZ799" s="3796"/>
      <c r="SOA799" s="3796"/>
      <c r="SOB799" s="3796"/>
      <c r="SOC799" s="3796"/>
      <c r="SOD799" s="3796"/>
      <c r="SOE799" s="3796"/>
      <c r="SOF799" s="3796"/>
      <c r="SOG799" s="3796"/>
      <c r="SOH799" s="3796"/>
      <c r="SOI799" s="3796"/>
      <c r="SOJ799" s="3796"/>
      <c r="SOK799" s="3796"/>
      <c r="SOL799" s="3796"/>
      <c r="SOM799" s="3796"/>
      <c r="SON799" s="3796"/>
      <c r="SOO799" s="3796"/>
      <c r="SOP799" s="3796"/>
      <c r="SOQ799" s="3796"/>
      <c r="SOR799" s="3796"/>
      <c r="SOS799" s="3796"/>
      <c r="SOT799" s="3796"/>
      <c r="SOU799" s="3796"/>
      <c r="SOV799" s="3796"/>
      <c r="SOW799" s="3796"/>
      <c r="SOX799" s="3796"/>
      <c r="SOY799" s="3796"/>
      <c r="SOZ799" s="3796"/>
      <c r="SPA799" s="3796"/>
      <c r="SPB799" s="3796"/>
      <c r="SPC799" s="3796"/>
      <c r="SPD799" s="3796"/>
      <c r="SPE799" s="3796"/>
      <c r="SPF799" s="3796"/>
      <c r="SPG799" s="3796"/>
      <c r="SPH799" s="3796"/>
      <c r="SPI799" s="3796"/>
      <c r="SPJ799" s="3796"/>
      <c r="SPK799" s="3796"/>
      <c r="SPL799" s="3796"/>
      <c r="SPM799" s="3796"/>
      <c r="SPN799" s="3796"/>
      <c r="SPO799" s="3796"/>
      <c r="SPP799" s="3796"/>
      <c r="SPQ799" s="3796"/>
      <c r="SPR799" s="3796"/>
      <c r="SPS799" s="3796"/>
      <c r="SPT799" s="3796"/>
      <c r="SPU799" s="3796"/>
      <c r="SPV799" s="3796"/>
      <c r="SPW799" s="3796"/>
      <c r="SPX799" s="3796"/>
      <c r="SPY799" s="3796"/>
      <c r="SPZ799" s="3796"/>
      <c r="SQA799" s="3796"/>
      <c r="SQB799" s="3796"/>
      <c r="SQC799" s="3796"/>
      <c r="SQD799" s="3796"/>
      <c r="SQE799" s="3796"/>
      <c r="SQF799" s="3796"/>
      <c r="SQG799" s="3796"/>
      <c r="SQH799" s="3796"/>
      <c r="SQI799" s="3796"/>
      <c r="SQJ799" s="3796"/>
      <c r="SQK799" s="3796"/>
      <c r="SQL799" s="3796"/>
      <c r="SQM799" s="3796"/>
      <c r="SQN799" s="3796"/>
      <c r="SQO799" s="3796"/>
      <c r="SQP799" s="3796"/>
      <c r="SQQ799" s="3796"/>
      <c r="SQR799" s="3796"/>
      <c r="SQS799" s="3796"/>
      <c r="SQT799" s="3796"/>
      <c r="SQU799" s="3796"/>
      <c r="SQV799" s="3796"/>
      <c r="SQW799" s="3796"/>
      <c r="SQX799" s="3796"/>
      <c r="SQY799" s="3796"/>
      <c r="SQZ799" s="3796"/>
      <c r="SRA799" s="3796"/>
      <c r="SRF799" s="3796"/>
      <c r="SRL799" s="3796"/>
      <c r="SRM799" s="3796"/>
      <c r="SRN799" s="3796"/>
      <c r="SRR799" s="3796"/>
      <c r="SRY799" s="3796"/>
      <c r="SRZ799" s="3796"/>
      <c r="SSA799" s="3796"/>
      <c r="SSB799" s="3796"/>
      <c r="SSC799" s="3796"/>
      <c r="SSD799" s="3796"/>
      <c r="SSE799" s="3796"/>
      <c r="SSF799" s="3796"/>
      <c r="SSG799" s="3796"/>
      <c r="SSH799" s="3796"/>
      <c r="SSI799" s="3796"/>
      <c r="SSJ799" s="3796"/>
      <c r="SSK799" s="3796"/>
      <c r="SSL799" s="3796"/>
      <c r="SSM799" s="3796"/>
      <c r="SSN799" s="3796"/>
      <c r="SSO799" s="3796"/>
      <c r="SSP799" s="3796"/>
      <c r="SSQ799" s="3796"/>
      <c r="SSR799" s="3796"/>
      <c r="SSS799" s="3796"/>
      <c r="SST799" s="3796"/>
      <c r="SSU799" s="3796"/>
      <c r="SSV799" s="3796"/>
      <c r="SSW799" s="3796"/>
      <c r="SSX799" s="3796"/>
      <c r="SSY799" s="3796"/>
      <c r="SSZ799" s="3796"/>
      <c r="STA799" s="3796"/>
      <c r="STB799" s="3796"/>
      <c r="STC799" s="3796"/>
      <c r="STD799" s="3796"/>
      <c r="STE799" s="3796"/>
      <c r="STF799" s="3796"/>
      <c r="STG799" s="3796"/>
      <c r="STH799" s="3796"/>
      <c r="STI799" s="3796"/>
      <c r="STJ799" s="3796"/>
      <c r="STK799" s="3796"/>
      <c r="STL799" s="3796"/>
      <c r="STM799" s="3796"/>
      <c r="STN799" s="3796"/>
      <c r="STO799" s="3796"/>
      <c r="STP799" s="3796"/>
      <c r="STQ799" s="3796"/>
      <c r="STR799" s="3796"/>
      <c r="STS799" s="3796"/>
      <c r="STT799" s="3796"/>
      <c r="STU799" s="3796"/>
      <c r="STV799" s="3796"/>
      <c r="STW799" s="3796"/>
      <c r="STX799" s="3796"/>
      <c r="STY799" s="3796"/>
      <c r="STZ799" s="3796"/>
      <c r="SUA799" s="3796"/>
      <c r="SUB799" s="3796"/>
      <c r="SUC799" s="3796"/>
      <c r="SUD799" s="3796"/>
      <c r="SUE799" s="3796"/>
      <c r="SUF799" s="3796"/>
      <c r="SUG799" s="3796"/>
      <c r="SUH799" s="3796"/>
      <c r="SUI799" s="3796"/>
      <c r="SUJ799" s="3796"/>
      <c r="SUK799" s="3796"/>
      <c r="SUL799" s="3796"/>
      <c r="SUM799" s="3796"/>
      <c r="SUN799" s="3796"/>
      <c r="SUO799" s="3796"/>
      <c r="SUP799" s="3796"/>
      <c r="SUQ799" s="3796"/>
      <c r="SUR799" s="3796"/>
      <c r="SUS799" s="3796"/>
      <c r="SUT799" s="3796"/>
      <c r="SUU799" s="3796"/>
      <c r="SUV799" s="3796"/>
      <c r="SUW799" s="3796"/>
      <c r="SUX799" s="3796"/>
      <c r="SUY799" s="3796"/>
      <c r="SUZ799" s="3796"/>
      <c r="SVA799" s="3796"/>
      <c r="SVB799" s="3796"/>
      <c r="SVC799" s="3796"/>
      <c r="SVD799" s="3796"/>
      <c r="SVE799" s="3796"/>
      <c r="SVF799" s="3796"/>
      <c r="SVG799" s="3796"/>
      <c r="SVH799" s="3796"/>
      <c r="SVI799" s="3796"/>
      <c r="SVJ799" s="3796"/>
      <c r="SVK799" s="3796"/>
      <c r="SVL799" s="3796"/>
      <c r="SVM799" s="3796"/>
      <c r="SVN799" s="3796"/>
      <c r="SVO799" s="3796"/>
      <c r="SVP799" s="3796"/>
      <c r="SVQ799" s="3796"/>
      <c r="SVR799" s="3796"/>
      <c r="SVS799" s="3796"/>
      <c r="SVT799" s="3796"/>
      <c r="SVU799" s="3796"/>
      <c r="SVV799" s="3796"/>
      <c r="SVW799" s="3796"/>
      <c r="SVX799" s="3796"/>
      <c r="SVY799" s="3796"/>
      <c r="SVZ799" s="3796"/>
      <c r="SWA799" s="3796"/>
      <c r="SWB799" s="3796"/>
      <c r="SWC799" s="3796"/>
      <c r="SWD799" s="3796"/>
      <c r="SWE799" s="3796"/>
      <c r="SWF799" s="3796"/>
      <c r="SWG799" s="3796"/>
      <c r="SWH799" s="3796"/>
      <c r="SWI799" s="3796"/>
      <c r="SWJ799" s="3796"/>
      <c r="SWK799" s="3796"/>
      <c r="SWL799" s="3796"/>
      <c r="SWM799" s="3796"/>
      <c r="SWN799" s="3796"/>
      <c r="SWO799" s="3796"/>
      <c r="SWP799" s="3796"/>
      <c r="SWQ799" s="3796"/>
      <c r="SWR799" s="3796"/>
      <c r="SWS799" s="3796"/>
      <c r="SWT799" s="3796"/>
      <c r="SWU799" s="3796"/>
      <c r="SWV799" s="3796"/>
      <c r="SWW799" s="3796"/>
      <c r="SWX799" s="3796"/>
      <c r="SWY799" s="3796"/>
      <c r="SWZ799" s="3796"/>
      <c r="SXA799" s="3796"/>
      <c r="SXB799" s="3796"/>
      <c r="SXC799" s="3796"/>
      <c r="SXD799" s="3796"/>
      <c r="SXE799" s="3796"/>
      <c r="SXF799" s="3796"/>
      <c r="SXG799" s="3796"/>
      <c r="SXH799" s="3796"/>
      <c r="SXI799" s="3796"/>
      <c r="SXJ799" s="3796"/>
      <c r="SXK799" s="3796"/>
      <c r="SXL799" s="3796"/>
      <c r="SXM799" s="3796"/>
      <c r="SXN799" s="3796"/>
      <c r="SXO799" s="3796"/>
      <c r="SXP799" s="3796"/>
      <c r="SXQ799" s="3796"/>
      <c r="SXR799" s="3796"/>
      <c r="SXS799" s="3796"/>
      <c r="SXT799" s="3796"/>
      <c r="SXU799" s="3796"/>
      <c r="SXV799" s="3796"/>
      <c r="SXW799" s="3796"/>
      <c r="SXX799" s="3796"/>
      <c r="SXY799" s="3796"/>
      <c r="SXZ799" s="3796"/>
      <c r="SYA799" s="3796"/>
      <c r="SYB799" s="3796"/>
      <c r="SYC799" s="3796"/>
      <c r="SYD799" s="3796"/>
      <c r="SYE799" s="3796"/>
      <c r="SYF799" s="3796"/>
      <c r="SYG799" s="3796"/>
      <c r="SYH799" s="3796"/>
      <c r="SYI799" s="3796"/>
      <c r="SYJ799" s="3796"/>
      <c r="SYK799" s="3796"/>
      <c r="SYL799" s="3796"/>
      <c r="SYM799" s="3796"/>
      <c r="SYN799" s="3796"/>
      <c r="SYO799" s="3796"/>
      <c r="SYP799" s="3796"/>
      <c r="SYQ799" s="3796"/>
      <c r="SYR799" s="3796"/>
      <c r="SYS799" s="3796"/>
      <c r="SYT799" s="3796"/>
      <c r="SYU799" s="3796"/>
      <c r="SYV799" s="3796"/>
      <c r="SYW799" s="3796"/>
      <c r="SYX799" s="3796"/>
      <c r="SYY799" s="3796"/>
      <c r="SYZ799" s="3796"/>
      <c r="SZA799" s="3796"/>
      <c r="SZB799" s="3796"/>
      <c r="SZC799" s="3796"/>
      <c r="SZD799" s="3796"/>
      <c r="SZE799" s="3796"/>
      <c r="SZF799" s="3796"/>
      <c r="SZG799" s="3796"/>
      <c r="SZH799" s="3796"/>
      <c r="SZI799" s="3796"/>
      <c r="SZJ799" s="3796"/>
      <c r="SZK799" s="3796"/>
      <c r="SZL799" s="3796"/>
      <c r="SZM799" s="3796"/>
      <c r="SZN799" s="3796"/>
      <c r="SZO799" s="3796"/>
      <c r="SZP799" s="3796"/>
      <c r="SZQ799" s="3796"/>
      <c r="SZR799" s="3796"/>
      <c r="SZS799" s="3796"/>
      <c r="SZT799" s="3796"/>
      <c r="SZU799" s="3796"/>
      <c r="SZV799" s="3796"/>
      <c r="SZW799" s="3796"/>
      <c r="SZX799" s="3796"/>
      <c r="SZY799" s="3796"/>
      <c r="SZZ799" s="3796"/>
      <c r="TAA799" s="3796"/>
      <c r="TAB799" s="3796"/>
      <c r="TAC799" s="3796"/>
      <c r="TAD799" s="3796"/>
      <c r="TAE799" s="3796"/>
      <c r="TAF799" s="3796"/>
      <c r="TAG799" s="3796"/>
      <c r="TAH799" s="3796"/>
      <c r="TAI799" s="3796"/>
      <c r="TAJ799" s="3796"/>
      <c r="TAK799" s="3796"/>
      <c r="TAL799" s="3796"/>
      <c r="TAM799" s="3796"/>
      <c r="TAN799" s="3796"/>
      <c r="TAO799" s="3796"/>
      <c r="TAP799" s="3796"/>
      <c r="TAQ799" s="3796"/>
      <c r="TAR799" s="3796"/>
      <c r="TAS799" s="3796"/>
      <c r="TAT799" s="3796"/>
      <c r="TAU799" s="3796"/>
      <c r="TAV799" s="3796"/>
      <c r="TAW799" s="3796"/>
      <c r="TBB799" s="3796"/>
      <c r="TBH799" s="3796"/>
      <c r="TBI799" s="3796"/>
      <c r="TBJ799" s="3796"/>
      <c r="TBN799" s="3796"/>
      <c r="TBU799" s="3796"/>
      <c r="TBV799" s="3796"/>
      <c r="TBW799" s="3796"/>
      <c r="TBX799" s="3796"/>
      <c r="TBY799" s="3796"/>
      <c r="TBZ799" s="3796"/>
      <c r="TCA799" s="3796"/>
      <c r="TCB799" s="3796"/>
      <c r="TCC799" s="3796"/>
      <c r="TCD799" s="3796"/>
      <c r="TCE799" s="3796"/>
      <c r="TCF799" s="3796"/>
      <c r="TCG799" s="3796"/>
      <c r="TCH799" s="3796"/>
      <c r="TCI799" s="3796"/>
      <c r="TCJ799" s="3796"/>
      <c r="TCK799" s="3796"/>
      <c r="TCL799" s="3796"/>
      <c r="TCM799" s="3796"/>
      <c r="TCN799" s="3796"/>
      <c r="TCO799" s="3796"/>
      <c r="TCP799" s="3796"/>
      <c r="TCQ799" s="3796"/>
      <c r="TCR799" s="3796"/>
      <c r="TCS799" s="3796"/>
      <c r="TCT799" s="3796"/>
      <c r="TCU799" s="3796"/>
      <c r="TCV799" s="3796"/>
      <c r="TCW799" s="3796"/>
      <c r="TCX799" s="3796"/>
      <c r="TCY799" s="3796"/>
      <c r="TCZ799" s="3796"/>
      <c r="TDA799" s="3796"/>
      <c r="TDB799" s="3796"/>
      <c r="TDC799" s="3796"/>
      <c r="TDD799" s="3796"/>
      <c r="TDE799" s="3796"/>
      <c r="TDF799" s="3796"/>
      <c r="TDG799" s="3796"/>
      <c r="TDH799" s="3796"/>
      <c r="TDI799" s="3796"/>
      <c r="TDJ799" s="3796"/>
      <c r="TDK799" s="3796"/>
      <c r="TDL799" s="3796"/>
      <c r="TDM799" s="3796"/>
      <c r="TDN799" s="3796"/>
      <c r="TDO799" s="3796"/>
      <c r="TDP799" s="3796"/>
      <c r="TDQ799" s="3796"/>
      <c r="TDR799" s="3796"/>
      <c r="TDS799" s="3796"/>
      <c r="TDT799" s="3796"/>
      <c r="TDU799" s="3796"/>
      <c r="TDV799" s="3796"/>
      <c r="TDW799" s="3796"/>
      <c r="TDX799" s="3796"/>
      <c r="TDY799" s="3796"/>
      <c r="TDZ799" s="3796"/>
      <c r="TEA799" s="3796"/>
      <c r="TEB799" s="3796"/>
      <c r="TEC799" s="3796"/>
      <c r="TED799" s="3796"/>
      <c r="TEE799" s="3796"/>
      <c r="TEF799" s="3796"/>
      <c r="TEG799" s="3796"/>
      <c r="TEH799" s="3796"/>
      <c r="TEI799" s="3796"/>
      <c r="TEJ799" s="3796"/>
      <c r="TEK799" s="3796"/>
      <c r="TEL799" s="3796"/>
      <c r="TEM799" s="3796"/>
      <c r="TEN799" s="3796"/>
      <c r="TEO799" s="3796"/>
      <c r="TEP799" s="3796"/>
      <c r="TEQ799" s="3796"/>
      <c r="TER799" s="3796"/>
      <c r="TES799" s="3796"/>
      <c r="TET799" s="3796"/>
      <c r="TEU799" s="3796"/>
      <c r="TEV799" s="3796"/>
      <c r="TEW799" s="3796"/>
      <c r="TEX799" s="3796"/>
      <c r="TEY799" s="3796"/>
      <c r="TEZ799" s="3796"/>
      <c r="TFA799" s="3796"/>
      <c r="TFB799" s="3796"/>
      <c r="TFC799" s="3796"/>
      <c r="TFD799" s="3796"/>
      <c r="TFE799" s="3796"/>
      <c r="TFF799" s="3796"/>
      <c r="TFG799" s="3796"/>
      <c r="TFH799" s="3796"/>
      <c r="TFI799" s="3796"/>
      <c r="TFJ799" s="3796"/>
      <c r="TFK799" s="3796"/>
      <c r="TFL799" s="3796"/>
      <c r="TFM799" s="3796"/>
      <c r="TFN799" s="3796"/>
      <c r="TFO799" s="3796"/>
      <c r="TFP799" s="3796"/>
      <c r="TFQ799" s="3796"/>
      <c r="TFR799" s="3796"/>
      <c r="TFS799" s="3796"/>
      <c r="TFT799" s="3796"/>
      <c r="TFU799" s="3796"/>
      <c r="TFV799" s="3796"/>
      <c r="TFW799" s="3796"/>
      <c r="TFX799" s="3796"/>
      <c r="TFY799" s="3796"/>
      <c r="TFZ799" s="3796"/>
      <c r="TGA799" s="3796"/>
      <c r="TGB799" s="3796"/>
      <c r="TGC799" s="3796"/>
      <c r="TGD799" s="3796"/>
      <c r="TGE799" s="3796"/>
      <c r="TGF799" s="3796"/>
      <c r="TGG799" s="3796"/>
      <c r="TGH799" s="3796"/>
      <c r="TGI799" s="3796"/>
      <c r="TGJ799" s="3796"/>
      <c r="TGK799" s="3796"/>
      <c r="TGL799" s="3796"/>
      <c r="TGM799" s="3796"/>
      <c r="TGN799" s="3796"/>
      <c r="TGO799" s="3796"/>
      <c r="TGP799" s="3796"/>
      <c r="TGQ799" s="3796"/>
      <c r="TGR799" s="3796"/>
      <c r="TGS799" s="3796"/>
      <c r="TGT799" s="3796"/>
      <c r="TGU799" s="3796"/>
      <c r="TGV799" s="3796"/>
      <c r="TGW799" s="3796"/>
      <c r="TGX799" s="3796"/>
      <c r="TGY799" s="3796"/>
      <c r="TGZ799" s="3796"/>
      <c r="THA799" s="3796"/>
      <c r="THB799" s="3796"/>
      <c r="THC799" s="3796"/>
      <c r="THD799" s="3796"/>
      <c r="THE799" s="3796"/>
      <c r="THF799" s="3796"/>
      <c r="THG799" s="3796"/>
      <c r="THH799" s="3796"/>
      <c r="THI799" s="3796"/>
      <c r="THJ799" s="3796"/>
      <c r="THK799" s="3796"/>
      <c r="THL799" s="3796"/>
      <c r="THM799" s="3796"/>
      <c r="THN799" s="3796"/>
      <c r="THO799" s="3796"/>
      <c r="THP799" s="3796"/>
      <c r="THQ799" s="3796"/>
      <c r="THR799" s="3796"/>
      <c r="THS799" s="3796"/>
      <c r="THT799" s="3796"/>
      <c r="THU799" s="3796"/>
      <c r="THV799" s="3796"/>
      <c r="THW799" s="3796"/>
      <c r="THX799" s="3796"/>
      <c r="THY799" s="3796"/>
      <c r="THZ799" s="3796"/>
      <c r="TIA799" s="3796"/>
      <c r="TIB799" s="3796"/>
      <c r="TIC799" s="3796"/>
      <c r="TID799" s="3796"/>
      <c r="TIE799" s="3796"/>
      <c r="TIF799" s="3796"/>
      <c r="TIG799" s="3796"/>
      <c r="TIH799" s="3796"/>
      <c r="TII799" s="3796"/>
      <c r="TIJ799" s="3796"/>
      <c r="TIK799" s="3796"/>
      <c r="TIL799" s="3796"/>
      <c r="TIM799" s="3796"/>
      <c r="TIN799" s="3796"/>
      <c r="TIO799" s="3796"/>
      <c r="TIP799" s="3796"/>
      <c r="TIQ799" s="3796"/>
      <c r="TIR799" s="3796"/>
      <c r="TIS799" s="3796"/>
      <c r="TIT799" s="3796"/>
      <c r="TIU799" s="3796"/>
      <c r="TIV799" s="3796"/>
      <c r="TIW799" s="3796"/>
      <c r="TIX799" s="3796"/>
      <c r="TIY799" s="3796"/>
      <c r="TIZ799" s="3796"/>
      <c r="TJA799" s="3796"/>
      <c r="TJB799" s="3796"/>
      <c r="TJC799" s="3796"/>
      <c r="TJD799" s="3796"/>
      <c r="TJE799" s="3796"/>
      <c r="TJF799" s="3796"/>
      <c r="TJG799" s="3796"/>
      <c r="TJH799" s="3796"/>
      <c r="TJI799" s="3796"/>
      <c r="TJJ799" s="3796"/>
      <c r="TJK799" s="3796"/>
      <c r="TJL799" s="3796"/>
      <c r="TJM799" s="3796"/>
      <c r="TJN799" s="3796"/>
      <c r="TJO799" s="3796"/>
      <c r="TJP799" s="3796"/>
      <c r="TJQ799" s="3796"/>
      <c r="TJR799" s="3796"/>
      <c r="TJS799" s="3796"/>
      <c r="TJT799" s="3796"/>
      <c r="TJU799" s="3796"/>
      <c r="TJV799" s="3796"/>
      <c r="TJW799" s="3796"/>
      <c r="TJX799" s="3796"/>
      <c r="TJY799" s="3796"/>
      <c r="TJZ799" s="3796"/>
      <c r="TKA799" s="3796"/>
      <c r="TKB799" s="3796"/>
      <c r="TKC799" s="3796"/>
      <c r="TKD799" s="3796"/>
      <c r="TKE799" s="3796"/>
      <c r="TKF799" s="3796"/>
      <c r="TKG799" s="3796"/>
      <c r="TKH799" s="3796"/>
      <c r="TKI799" s="3796"/>
      <c r="TKJ799" s="3796"/>
      <c r="TKK799" s="3796"/>
      <c r="TKL799" s="3796"/>
      <c r="TKM799" s="3796"/>
      <c r="TKN799" s="3796"/>
      <c r="TKO799" s="3796"/>
      <c r="TKP799" s="3796"/>
      <c r="TKQ799" s="3796"/>
      <c r="TKR799" s="3796"/>
      <c r="TKS799" s="3796"/>
      <c r="TKX799" s="3796"/>
      <c r="TLD799" s="3796"/>
      <c r="TLE799" s="3796"/>
      <c r="TLF799" s="3796"/>
      <c r="TLJ799" s="3796"/>
      <c r="TLQ799" s="3796"/>
      <c r="TLR799" s="3796"/>
      <c r="TLS799" s="3796"/>
      <c r="TLT799" s="3796"/>
      <c r="TLU799" s="3796"/>
      <c r="TLV799" s="3796"/>
      <c r="TLW799" s="3796"/>
      <c r="TLX799" s="3796"/>
      <c r="TLY799" s="3796"/>
      <c r="TLZ799" s="3796"/>
      <c r="TMA799" s="3796"/>
      <c r="TMB799" s="3796"/>
      <c r="TMC799" s="3796"/>
      <c r="TMD799" s="3796"/>
      <c r="TME799" s="3796"/>
      <c r="TMF799" s="3796"/>
      <c r="TMG799" s="3796"/>
      <c r="TMH799" s="3796"/>
      <c r="TMI799" s="3796"/>
      <c r="TMJ799" s="3796"/>
      <c r="TMK799" s="3796"/>
      <c r="TML799" s="3796"/>
      <c r="TMM799" s="3796"/>
      <c r="TMN799" s="3796"/>
      <c r="TMO799" s="3796"/>
      <c r="TMP799" s="3796"/>
      <c r="TMQ799" s="3796"/>
      <c r="TMR799" s="3796"/>
      <c r="TMS799" s="3796"/>
      <c r="TMT799" s="3796"/>
      <c r="TMU799" s="3796"/>
      <c r="TMV799" s="3796"/>
      <c r="TMW799" s="3796"/>
      <c r="TMX799" s="3796"/>
      <c r="TMY799" s="3796"/>
      <c r="TMZ799" s="3796"/>
      <c r="TNA799" s="3796"/>
      <c r="TNB799" s="3796"/>
      <c r="TNC799" s="3796"/>
      <c r="TND799" s="3796"/>
      <c r="TNE799" s="3796"/>
      <c r="TNF799" s="3796"/>
      <c r="TNG799" s="3796"/>
      <c r="TNH799" s="3796"/>
      <c r="TNI799" s="3796"/>
      <c r="TNJ799" s="3796"/>
      <c r="TNK799" s="3796"/>
      <c r="TNL799" s="3796"/>
      <c r="TNM799" s="3796"/>
      <c r="TNN799" s="3796"/>
      <c r="TNO799" s="3796"/>
      <c r="TNP799" s="3796"/>
      <c r="TNQ799" s="3796"/>
      <c r="TNR799" s="3796"/>
      <c r="TNS799" s="3796"/>
      <c r="TNT799" s="3796"/>
      <c r="TNU799" s="3796"/>
      <c r="TNV799" s="3796"/>
      <c r="TNW799" s="3796"/>
      <c r="TNX799" s="3796"/>
      <c r="TNY799" s="3796"/>
      <c r="TNZ799" s="3796"/>
      <c r="TOA799" s="3796"/>
      <c r="TOB799" s="3796"/>
      <c r="TOC799" s="3796"/>
      <c r="TOD799" s="3796"/>
      <c r="TOE799" s="3796"/>
      <c r="TOF799" s="3796"/>
      <c r="TOG799" s="3796"/>
      <c r="TOH799" s="3796"/>
      <c r="TOI799" s="3796"/>
      <c r="TOJ799" s="3796"/>
      <c r="TOK799" s="3796"/>
      <c r="TOL799" s="3796"/>
      <c r="TOM799" s="3796"/>
      <c r="TON799" s="3796"/>
      <c r="TOO799" s="3796"/>
      <c r="TOP799" s="3796"/>
      <c r="TOQ799" s="3796"/>
      <c r="TOR799" s="3796"/>
      <c r="TOS799" s="3796"/>
      <c r="TOT799" s="3796"/>
      <c r="TOU799" s="3796"/>
      <c r="TOV799" s="3796"/>
      <c r="TOW799" s="3796"/>
      <c r="TOX799" s="3796"/>
      <c r="TOY799" s="3796"/>
      <c r="TOZ799" s="3796"/>
      <c r="TPA799" s="3796"/>
      <c r="TPB799" s="3796"/>
      <c r="TPC799" s="3796"/>
      <c r="TPD799" s="3796"/>
      <c r="TPE799" s="3796"/>
      <c r="TPF799" s="3796"/>
      <c r="TPG799" s="3796"/>
      <c r="TPH799" s="3796"/>
      <c r="TPI799" s="3796"/>
      <c r="TPJ799" s="3796"/>
      <c r="TPK799" s="3796"/>
      <c r="TPL799" s="3796"/>
      <c r="TPM799" s="3796"/>
      <c r="TPN799" s="3796"/>
      <c r="TPO799" s="3796"/>
      <c r="TPP799" s="3796"/>
      <c r="TPQ799" s="3796"/>
      <c r="TPR799" s="3796"/>
      <c r="TPS799" s="3796"/>
      <c r="TPT799" s="3796"/>
      <c r="TPU799" s="3796"/>
      <c r="TPV799" s="3796"/>
      <c r="TPW799" s="3796"/>
      <c r="TPX799" s="3796"/>
      <c r="TPY799" s="3796"/>
      <c r="TPZ799" s="3796"/>
      <c r="TQA799" s="3796"/>
      <c r="TQB799" s="3796"/>
      <c r="TQC799" s="3796"/>
      <c r="TQD799" s="3796"/>
      <c r="TQE799" s="3796"/>
      <c r="TQF799" s="3796"/>
      <c r="TQG799" s="3796"/>
      <c r="TQH799" s="3796"/>
      <c r="TQI799" s="3796"/>
      <c r="TQJ799" s="3796"/>
      <c r="TQK799" s="3796"/>
      <c r="TQL799" s="3796"/>
      <c r="TQM799" s="3796"/>
      <c r="TQN799" s="3796"/>
      <c r="TQO799" s="3796"/>
      <c r="TQP799" s="3796"/>
      <c r="TQQ799" s="3796"/>
      <c r="TQR799" s="3796"/>
      <c r="TQS799" s="3796"/>
      <c r="TQT799" s="3796"/>
      <c r="TQU799" s="3796"/>
      <c r="TQV799" s="3796"/>
      <c r="TQW799" s="3796"/>
      <c r="TQX799" s="3796"/>
      <c r="TQY799" s="3796"/>
      <c r="TQZ799" s="3796"/>
      <c r="TRA799" s="3796"/>
      <c r="TRB799" s="3796"/>
      <c r="TRC799" s="3796"/>
      <c r="TRD799" s="3796"/>
      <c r="TRE799" s="3796"/>
      <c r="TRF799" s="3796"/>
      <c r="TRG799" s="3796"/>
      <c r="TRH799" s="3796"/>
      <c r="TRI799" s="3796"/>
      <c r="TRJ799" s="3796"/>
      <c r="TRK799" s="3796"/>
      <c r="TRL799" s="3796"/>
      <c r="TRM799" s="3796"/>
      <c r="TRN799" s="3796"/>
      <c r="TRO799" s="3796"/>
      <c r="TRP799" s="3796"/>
      <c r="TRQ799" s="3796"/>
      <c r="TRR799" s="3796"/>
      <c r="TRS799" s="3796"/>
      <c r="TRT799" s="3796"/>
      <c r="TRU799" s="3796"/>
      <c r="TRV799" s="3796"/>
      <c r="TRW799" s="3796"/>
      <c r="TRX799" s="3796"/>
      <c r="TRY799" s="3796"/>
      <c r="TRZ799" s="3796"/>
      <c r="TSA799" s="3796"/>
      <c r="TSB799" s="3796"/>
      <c r="TSC799" s="3796"/>
      <c r="TSD799" s="3796"/>
      <c r="TSE799" s="3796"/>
      <c r="TSF799" s="3796"/>
      <c r="TSG799" s="3796"/>
      <c r="TSH799" s="3796"/>
      <c r="TSI799" s="3796"/>
      <c r="TSJ799" s="3796"/>
      <c r="TSK799" s="3796"/>
      <c r="TSL799" s="3796"/>
      <c r="TSM799" s="3796"/>
      <c r="TSN799" s="3796"/>
      <c r="TSO799" s="3796"/>
      <c r="TSP799" s="3796"/>
      <c r="TSQ799" s="3796"/>
      <c r="TSR799" s="3796"/>
      <c r="TSS799" s="3796"/>
      <c r="TST799" s="3796"/>
      <c r="TSU799" s="3796"/>
      <c r="TSV799" s="3796"/>
      <c r="TSW799" s="3796"/>
      <c r="TSX799" s="3796"/>
      <c r="TSY799" s="3796"/>
      <c r="TSZ799" s="3796"/>
      <c r="TTA799" s="3796"/>
      <c r="TTB799" s="3796"/>
      <c r="TTC799" s="3796"/>
      <c r="TTD799" s="3796"/>
      <c r="TTE799" s="3796"/>
      <c r="TTF799" s="3796"/>
      <c r="TTG799" s="3796"/>
      <c r="TTH799" s="3796"/>
      <c r="TTI799" s="3796"/>
      <c r="TTJ799" s="3796"/>
      <c r="TTK799" s="3796"/>
      <c r="TTL799" s="3796"/>
      <c r="TTM799" s="3796"/>
      <c r="TTN799" s="3796"/>
      <c r="TTO799" s="3796"/>
      <c r="TTP799" s="3796"/>
      <c r="TTQ799" s="3796"/>
      <c r="TTR799" s="3796"/>
      <c r="TTS799" s="3796"/>
      <c r="TTT799" s="3796"/>
      <c r="TTU799" s="3796"/>
      <c r="TTV799" s="3796"/>
      <c r="TTW799" s="3796"/>
      <c r="TTX799" s="3796"/>
      <c r="TTY799" s="3796"/>
      <c r="TTZ799" s="3796"/>
      <c r="TUA799" s="3796"/>
      <c r="TUB799" s="3796"/>
      <c r="TUC799" s="3796"/>
      <c r="TUD799" s="3796"/>
      <c r="TUE799" s="3796"/>
      <c r="TUF799" s="3796"/>
      <c r="TUG799" s="3796"/>
      <c r="TUH799" s="3796"/>
      <c r="TUI799" s="3796"/>
      <c r="TUJ799" s="3796"/>
      <c r="TUK799" s="3796"/>
      <c r="TUL799" s="3796"/>
      <c r="TUM799" s="3796"/>
      <c r="TUN799" s="3796"/>
      <c r="TUO799" s="3796"/>
      <c r="TUT799" s="3796"/>
      <c r="TUZ799" s="3796"/>
      <c r="TVA799" s="3796"/>
      <c r="TVB799" s="3796"/>
      <c r="TVF799" s="3796"/>
      <c r="TVM799" s="3796"/>
      <c r="TVN799" s="3796"/>
      <c r="TVO799" s="3796"/>
      <c r="TVP799" s="3796"/>
      <c r="TVQ799" s="3796"/>
      <c r="TVR799" s="3796"/>
      <c r="TVS799" s="3796"/>
      <c r="TVT799" s="3796"/>
      <c r="TVU799" s="3796"/>
      <c r="TVV799" s="3796"/>
      <c r="TVW799" s="3796"/>
      <c r="TVX799" s="3796"/>
      <c r="TVY799" s="3796"/>
      <c r="TVZ799" s="3796"/>
      <c r="TWA799" s="3796"/>
      <c r="TWB799" s="3796"/>
      <c r="TWC799" s="3796"/>
      <c r="TWD799" s="3796"/>
      <c r="TWE799" s="3796"/>
      <c r="TWF799" s="3796"/>
      <c r="TWG799" s="3796"/>
      <c r="TWH799" s="3796"/>
      <c r="TWI799" s="3796"/>
      <c r="TWJ799" s="3796"/>
      <c r="TWK799" s="3796"/>
      <c r="TWL799" s="3796"/>
      <c r="TWM799" s="3796"/>
      <c r="TWN799" s="3796"/>
      <c r="TWO799" s="3796"/>
      <c r="TWP799" s="3796"/>
      <c r="TWQ799" s="3796"/>
      <c r="TWR799" s="3796"/>
      <c r="TWS799" s="3796"/>
      <c r="TWT799" s="3796"/>
      <c r="TWU799" s="3796"/>
      <c r="TWV799" s="3796"/>
      <c r="TWW799" s="3796"/>
      <c r="TWX799" s="3796"/>
      <c r="TWY799" s="3796"/>
      <c r="TWZ799" s="3796"/>
      <c r="TXA799" s="3796"/>
      <c r="TXB799" s="3796"/>
      <c r="TXC799" s="3796"/>
      <c r="TXD799" s="3796"/>
      <c r="TXE799" s="3796"/>
      <c r="TXF799" s="3796"/>
      <c r="TXG799" s="3796"/>
      <c r="TXH799" s="3796"/>
      <c r="TXI799" s="3796"/>
      <c r="TXJ799" s="3796"/>
      <c r="TXK799" s="3796"/>
      <c r="TXL799" s="3796"/>
      <c r="TXM799" s="3796"/>
      <c r="TXN799" s="3796"/>
      <c r="TXO799" s="3796"/>
      <c r="TXP799" s="3796"/>
      <c r="TXQ799" s="3796"/>
      <c r="TXR799" s="3796"/>
      <c r="TXS799" s="3796"/>
      <c r="TXT799" s="3796"/>
      <c r="TXU799" s="3796"/>
      <c r="TXV799" s="3796"/>
      <c r="TXW799" s="3796"/>
      <c r="TXX799" s="3796"/>
      <c r="TXY799" s="3796"/>
      <c r="TXZ799" s="3796"/>
      <c r="TYA799" s="3796"/>
      <c r="TYB799" s="3796"/>
      <c r="TYC799" s="3796"/>
      <c r="TYD799" s="3796"/>
      <c r="TYE799" s="3796"/>
      <c r="TYF799" s="3796"/>
      <c r="TYG799" s="3796"/>
      <c r="TYH799" s="3796"/>
      <c r="TYI799" s="3796"/>
      <c r="TYJ799" s="3796"/>
      <c r="TYK799" s="3796"/>
      <c r="TYL799" s="3796"/>
      <c r="TYM799" s="3796"/>
      <c r="TYN799" s="3796"/>
      <c r="TYO799" s="3796"/>
      <c r="TYP799" s="3796"/>
      <c r="TYQ799" s="3796"/>
      <c r="TYR799" s="3796"/>
      <c r="TYS799" s="3796"/>
      <c r="TYT799" s="3796"/>
      <c r="TYU799" s="3796"/>
      <c r="TYV799" s="3796"/>
      <c r="TYW799" s="3796"/>
      <c r="TYX799" s="3796"/>
      <c r="TYY799" s="3796"/>
      <c r="TYZ799" s="3796"/>
      <c r="TZA799" s="3796"/>
      <c r="TZB799" s="3796"/>
      <c r="TZC799" s="3796"/>
      <c r="TZD799" s="3796"/>
      <c r="TZE799" s="3796"/>
      <c r="TZF799" s="3796"/>
      <c r="TZG799" s="3796"/>
      <c r="TZH799" s="3796"/>
      <c r="TZI799" s="3796"/>
      <c r="TZJ799" s="3796"/>
      <c r="TZK799" s="3796"/>
      <c r="TZL799" s="3796"/>
      <c r="TZM799" s="3796"/>
      <c r="TZN799" s="3796"/>
      <c r="TZO799" s="3796"/>
      <c r="TZP799" s="3796"/>
      <c r="TZQ799" s="3796"/>
      <c r="TZR799" s="3796"/>
      <c r="TZS799" s="3796"/>
      <c r="TZT799" s="3796"/>
      <c r="TZU799" s="3796"/>
      <c r="TZV799" s="3796"/>
      <c r="TZW799" s="3796"/>
      <c r="TZX799" s="3796"/>
      <c r="TZY799" s="3796"/>
      <c r="TZZ799" s="3796"/>
      <c r="UAA799" s="3796"/>
      <c r="UAB799" s="3796"/>
      <c r="UAC799" s="3796"/>
      <c r="UAD799" s="3796"/>
      <c r="UAE799" s="3796"/>
      <c r="UAF799" s="3796"/>
      <c r="UAG799" s="3796"/>
      <c r="UAH799" s="3796"/>
      <c r="UAI799" s="3796"/>
      <c r="UAJ799" s="3796"/>
      <c r="UAK799" s="3796"/>
      <c r="UAL799" s="3796"/>
      <c r="UAM799" s="3796"/>
      <c r="UAN799" s="3796"/>
      <c r="UAO799" s="3796"/>
      <c r="UAP799" s="3796"/>
      <c r="UAQ799" s="3796"/>
      <c r="UAR799" s="3796"/>
      <c r="UAS799" s="3796"/>
      <c r="UAT799" s="3796"/>
      <c r="UAU799" s="3796"/>
      <c r="UAV799" s="3796"/>
      <c r="UAW799" s="3796"/>
      <c r="UAX799" s="3796"/>
      <c r="UAY799" s="3796"/>
      <c r="UAZ799" s="3796"/>
      <c r="UBA799" s="3796"/>
      <c r="UBB799" s="3796"/>
      <c r="UBC799" s="3796"/>
      <c r="UBD799" s="3796"/>
      <c r="UBE799" s="3796"/>
      <c r="UBF799" s="3796"/>
      <c r="UBG799" s="3796"/>
      <c r="UBH799" s="3796"/>
      <c r="UBI799" s="3796"/>
      <c r="UBJ799" s="3796"/>
      <c r="UBK799" s="3796"/>
      <c r="UBL799" s="3796"/>
      <c r="UBM799" s="3796"/>
      <c r="UBN799" s="3796"/>
      <c r="UBO799" s="3796"/>
      <c r="UBP799" s="3796"/>
      <c r="UBQ799" s="3796"/>
      <c r="UBR799" s="3796"/>
      <c r="UBS799" s="3796"/>
      <c r="UBT799" s="3796"/>
      <c r="UBU799" s="3796"/>
      <c r="UBV799" s="3796"/>
      <c r="UBW799" s="3796"/>
      <c r="UBX799" s="3796"/>
      <c r="UBY799" s="3796"/>
      <c r="UBZ799" s="3796"/>
      <c r="UCA799" s="3796"/>
      <c r="UCB799" s="3796"/>
      <c r="UCC799" s="3796"/>
      <c r="UCD799" s="3796"/>
      <c r="UCE799" s="3796"/>
      <c r="UCF799" s="3796"/>
      <c r="UCG799" s="3796"/>
      <c r="UCH799" s="3796"/>
      <c r="UCI799" s="3796"/>
      <c r="UCJ799" s="3796"/>
      <c r="UCK799" s="3796"/>
      <c r="UCL799" s="3796"/>
      <c r="UCM799" s="3796"/>
      <c r="UCN799" s="3796"/>
      <c r="UCO799" s="3796"/>
      <c r="UCP799" s="3796"/>
      <c r="UCQ799" s="3796"/>
      <c r="UCR799" s="3796"/>
      <c r="UCS799" s="3796"/>
      <c r="UCT799" s="3796"/>
      <c r="UCU799" s="3796"/>
      <c r="UCV799" s="3796"/>
      <c r="UCW799" s="3796"/>
      <c r="UCX799" s="3796"/>
      <c r="UCY799" s="3796"/>
      <c r="UCZ799" s="3796"/>
      <c r="UDA799" s="3796"/>
      <c r="UDB799" s="3796"/>
      <c r="UDC799" s="3796"/>
      <c r="UDD799" s="3796"/>
      <c r="UDE799" s="3796"/>
      <c r="UDF799" s="3796"/>
      <c r="UDG799" s="3796"/>
      <c r="UDH799" s="3796"/>
      <c r="UDI799" s="3796"/>
      <c r="UDJ799" s="3796"/>
      <c r="UDK799" s="3796"/>
      <c r="UDL799" s="3796"/>
      <c r="UDM799" s="3796"/>
      <c r="UDN799" s="3796"/>
      <c r="UDO799" s="3796"/>
      <c r="UDP799" s="3796"/>
      <c r="UDQ799" s="3796"/>
      <c r="UDR799" s="3796"/>
      <c r="UDS799" s="3796"/>
      <c r="UDT799" s="3796"/>
      <c r="UDU799" s="3796"/>
      <c r="UDV799" s="3796"/>
      <c r="UDW799" s="3796"/>
      <c r="UDX799" s="3796"/>
      <c r="UDY799" s="3796"/>
      <c r="UDZ799" s="3796"/>
      <c r="UEA799" s="3796"/>
      <c r="UEB799" s="3796"/>
      <c r="UEC799" s="3796"/>
      <c r="UED799" s="3796"/>
      <c r="UEE799" s="3796"/>
      <c r="UEF799" s="3796"/>
      <c r="UEG799" s="3796"/>
      <c r="UEH799" s="3796"/>
      <c r="UEI799" s="3796"/>
      <c r="UEJ799" s="3796"/>
      <c r="UEK799" s="3796"/>
      <c r="UEP799" s="3796"/>
      <c r="UEV799" s="3796"/>
      <c r="UEW799" s="3796"/>
      <c r="UEX799" s="3796"/>
      <c r="UFB799" s="3796"/>
      <c r="UFI799" s="3796"/>
      <c r="UFJ799" s="3796"/>
      <c r="UFK799" s="3796"/>
      <c r="UFL799" s="3796"/>
      <c r="UFM799" s="3796"/>
      <c r="UFN799" s="3796"/>
      <c r="UFO799" s="3796"/>
      <c r="UFP799" s="3796"/>
      <c r="UFQ799" s="3796"/>
      <c r="UFR799" s="3796"/>
      <c r="UFS799" s="3796"/>
      <c r="UFT799" s="3796"/>
      <c r="UFU799" s="3796"/>
      <c r="UFV799" s="3796"/>
      <c r="UFW799" s="3796"/>
      <c r="UFX799" s="3796"/>
      <c r="UFY799" s="3796"/>
      <c r="UFZ799" s="3796"/>
      <c r="UGA799" s="3796"/>
      <c r="UGB799" s="3796"/>
      <c r="UGC799" s="3796"/>
      <c r="UGD799" s="3796"/>
      <c r="UGE799" s="3796"/>
      <c r="UGF799" s="3796"/>
      <c r="UGG799" s="3796"/>
      <c r="UGH799" s="3796"/>
      <c r="UGI799" s="3796"/>
      <c r="UGJ799" s="3796"/>
      <c r="UGK799" s="3796"/>
      <c r="UGL799" s="3796"/>
      <c r="UGM799" s="3796"/>
      <c r="UGN799" s="3796"/>
      <c r="UGO799" s="3796"/>
      <c r="UGP799" s="3796"/>
      <c r="UGQ799" s="3796"/>
      <c r="UGR799" s="3796"/>
      <c r="UGS799" s="3796"/>
      <c r="UGT799" s="3796"/>
      <c r="UGU799" s="3796"/>
      <c r="UGV799" s="3796"/>
      <c r="UGW799" s="3796"/>
      <c r="UGX799" s="3796"/>
      <c r="UGY799" s="3796"/>
      <c r="UGZ799" s="3796"/>
      <c r="UHA799" s="3796"/>
      <c r="UHB799" s="3796"/>
      <c r="UHC799" s="3796"/>
      <c r="UHD799" s="3796"/>
      <c r="UHE799" s="3796"/>
      <c r="UHF799" s="3796"/>
      <c r="UHG799" s="3796"/>
      <c r="UHH799" s="3796"/>
      <c r="UHI799" s="3796"/>
      <c r="UHJ799" s="3796"/>
      <c r="UHK799" s="3796"/>
      <c r="UHL799" s="3796"/>
      <c r="UHM799" s="3796"/>
      <c r="UHN799" s="3796"/>
      <c r="UHO799" s="3796"/>
      <c r="UHP799" s="3796"/>
      <c r="UHQ799" s="3796"/>
      <c r="UHR799" s="3796"/>
      <c r="UHS799" s="3796"/>
      <c r="UHT799" s="3796"/>
      <c r="UHU799" s="3796"/>
      <c r="UHV799" s="3796"/>
      <c r="UHW799" s="3796"/>
      <c r="UHX799" s="3796"/>
      <c r="UHY799" s="3796"/>
      <c r="UHZ799" s="3796"/>
      <c r="UIA799" s="3796"/>
      <c r="UIB799" s="3796"/>
      <c r="UIC799" s="3796"/>
      <c r="UID799" s="3796"/>
      <c r="UIE799" s="3796"/>
      <c r="UIF799" s="3796"/>
      <c r="UIG799" s="3796"/>
      <c r="UIH799" s="3796"/>
      <c r="UII799" s="3796"/>
      <c r="UIJ799" s="3796"/>
      <c r="UIK799" s="3796"/>
      <c r="UIL799" s="3796"/>
      <c r="UIM799" s="3796"/>
      <c r="UIN799" s="3796"/>
      <c r="UIO799" s="3796"/>
      <c r="UIP799" s="3796"/>
      <c r="UIQ799" s="3796"/>
      <c r="UIR799" s="3796"/>
      <c r="UIS799" s="3796"/>
      <c r="UIT799" s="3796"/>
      <c r="UIU799" s="3796"/>
      <c r="UIV799" s="3796"/>
      <c r="UIW799" s="3796"/>
      <c r="UIX799" s="3796"/>
      <c r="UIY799" s="3796"/>
      <c r="UIZ799" s="3796"/>
      <c r="UJA799" s="3796"/>
      <c r="UJB799" s="3796"/>
      <c r="UJC799" s="3796"/>
      <c r="UJD799" s="3796"/>
      <c r="UJE799" s="3796"/>
      <c r="UJF799" s="3796"/>
      <c r="UJG799" s="3796"/>
      <c r="UJH799" s="3796"/>
      <c r="UJI799" s="3796"/>
      <c r="UJJ799" s="3796"/>
      <c r="UJK799" s="3796"/>
      <c r="UJL799" s="3796"/>
      <c r="UJM799" s="3796"/>
      <c r="UJN799" s="3796"/>
      <c r="UJO799" s="3796"/>
      <c r="UJP799" s="3796"/>
      <c r="UJQ799" s="3796"/>
      <c r="UJR799" s="3796"/>
      <c r="UJS799" s="3796"/>
      <c r="UJT799" s="3796"/>
      <c r="UJU799" s="3796"/>
      <c r="UJV799" s="3796"/>
      <c r="UJW799" s="3796"/>
      <c r="UJX799" s="3796"/>
      <c r="UJY799" s="3796"/>
      <c r="UJZ799" s="3796"/>
      <c r="UKA799" s="3796"/>
      <c r="UKB799" s="3796"/>
      <c r="UKC799" s="3796"/>
      <c r="UKD799" s="3796"/>
      <c r="UKE799" s="3796"/>
      <c r="UKF799" s="3796"/>
      <c r="UKG799" s="3796"/>
      <c r="UKH799" s="3796"/>
      <c r="UKI799" s="3796"/>
      <c r="UKJ799" s="3796"/>
      <c r="UKK799" s="3796"/>
      <c r="UKL799" s="3796"/>
      <c r="UKM799" s="3796"/>
      <c r="UKN799" s="3796"/>
      <c r="UKO799" s="3796"/>
      <c r="UKP799" s="3796"/>
      <c r="UKQ799" s="3796"/>
      <c r="UKR799" s="3796"/>
      <c r="UKS799" s="3796"/>
      <c r="UKT799" s="3796"/>
      <c r="UKU799" s="3796"/>
      <c r="UKV799" s="3796"/>
      <c r="UKW799" s="3796"/>
      <c r="UKX799" s="3796"/>
      <c r="UKY799" s="3796"/>
      <c r="UKZ799" s="3796"/>
      <c r="ULA799" s="3796"/>
      <c r="ULB799" s="3796"/>
      <c r="ULC799" s="3796"/>
      <c r="ULD799" s="3796"/>
      <c r="ULE799" s="3796"/>
      <c r="ULF799" s="3796"/>
      <c r="ULG799" s="3796"/>
      <c r="ULH799" s="3796"/>
      <c r="ULI799" s="3796"/>
      <c r="ULJ799" s="3796"/>
      <c r="ULK799" s="3796"/>
      <c r="ULL799" s="3796"/>
      <c r="ULM799" s="3796"/>
      <c r="ULN799" s="3796"/>
      <c r="ULO799" s="3796"/>
      <c r="ULP799" s="3796"/>
      <c r="ULQ799" s="3796"/>
      <c r="ULR799" s="3796"/>
      <c r="ULS799" s="3796"/>
      <c r="ULT799" s="3796"/>
      <c r="ULU799" s="3796"/>
      <c r="ULV799" s="3796"/>
      <c r="ULW799" s="3796"/>
      <c r="ULX799" s="3796"/>
      <c r="ULY799" s="3796"/>
      <c r="ULZ799" s="3796"/>
      <c r="UMA799" s="3796"/>
      <c r="UMB799" s="3796"/>
      <c r="UMC799" s="3796"/>
      <c r="UMD799" s="3796"/>
      <c r="UME799" s="3796"/>
      <c r="UMF799" s="3796"/>
      <c r="UMG799" s="3796"/>
      <c r="UMH799" s="3796"/>
      <c r="UMI799" s="3796"/>
      <c r="UMJ799" s="3796"/>
      <c r="UMK799" s="3796"/>
      <c r="UML799" s="3796"/>
      <c r="UMM799" s="3796"/>
      <c r="UMN799" s="3796"/>
      <c r="UMO799" s="3796"/>
      <c r="UMP799" s="3796"/>
      <c r="UMQ799" s="3796"/>
      <c r="UMR799" s="3796"/>
      <c r="UMS799" s="3796"/>
      <c r="UMT799" s="3796"/>
      <c r="UMU799" s="3796"/>
      <c r="UMV799" s="3796"/>
      <c r="UMW799" s="3796"/>
      <c r="UMX799" s="3796"/>
      <c r="UMY799" s="3796"/>
      <c r="UMZ799" s="3796"/>
      <c r="UNA799" s="3796"/>
      <c r="UNB799" s="3796"/>
      <c r="UNC799" s="3796"/>
      <c r="UND799" s="3796"/>
      <c r="UNE799" s="3796"/>
      <c r="UNF799" s="3796"/>
      <c r="UNG799" s="3796"/>
      <c r="UNH799" s="3796"/>
      <c r="UNI799" s="3796"/>
      <c r="UNJ799" s="3796"/>
      <c r="UNK799" s="3796"/>
      <c r="UNL799" s="3796"/>
      <c r="UNM799" s="3796"/>
      <c r="UNN799" s="3796"/>
      <c r="UNO799" s="3796"/>
      <c r="UNP799" s="3796"/>
      <c r="UNQ799" s="3796"/>
      <c r="UNR799" s="3796"/>
      <c r="UNS799" s="3796"/>
      <c r="UNT799" s="3796"/>
      <c r="UNU799" s="3796"/>
      <c r="UNV799" s="3796"/>
      <c r="UNW799" s="3796"/>
      <c r="UNX799" s="3796"/>
      <c r="UNY799" s="3796"/>
      <c r="UNZ799" s="3796"/>
      <c r="UOA799" s="3796"/>
      <c r="UOB799" s="3796"/>
      <c r="UOC799" s="3796"/>
      <c r="UOD799" s="3796"/>
      <c r="UOE799" s="3796"/>
      <c r="UOF799" s="3796"/>
      <c r="UOG799" s="3796"/>
      <c r="UOL799" s="3796"/>
      <c r="UOR799" s="3796"/>
      <c r="UOS799" s="3796"/>
      <c r="UOT799" s="3796"/>
      <c r="UOX799" s="3796"/>
      <c r="UPE799" s="3796"/>
      <c r="UPF799" s="3796"/>
      <c r="UPG799" s="3796"/>
      <c r="UPH799" s="3796"/>
      <c r="UPI799" s="3796"/>
      <c r="UPJ799" s="3796"/>
      <c r="UPK799" s="3796"/>
      <c r="UPL799" s="3796"/>
      <c r="UPM799" s="3796"/>
      <c r="UPN799" s="3796"/>
      <c r="UPO799" s="3796"/>
      <c r="UPP799" s="3796"/>
      <c r="UPQ799" s="3796"/>
      <c r="UPR799" s="3796"/>
      <c r="UPS799" s="3796"/>
      <c r="UPT799" s="3796"/>
      <c r="UPU799" s="3796"/>
      <c r="UPV799" s="3796"/>
      <c r="UPW799" s="3796"/>
      <c r="UPX799" s="3796"/>
      <c r="UPY799" s="3796"/>
      <c r="UPZ799" s="3796"/>
      <c r="UQA799" s="3796"/>
      <c r="UQB799" s="3796"/>
      <c r="UQC799" s="3796"/>
      <c r="UQD799" s="3796"/>
      <c r="UQE799" s="3796"/>
      <c r="UQF799" s="3796"/>
      <c r="UQG799" s="3796"/>
      <c r="UQH799" s="3796"/>
      <c r="UQI799" s="3796"/>
      <c r="UQJ799" s="3796"/>
      <c r="UQK799" s="3796"/>
      <c r="UQL799" s="3796"/>
      <c r="UQM799" s="3796"/>
      <c r="UQN799" s="3796"/>
      <c r="UQO799" s="3796"/>
      <c r="UQP799" s="3796"/>
      <c r="UQQ799" s="3796"/>
      <c r="UQR799" s="3796"/>
      <c r="UQS799" s="3796"/>
      <c r="UQT799" s="3796"/>
      <c r="UQU799" s="3796"/>
      <c r="UQV799" s="3796"/>
      <c r="UQW799" s="3796"/>
      <c r="UQX799" s="3796"/>
      <c r="UQY799" s="3796"/>
      <c r="UQZ799" s="3796"/>
      <c r="URA799" s="3796"/>
      <c r="URB799" s="3796"/>
      <c r="URC799" s="3796"/>
      <c r="URD799" s="3796"/>
      <c r="URE799" s="3796"/>
      <c r="URF799" s="3796"/>
      <c r="URG799" s="3796"/>
      <c r="URH799" s="3796"/>
      <c r="URI799" s="3796"/>
      <c r="URJ799" s="3796"/>
      <c r="URK799" s="3796"/>
      <c r="URL799" s="3796"/>
      <c r="URM799" s="3796"/>
      <c r="URN799" s="3796"/>
      <c r="URO799" s="3796"/>
      <c r="URP799" s="3796"/>
      <c r="URQ799" s="3796"/>
      <c r="URR799" s="3796"/>
      <c r="URS799" s="3796"/>
      <c r="URT799" s="3796"/>
      <c r="URU799" s="3796"/>
      <c r="URV799" s="3796"/>
      <c r="URW799" s="3796"/>
      <c r="URX799" s="3796"/>
      <c r="URY799" s="3796"/>
      <c r="URZ799" s="3796"/>
      <c r="USA799" s="3796"/>
      <c r="USB799" s="3796"/>
      <c r="USC799" s="3796"/>
      <c r="USD799" s="3796"/>
      <c r="USE799" s="3796"/>
      <c r="USF799" s="3796"/>
      <c r="USG799" s="3796"/>
      <c r="USH799" s="3796"/>
      <c r="USI799" s="3796"/>
      <c r="USJ799" s="3796"/>
      <c r="USK799" s="3796"/>
      <c r="USL799" s="3796"/>
      <c r="USM799" s="3796"/>
      <c r="USN799" s="3796"/>
      <c r="USO799" s="3796"/>
      <c r="USP799" s="3796"/>
      <c r="USQ799" s="3796"/>
      <c r="USR799" s="3796"/>
      <c r="USS799" s="3796"/>
      <c r="UST799" s="3796"/>
      <c r="USU799" s="3796"/>
      <c r="USV799" s="3796"/>
      <c r="USW799" s="3796"/>
      <c r="USX799" s="3796"/>
      <c r="USY799" s="3796"/>
      <c r="USZ799" s="3796"/>
      <c r="UTA799" s="3796"/>
      <c r="UTB799" s="3796"/>
      <c r="UTC799" s="3796"/>
      <c r="UTD799" s="3796"/>
      <c r="UTE799" s="3796"/>
      <c r="UTF799" s="3796"/>
      <c r="UTG799" s="3796"/>
      <c r="UTH799" s="3796"/>
      <c r="UTI799" s="3796"/>
      <c r="UTJ799" s="3796"/>
      <c r="UTK799" s="3796"/>
      <c r="UTL799" s="3796"/>
      <c r="UTM799" s="3796"/>
      <c r="UTN799" s="3796"/>
      <c r="UTO799" s="3796"/>
      <c r="UTP799" s="3796"/>
      <c r="UTQ799" s="3796"/>
      <c r="UTR799" s="3796"/>
      <c r="UTS799" s="3796"/>
      <c r="UTT799" s="3796"/>
      <c r="UTU799" s="3796"/>
      <c r="UTV799" s="3796"/>
      <c r="UTW799" s="3796"/>
      <c r="UTX799" s="3796"/>
      <c r="UTY799" s="3796"/>
      <c r="UTZ799" s="3796"/>
      <c r="UUA799" s="3796"/>
      <c r="UUB799" s="3796"/>
      <c r="UUC799" s="3796"/>
      <c r="UUD799" s="3796"/>
      <c r="UUE799" s="3796"/>
      <c r="UUF799" s="3796"/>
      <c r="UUG799" s="3796"/>
      <c r="UUH799" s="3796"/>
      <c r="UUI799" s="3796"/>
      <c r="UUJ799" s="3796"/>
      <c r="UUK799" s="3796"/>
      <c r="UUL799" s="3796"/>
      <c r="UUM799" s="3796"/>
      <c r="UUN799" s="3796"/>
      <c r="UUO799" s="3796"/>
      <c r="UUP799" s="3796"/>
      <c r="UUQ799" s="3796"/>
      <c r="UUR799" s="3796"/>
      <c r="UUS799" s="3796"/>
      <c r="UUT799" s="3796"/>
      <c r="UUU799" s="3796"/>
      <c r="UUV799" s="3796"/>
      <c r="UUW799" s="3796"/>
      <c r="UUX799" s="3796"/>
      <c r="UUY799" s="3796"/>
      <c r="UUZ799" s="3796"/>
      <c r="UVA799" s="3796"/>
      <c r="UVB799" s="3796"/>
      <c r="UVC799" s="3796"/>
      <c r="UVD799" s="3796"/>
      <c r="UVE799" s="3796"/>
      <c r="UVF799" s="3796"/>
      <c r="UVG799" s="3796"/>
      <c r="UVH799" s="3796"/>
      <c r="UVI799" s="3796"/>
      <c r="UVJ799" s="3796"/>
      <c r="UVK799" s="3796"/>
      <c r="UVL799" s="3796"/>
      <c r="UVM799" s="3796"/>
      <c r="UVN799" s="3796"/>
      <c r="UVO799" s="3796"/>
      <c r="UVP799" s="3796"/>
      <c r="UVQ799" s="3796"/>
      <c r="UVR799" s="3796"/>
      <c r="UVS799" s="3796"/>
      <c r="UVT799" s="3796"/>
      <c r="UVU799" s="3796"/>
      <c r="UVV799" s="3796"/>
      <c r="UVW799" s="3796"/>
      <c r="UVX799" s="3796"/>
      <c r="UVY799" s="3796"/>
      <c r="UVZ799" s="3796"/>
      <c r="UWA799" s="3796"/>
      <c r="UWB799" s="3796"/>
      <c r="UWC799" s="3796"/>
      <c r="UWD799" s="3796"/>
      <c r="UWE799" s="3796"/>
      <c r="UWF799" s="3796"/>
      <c r="UWG799" s="3796"/>
      <c r="UWH799" s="3796"/>
      <c r="UWI799" s="3796"/>
      <c r="UWJ799" s="3796"/>
      <c r="UWK799" s="3796"/>
      <c r="UWL799" s="3796"/>
      <c r="UWM799" s="3796"/>
      <c r="UWN799" s="3796"/>
      <c r="UWO799" s="3796"/>
      <c r="UWP799" s="3796"/>
      <c r="UWQ799" s="3796"/>
      <c r="UWR799" s="3796"/>
      <c r="UWS799" s="3796"/>
      <c r="UWT799" s="3796"/>
      <c r="UWU799" s="3796"/>
      <c r="UWV799" s="3796"/>
      <c r="UWW799" s="3796"/>
      <c r="UWX799" s="3796"/>
      <c r="UWY799" s="3796"/>
      <c r="UWZ799" s="3796"/>
      <c r="UXA799" s="3796"/>
      <c r="UXB799" s="3796"/>
      <c r="UXC799" s="3796"/>
      <c r="UXD799" s="3796"/>
      <c r="UXE799" s="3796"/>
      <c r="UXF799" s="3796"/>
      <c r="UXG799" s="3796"/>
      <c r="UXH799" s="3796"/>
      <c r="UXI799" s="3796"/>
      <c r="UXJ799" s="3796"/>
      <c r="UXK799" s="3796"/>
      <c r="UXL799" s="3796"/>
      <c r="UXM799" s="3796"/>
      <c r="UXN799" s="3796"/>
      <c r="UXO799" s="3796"/>
      <c r="UXP799" s="3796"/>
      <c r="UXQ799" s="3796"/>
      <c r="UXR799" s="3796"/>
      <c r="UXS799" s="3796"/>
      <c r="UXT799" s="3796"/>
      <c r="UXU799" s="3796"/>
      <c r="UXV799" s="3796"/>
      <c r="UXW799" s="3796"/>
      <c r="UXX799" s="3796"/>
      <c r="UXY799" s="3796"/>
      <c r="UXZ799" s="3796"/>
      <c r="UYA799" s="3796"/>
      <c r="UYB799" s="3796"/>
      <c r="UYC799" s="3796"/>
      <c r="UYH799" s="3796"/>
      <c r="UYN799" s="3796"/>
      <c r="UYO799" s="3796"/>
      <c r="UYP799" s="3796"/>
      <c r="UYT799" s="3796"/>
      <c r="UZA799" s="3796"/>
      <c r="UZB799" s="3796"/>
      <c r="UZC799" s="3796"/>
      <c r="UZD799" s="3796"/>
      <c r="UZE799" s="3796"/>
      <c r="UZF799" s="3796"/>
      <c r="UZG799" s="3796"/>
      <c r="UZH799" s="3796"/>
      <c r="UZI799" s="3796"/>
      <c r="UZJ799" s="3796"/>
      <c r="UZK799" s="3796"/>
      <c r="UZL799" s="3796"/>
      <c r="UZM799" s="3796"/>
      <c r="UZN799" s="3796"/>
      <c r="UZO799" s="3796"/>
      <c r="UZP799" s="3796"/>
      <c r="UZQ799" s="3796"/>
      <c r="UZR799" s="3796"/>
      <c r="UZS799" s="3796"/>
      <c r="UZT799" s="3796"/>
      <c r="UZU799" s="3796"/>
      <c r="UZV799" s="3796"/>
      <c r="UZW799" s="3796"/>
      <c r="UZX799" s="3796"/>
      <c r="UZY799" s="3796"/>
      <c r="UZZ799" s="3796"/>
      <c r="VAA799" s="3796"/>
      <c r="VAB799" s="3796"/>
      <c r="VAC799" s="3796"/>
      <c r="VAD799" s="3796"/>
      <c r="VAE799" s="3796"/>
      <c r="VAF799" s="3796"/>
      <c r="VAG799" s="3796"/>
      <c r="VAH799" s="3796"/>
      <c r="VAI799" s="3796"/>
      <c r="VAJ799" s="3796"/>
      <c r="VAK799" s="3796"/>
      <c r="VAL799" s="3796"/>
      <c r="VAM799" s="3796"/>
      <c r="VAN799" s="3796"/>
      <c r="VAO799" s="3796"/>
      <c r="VAP799" s="3796"/>
      <c r="VAQ799" s="3796"/>
      <c r="VAR799" s="3796"/>
      <c r="VAS799" s="3796"/>
      <c r="VAT799" s="3796"/>
      <c r="VAU799" s="3796"/>
      <c r="VAV799" s="3796"/>
      <c r="VAW799" s="3796"/>
      <c r="VAX799" s="3796"/>
      <c r="VAY799" s="3796"/>
      <c r="VAZ799" s="3796"/>
      <c r="VBA799" s="3796"/>
      <c r="VBB799" s="3796"/>
      <c r="VBC799" s="3796"/>
      <c r="VBD799" s="3796"/>
      <c r="VBE799" s="3796"/>
      <c r="VBF799" s="3796"/>
      <c r="VBG799" s="3796"/>
      <c r="VBH799" s="3796"/>
      <c r="VBI799" s="3796"/>
      <c r="VBJ799" s="3796"/>
      <c r="VBK799" s="3796"/>
      <c r="VBL799" s="3796"/>
      <c r="VBM799" s="3796"/>
      <c r="VBN799" s="3796"/>
      <c r="VBO799" s="3796"/>
      <c r="VBP799" s="3796"/>
      <c r="VBQ799" s="3796"/>
      <c r="VBR799" s="3796"/>
      <c r="VBS799" s="3796"/>
      <c r="VBT799" s="3796"/>
      <c r="VBU799" s="3796"/>
      <c r="VBV799" s="3796"/>
      <c r="VBW799" s="3796"/>
      <c r="VBX799" s="3796"/>
      <c r="VBY799" s="3796"/>
      <c r="VBZ799" s="3796"/>
      <c r="VCA799" s="3796"/>
      <c r="VCB799" s="3796"/>
      <c r="VCC799" s="3796"/>
      <c r="VCD799" s="3796"/>
      <c r="VCE799" s="3796"/>
      <c r="VCF799" s="3796"/>
      <c r="VCG799" s="3796"/>
      <c r="VCH799" s="3796"/>
      <c r="VCI799" s="3796"/>
      <c r="VCJ799" s="3796"/>
      <c r="VCK799" s="3796"/>
      <c r="VCL799" s="3796"/>
      <c r="VCM799" s="3796"/>
      <c r="VCN799" s="3796"/>
      <c r="VCO799" s="3796"/>
      <c r="VCP799" s="3796"/>
      <c r="VCQ799" s="3796"/>
      <c r="VCR799" s="3796"/>
      <c r="VCS799" s="3796"/>
      <c r="VCT799" s="3796"/>
      <c r="VCU799" s="3796"/>
      <c r="VCV799" s="3796"/>
      <c r="VCW799" s="3796"/>
      <c r="VCX799" s="3796"/>
      <c r="VCY799" s="3796"/>
      <c r="VCZ799" s="3796"/>
      <c r="VDA799" s="3796"/>
      <c r="VDB799" s="3796"/>
      <c r="VDC799" s="3796"/>
      <c r="VDD799" s="3796"/>
      <c r="VDE799" s="3796"/>
      <c r="VDF799" s="3796"/>
      <c r="VDG799" s="3796"/>
      <c r="VDH799" s="3796"/>
      <c r="VDI799" s="3796"/>
      <c r="VDJ799" s="3796"/>
      <c r="VDK799" s="3796"/>
      <c r="VDL799" s="3796"/>
      <c r="VDM799" s="3796"/>
      <c r="VDN799" s="3796"/>
      <c r="VDO799" s="3796"/>
      <c r="VDP799" s="3796"/>
      <c r="VDQ799" s="3796"/>
      <c r="VDR799" s="3796"/>
      <c r="VDS799" s="3796"/>
      <c r="VDT799" s="3796"/>
      <c r="VDU799" s="3796"/>
      <c r="VDV799" s="3796"/>
      <c r="VDW799" s="3796"/>
      <c r="VDX799" s="3796"/>
      <c r="VDY799" s="3796"/>
      <c r="VDZ799" s="3796"/>
      <c r="VEA799" s="3796"/>
      <c r="VEB799" s="3796"/>
      <c r="VEC799" s="3796"/>
      <c r="VED799" s="3796"/>
      <c r="VEE799" s="3796"/>
      <c r="VEF799" s="3796"/>
      <c r="VEG799" s="3796"/>
      <c r="VEH799" s="3796"/>
      <c r="VEI799" s="3796"/>
      <c r="VEJ799" s="3796"/>
      <c r="VEK799" s="3796"/>
      <c r="VEL799" s="3796"/>
      <c r="VEM799" s="3796"/>
      <c r="VEN799" s="3796"/>
      <c r="VEO799" s="3796"/>
      <c r="VEP799" s="3796"/>
      <c r="VEQ799" s="3796"/>
      <c r="VER799" s="3796"/>
      <c r="VES799" s="3796"/>
      <c r="VET799" s="3796"/>
      <c r="VEU799" s="3796"/>
      <c r="VEV799" s="3796"/>
      <c r="VEW799" s="3796"/>
      <c r="VEX799" s="3796"/>
      <c r="VEY799" s="3796"/>
      <c r="VEZ799" s="3796"/>
      <c r="VFA799" s="3796"/>
      <c r="VFB799" s="3796"/>
      <c r="VFC799" s="3796"/>
      <c r="VFD799" s="3796"/>
      <c r="VFE799" s="3796"/>
      <c r="VFF799" s="3796"/>
      <c r="VFG799" s="3796"/>
      <c r="VFH799" s="3796"/>
      <c r="VFI799" s="3796"/>
      <c r="VFJ799" s="3796"/>
      <c r="VFK799" s="3796"/>
      <c r="VFL799" s="3796"/>
      <c r="VFM799" s="3796"/>
      <c r="VFN799" s="3796"/>
      <c r="VFO799" s="3796"/>
      <c r="VFP799" s="3796"/>
      <c r="VFQ799" s="3796"/>
      <c r="VFR799" s="3796"/>
      <c r="VFS799" s="3796"/>
      <c r="VFT799" s="3796"/>
      <c r="VFU799" s="3796"/>
      <c r="VFV799" s="3796"/>
      <c r="VFW799" s="3796"/>
      <c r="VFX799" s="3796"/>
      <c r="VFY799" s="3796"/>
      <c r="VFZ799" s="3796"/>
      <c r="VGA799" s="3796"/>
      <c r="VGB799" s="3796"/>
      <c r="VGC799" s="3796"/>
      <c r="VGD799" s="3796"/>
      <c r="VGE799" s="3796"/>
      <c r="VGF799" s="3796"/>
      <c r="VGG799" s="3796"/>
      <c r="VGH799" s="3796"/>
      <c r="VGI799" s="3796"/>
      <c r="VGJ799" s="3796"/>
      <c r="VGK799" s="3796"/>
      <c r="VGL799" s="3796"/>
      <c r="VGM799" s="3796"/>
      <c r="VGN799" s="3796"/>
      <c r="VGO799" s="3796"/>
      <c r="VGP799" s="3796"/>
      <c r="VGQ799" s="3796"/>
      <c r="VGR799" s="3796"/>
      <c r="VGS799" s="3796"/>
      <c r="VGT799" s="3796"/>
      <c r="VGU799" s="3796"/>
      <c r="VGV799" s="3796"/>
      <c r="VGW799" s="3796"/>
      <c r="VGX799" s="3796"/>
      <c r="VGY799" s="3796"/>
      <c r="VGZ799" s="3796"/>
      <c r="VHA799" s="3796"/>
      <c r="VHB799" s="3796"/>
      <c r="VHC799" s="3796"/>
      <c r="VHD799" s="3796"/>
      <c r="VHE799" s="3796"/>
      <c r="VHF799" s="3796"/>
      <c r="VHG799" s="3796"/>
      <c r="VHH799" s="3796"/>
      <c r="VHI799" s="3796"/>
      <c r="VHJ799" s="3796"/>
      <c r="VHK799" s="3796"/>
      <c r="VHL799" s="3796"/>
      <c r="VHM799" s="3796"/>
      <c r="VHN799" s="3796"/>
      <c r="VHO799" s="3796"/>
      <c r="VHP799" s="3796"/>
      <c r="VHQ799" s="3796"/>
      <c r="VHR799" s="3796"/>
      <c r="VHS799" s="3796"/>
      <c r="VHT799" s="3796"/>
      <c r="VHU799" s="3796"/>
      <c r="VHV799" s="3796"/>
      <c r="VHW799" s="3796"/>
      <c r="VHX799" s="3796"/>
      <c r="VHY799" s="3796"/>
      <c r="VID799" s="3796"/>
      <c r="VIJ799" s="3796"/>
      <c r="VIK799" s="3796"/>
      <c r="VIL799" s="3796"/>
      <c r="VIP799" s="3796"/>
      <c r="VIW799" s="3796"/>
      <c r="VIX799" s="3796"/>
      <c r="VIY799" s="3796"/>
      <c r="VIZ799" s="3796"/>
      <c r="VJA799" s="3796"/>
      <c r="VJB799" s="3796"/>
      <c r="VJC799" s="3796"/>
      <c r="VJD799" s="3796"/>
      <c r="VJE799" s="3796"/>
      <c r="VJF799" s="3796"/>
      <c r="VJG799" s="3796"/>
      <c r="VJH799" s="3796"/>
      <c r="VJI799" s="3796"/>
      <c r="VJJ799" s="3796"/>
      <c r="VJK799" s="3796"/>
      <c r="VJL799" s="3796"/>
      <c r="VJM799" s="3796"/>
      <c r="VJN799" s="3796"/>
      <c r="VJO799" s="3796"/>
      <c r="VJP799" s="3796"/>
      <c r="VJQ799" s="3796"/>
      <c r="VJR799" s="3796"/>
      <c r="VJS799" s="3796"/>
      <c r="VJT799" s="3796"/>
      <c r="VJU799" s="3796"/>
      <c r="VJV799" s="3796"/>
      <c r="VJW799" s="3796"/>
      <c r="VJX799" s="3796"/>
      <c r="VJY799" s="3796"/>
      <c r="VJZ799" s="3796"/>
      <c r="VKA799" s="3796"/>
      <c r="VKB799" s="3796"/>
      <c r="VKC799" s="3796"/>
      <c r="VKD799" s="3796"/>
      <c r="VKE799" s="3796"/>
      <c r="VKF799" s="3796"/>
      <c r="VKG799" s="3796"/>
      <c r="VKH799" s="3796"/>
      <c r="VKI799" s="3796"/>
      <c r="VKJ799" s="3796"/>
      <c r="VKK799" s="3796"/>
      <c r="VKL799" s="3796"/>
      <c r="VKM799" s="3796"/>
      <c r="VKN799" s="3796"/>
      <c r="VKO799" s="3796"/>
      <c r="VKP799" s="3796"/>
      <c r="VKQ799" s="3796"/>
      <c r="VKR799" s="3796"/>
      <c r="VKS799" s="3796"/>
      <c r="VKT799" s="3796"/>
      <c r="VKU799" s="3796"/>
      <c r="VKV799" s="3796"/>
      <c r="VKW799" s="3796"/>
      <c r="VKX799" s="3796"/>
      <c r="VKY799" s="3796"/>
      <c r="VKZ799" s="3796"/>
      <c r="VLA799" s="3796"/>
      <c r="VLB799" s="3796"/>
      <c r="VLC799" s="3796"/>
      <c r="VLD799" s="3796"/>
      <c r="VLE799" s="3796"/>
      <c r="VLF799" s="3796"/>
      <c r="VLG799" s="3796"/>
      <c r="VLH799" s="3796"/>
      <c r="VLI799" s="3796"/>
      <c r="VLJ799" s="3796"/>
      <c r="VLK799" s="3796"/>
      <c r="VLL799" s="3796"/>
      <c r="VLM799" s="3796"/>
      <c r="VLN799" s="3796"/>
      <c r="VLO799" s="3796"/>
      <c r="VLP799" s="3796"/>
      <c r="VLQ799" s="3796"/>
      <c r="VLR799" s="3796"/>
      <c r="VLS799" s="3796"/>
      <c r="VLT799" s="3796"/>
      <c r="VLU799" s="3796"/>
      <c r="VLV799" s="3796"/>
      <c r="VLW799" s="3796"/>
      <c r="VLX799" s="3796"/>
      <c r="VLY799" s="3796"/>
      <c r="VLZ799" s="3796"/>
      <c r="VMA799" s="3796"/>
      <c r="VMB799" s="3796"/>
      <c r="VMC799" s="3796"/>
      <c r="VMD799" s="3796"/>
      <c r="VME799" s="3796"/>
      <c r="VMF799" s="3796"/>
      <c r="VMG799" s="3796"/>
      <c r="VMH799" s="3796"/>
      <c r="VMI799" s="3796"/>
      <c r="VMJ799" s="3796"/>
      <c r="VMK799" s="3796"/>
      <c r="VML799" s="3796"/>
      <c r="VMM799" s="3796"/>
      <c r="VMN799" s="3796"/>
      <c r="VMO799" s="3796"/>
      <c r="VMP799" s="3796"/>
      <c r="VMQ799" s="3796"/>
      <c r="VMR799" s="3796"/>
      <c r="VMS799" s="3796"/>
      <c r="VMT799" s="3796"/>
      <c r="VMU799" s="3796"/>
      <c r="VMV799" s="3796"/>
      <c r="VMW799" s="3796"/>
      <c r="VMX799" s="3796"/>
      <c r="VMY799" s="3796"/>
      <c r="VMZ799" s="3796"/>
      <c r="VNA799" s="3796"/>
      <c r="VNB799" s="3796"/>
      <c r="VNC799" s="3796"/>
      <c r="VND799" s="3796"/>
      <c r="VNE799" s="3796"/>
      <c r="VNF799" s="3796"/>
      <c r="VNG799" s="3796"/>
      <c r="VNH799" s="3796"/>
      <c r="VNI799" s="3796"/>
      <c r="VNJ799" s="3796"/>
      <c r="VNK799" s="3796"/>
      <c r="VNL799" s="3796"/>
      <c r="VNM799" s="3796"/>
      <c r="VNN799" s="3796"/>
      <c r="VNO799" s="3796"/>
      <c r="VNP799" s="3796"/>
      <c r="VNQ799" s="3796"/>
      <c r="VNR799" s="3796"/>
      <c r="VNS799" s="3796"/>
      <c r="VNT799" s="3796"/>
      <c r="VNU799" s="3796"/>
      <c r="VNV799" s="3796"/>
      <c r="VNW799" s="3796"/>
      <c r="VNX799" s="3796"/>
      <c r="VNY799" s="3796"/>
      <c r="VNZ799" s="3796"/>
      <c r="VOA799" s="3796"/>
      <c r="VOB799" s="3796"/>
      <c r="VOC799" s="3796"/>
      <c r="VOD799" s="3796"/>
      <c r="VOE799" s="3796"/>
      <c r="VOF799" s="3796"/>
      <c r="VOG799" s="3796"/>
      <c r="VOH799" s="3796"/>
      <c r="VOI799" s="3796"/>
      <c r="VOJ799" s="3796"/>
      <c r="VOK799" s="3796"/>
      <c r="VOL799" s="3796"/>
      <c r="VOM799" s="3796"/>
      <c r="VON799" s="3796"/>
      <c r="VOO799" s="3796"/>
      <c r="VOP799" s="3796"/>
      <c r="VOQ799" s="3796"/>
      <c r="VOR799" s="3796"/>
      <c r="VOS799" s="3796"/>
      <c r="VOT799" s="3796"/>
      <c r="VOU799" s="3796"/>
      <c r="VOV799" s="3796"/>
      <c r="VOW799" s="3796"/>
      <c r="VOX799" s="3796"/>
      <c r="VOY799" s="3796"/>
      <c r="VOZ799" s="3796"/>
      <c r="VPA799" s="3796"/>
      <c r="VPB799" s="3796"/>
      <c r="VPC799" s="3796"/>
      <c r="VPD799" s="3796"/>
      <c r="VPE799" s="3796"/>
      <c r="VPF799" s="3796"/>
      <c r="VPG799" s="3796"/>
      <c r="VPH799" s="3796"/>
      <c r="VPI799" s="3796"/>
      <c r="VPJ799" s="3796"/>
      <c r="VPK799" s="3796"/>
      <c r="VPL799" s="3796"/>
      <c r="VPM799" s="3796"/>
      <c r="VPN799" s="3796"/>
      <c r="VPO799" s="3796"/>
      <c r="VPP799" s="3796"/>
      <c r="VPQ799" s="3796"/>
      <c r="VPR799" s="3796"/>
      <c r="VPS799" s="3796"/>
      <c r="VPT799" s="3796"/>
      <c r="VPU799" s="3796"/>
      <c r="VPV799" s="3796"/>
      <c r="VPW799" s="3796"/>
      <c r="VPX799" s="3796"/>
      <c r="VPY799" s="3796"/>
      <c r="VPZ799" s="3796"/>
      <c r="VQA799" s="3796"/>
      <c r="VQB799" s="3796"/>
      <c r="VQC799" s="3796"/>
      <c r="VQD799" s="3796"/>
      <c r="VQE799" s="3796"/>
      <c r="VQF799" s="3796"/>
      <c r="VQG799" s="3796"/>
      <c r="VQH799" s="3796"/>
      <c r="VQI799" s="3796"/>
      <c r="VQJ799" s="3796"/>
      <c r="VQK799" s="3796"/>
      <c r="VQL799" s="3796"/>
      <c r="VQM799" s="3796"/>
      <c r="VQN799" s="3796"/>
      <c r="VQO799" s="3796"/>
      <c r="VQP799" s="3796"/>
      <c r="VQQ799" s="3796"/>
      <c r="VQR799" s="3796"/>
      <c r="VQS799" s="3796"/>
      <c r="VQT799" s="3796"/>
      <c r="VQU799" s="3796"/>
      <c r="VQV799" s="3796"/>
      <c r="VQW799" s="3796"/>
      <c r="VQX799" s="3796"/>
      <c r="VQY799" s="3796"/>
      <c r="VQZ799" s="3796"/>
      <c r="VRA799" s="3796"/>
      <c r="VRB799" s="3796"/>
      <c r="VRC799" s="3796"/>
      <c r="VRD799" s="3796"/>
      <c r="VRE799" s="3796"/>
      <c r="VRF799" s="3796"/>
      <c r="VRG799" s="3796"/>
      <c r="VRH799" s="3796"/>
      <c r="VRI799" s="3796"/>
      <c r="VRJ799" s="3796"/>
      <c r="VRK799" s="3796"/>
      <c r="VRL799" s="3796"/>
      <c r="VRM799" s="3796"/>
      <c r="VRN799" s="3796"/>
      <c r="VRO799" s="3796"/>
      <c r="VRP799" s="3796"/>
      <c r="VRQ799" s="3796"/>
      <c r="VRR799" s="3796"/>
      <c r="VRS799" s="3796"/>
      <c r="VRT799" s="3796"/>
      <c r="VRU799" s="3796"/>
      <c r="VRZ799" s="3796"/>
      <c r="VSF799" s="3796"/>
      <c r="VSG799" s="3796"/>
      <c r="VSH799" s="3796"/>
      <c r="VSL799" s="3796"/>
      <c r="VSS799" s="3796"/>
      <c r="VST799" s="3796"/>
      <c r="VSU799" s="3796"/>
      <c r="VSV799" s="3796"/>
      <c r="VSW799" s="3796"/>
      <c r="VSX799" s="3796"/>
      <c r="VSY799" s="3796"/>
      <c r="VSZ799" s="3796"/>
      <c r="VTA799" s="3796"/>
      <c r="VTB799" s="3796"/>
      <c r="VTC799" s="3796"/>
      <c r="VTD799" s="3796"/>
      <c r="VTE799" s="3796"/>
      <c r="VTF799" s="3796"/>
      <c r="VTG799" s="3796"/>
      <c r="VTH799" s="3796"/>
      <c r="VTI799" s="3796"/>
      <c r="VTJ799" s="3796"/>
      <c r="VTK799" s="3796"/>
      <c r="VTL799" s="3796"/>
      <c r="VTM799" s="3796"/>
      <c r="VTN799" s="3796"/>
      <c r="VTO799" s="3796"/>
      <c r="VTP799" s="3796"/>
      <c r="VTQ799" s="3796"/>
      <c r="VTR799" s="3796"/>
      <c r="VTS799" s="3796"/>
      <c r="VTT799" s="3796"/>
      <c r="VTU799" s="3796"/>
      <c r="VTV799" s="3796"/>
      <c r="VTW799" s="3796"/>
      <c r="VTX799" s="3796"/>
      <c r="VTY799" s="3796"/>
      <c r="VTZ799" s="3796"/>
      <c r="VUA799" s="3796"/>
      <c r="VUB799" s="3796"/>
      <c r="VUC799" s="3796"/>
      <c r="VUD799" s="3796"/>
      <c r="VUE799" s="3796"/>
      <c r="VUF799" s="3796"/>
      <c r="VUG799" s="3796"/>
      <c r="VUH799" s="3796"/>
      <c r="VUI799" s="3796"/>
      <c r="VUJ799" s="3796"/>
      <c r="VUK799" s="3796"/>
      <c r="VUL799" s="3796"/>
      <c r="VUM799" s="3796"/>
      <c r="VUN799" s="3796"/>
      <c r="VUO799" s="3796"/>
      <c r="VUP799" s="3796"/>
      <c r="VUQ799" s="3796"/>
      <c r="VUR799" s="3796"/>
      <c r="VUS799" s="3796"/>
      <c r="VUT799" s="3796"/>
      <c r="VUU799" s="3796"/>
      <c r="VUV799" s="3796"/>
      <c r="VUW799" s="3796"/>
      <c r="VUX799" s="3796"/>
      <c r="VUY799" s="3796"/>
      <c r="VUZ799" s="3796"/>
      <c r="VVA799" s="3796"/>
      <c r="VVB799" s="3796"/>
      <c r="VVC799" s="3796"/>
      <c r="VVD799" s="3796"/>
      <c r="VVE799" s="3796"/>
      <c r="VVF799" s="3796"/>
      <c r="VVG799" s="3796"/>
      <c r="VVH799" s="3796"/>
      <c r="VVI799" s="3796"/>
      <c r="VVJ799" s="3796"/>
      <c r="VVK799" s="3796"/>
      <c r="VVL799" s="3796"/>
      <c r="VVM799" s="3796"/>
      <c r="VVN799" s="3796"/>
      <c r="VVO799" s="3796"/>
      <c r="VVP799" s="3796"/>
      <c r="VVQ799" s="3796"/>
      <c r="VVR799" s="3796"/>
      <c r="VVS799" s="3796"/>
      <c r="VVT799" s="3796"/>
      <c r="VVU799" s="3796"/>
      <c r="VVV799" s="3796"/>
      <c r="VVW799" s="3796"/>
      <c r="VVX799" s="3796"/>
      <c r="VVY799" s="3796"/>
      <c r="VVZ799" s="3796"/>
      <c r="VWA799" s="3796"/>
      <c r="VWB799" s="3796"/>
      <c r="VWC799" s="3796"/>
      <c r="VWD799" s="3796"/>
      <c r="VWE799" s="3796"/>
      <c r="VWF799" s="3796"/>
      <c r="VWG799" s="3796"/>
      <c r="VWH799" s="3796"/>
      <c r="VWI799" s="3796"/>
      <c r="VWJ799" s="3796"/>
      <c r="VWK799" s="3796"/>
      <c r="VWL799" s="3796"/>
      <c r="VWM799" s="3796"/>
      <c r="VWN799" s="3796"/>
      <c r="VWO799" s="3796"/>
      <c r="VWP799" s="3796"/>
      <c r="VWQ799" s="3796"/>
      <c r="VWR799" s="3796"/>
      <c r="VWS799" s="3796"/>
      <c r="VWT799" s="3796"/>
      <c r="VWU799" s="3796"/>
      <c r="VWV799" s="3796"/>
      <c r="VWW799" s="3796"/>
      <c r="VWX799" s="3796"/>
      <c r="VWY799" s="3796"/>
      <c r="VWZ799" s="3796"/>
      <c r="VXA799" s="3796"/>
      <c r="VXB799" s="3796"/>
      <c r="VXC799" s="3796"/>
      <c r="VXD799" s="3796"/>
      <c r="VXE799" s="3796"/>
      <c r="VXF799" s="3796"/>
      <c r="VXG799" s="3796"/>
      <c r="VXH799" s="3796"/>
      <c r="VXI799" s="3796"/>
      <c r="VXJ799" s="3796"/>
      <c r="VXK799" s="3796"/>
      <c r="VXL799" s="3796"/>
      <c r="VXM799" s="3796"/>
      <c r="VXN799" s="3796"/>
      <c r="VXO799" s="3796"/>
      <c r="VXP799" s="3796"/>
      <c r="VXQ799" s="3796"/>
      <c r="VXR799" s="3796"/>
      <c r="VXS799" s="3796"/>
      <c r="VXT799" s="3796"/>
      <c r="VXU799" s="3796"/>
      <c r="VXV799" s="3796"/>
      <c r="VXW799" s="3796"/>
      <c r="VXX799" s="3796"/>
      <c r="VXY799" s="3796"/>
      <c r="VXZ799" s="3796"/>
      <c r="VYA799" s="3796"/>
      <c r="VYB799" s="3796"/>
      <c r="VYC799" s="3796"/>
      <c r="VYD799" s="3796"/>
      <c r="VYE799" s="3796"/>
      <c r="VYF799" s="3796"/>
      <c r="VYG799" s="3796"/>
      <c r="VYH799" s="3796"/>
      <c r="VYI799" s="3796"/>
      <c r="VYJ799" s="3796"/>
      <c r="VYK799" s="3796"/>
      <c r="VYL799" s="3796"/>
      <c r="VYM799" s="3796"/>
      <c r="VYN799" s="3796"/>
      <c r="VYO799" s="3796"/>
      <c r="VYP799" s="3796"/>
      <c r="VYQ799" s="3796"/>
      <c r="VYR799" s="3796"/>
      <c r="VYS799" s="3796"/>
      <c r="VYT799" s="3796"/>
      <c r="VYU799" s="3796"/>
      <c r="VYV799" s="3796"/>
      <c r="VYW799" s="3796"/>
      <c r="VYX799" s="3796"/>
      <c r="VYY799" s="3796"/>
      <c r="VYZ799" s="3796"/>
      <c r="VZA799" s="3796"/>
      <c r="VZB799" s="3796"/>
      <c r="VZC799" s="3796"/>
      <c r="VZD799" s="3796"/>
      <c r="VZE799" s="3796"/>
      <c r="VZF799" s="3796"/>
      <c r="VZG799" s="3796"/>
      <c r="VZH799" s="3796"/>
      <c r="VZI799" s="3796"/>
      <c r="VZJ799" s="3796"/>
      <c r="VZK799" s="3796"/>
      <c r="VZL799" s="3796"/>
      <c r="VZM799" s="3796"/>
      <c r="VZN799" s="3796"/>
      <c r="VZO799" s="3796"/>
      <c r="VZP799" s="3796"/>
      <c r="VZQ799" s="3796"/>
      <c r="VZR799" s="3796"/>
      <c r="VZS799" s="3796"/>
      <c r="VZT799" s="3796"/>
      <c r="VZU799" s="3796"/>
      <c r="VZV799" s="3796"/>
      <c r="VZW799" s="3796"/>
      <c r="VZX799" s="3796"/>
      <c r="VZY799" s="3796"/>
      <c r="VZZ799" s="3796"/>
      <c r="WAA799" s="3796"/>
      <c r="WAB799" s="3796"/>
      <c r="WAC799" s="3796"/>
      <c r="WAD799" s="3796"/>
      <c r="WAE799" s="3796"/>
      <c r="WAF799" s="3796"/>
      <c r="WAG799" s="3796"/>
      <c r="WAH799" s="3796"/>
      <c r="WAI799" s="3796"/>
      <c r="WAJ799" s="3796"/>
      <c r="WAK799" s="3796"/>
      <c r="WAL799" s="3796"/>
      <c r="WAM799" s="3796"/>
      <c r="WAN799" s="3796"/>
      <c r="WAO799" s="3796"/>
      <c r="WAP799" s="3796"/>
      <c r="WAQ799" s="3796"/>
      <c r="WAR799" s="3796"/>
      <c r="WAS799" s="3796"/>
      <c r="WAT799" s="3796"/>
      <c r="WAU799" s="3796"/>
      <c r="WAV799" s="3796"/>
      <c r="WAW799" s="3796"/>
      <c r="WAX799" s="3796"/>
      <c r="WAY799" s="3796"/>
      <c r="WAZ799" s="3796"/>
      <c r="WBA799" s="3796"/>
      <c r="WBB799" s="3796"/>
      <c r="WBC799" s="3796"/>
      <c r="WBD799" s="3796"/>
      <c r="WBE799" s="3796"/>
      <c r="WBF799" s="3796"/>
      <c r="WBG799" s="3796"/>
      <c r="WBH799" s="3796"/>
      <c r="WBI799" s="3796"/>
      <c r="WBJ799" s="3796"/>
      <c r="WBK799" s="3796"/>
      <c r="WBL799" s="3796"/>
      <c r="WBM799" s="3796"/>
      <c r="WBN799" s="3796"/>
      <c r="WBO799" s="3796"/>
      <c r="WBP799" s="3796"/>
      <c r="WBQ799" s="3796"/>
      <c r="WBV799" s="3796"/>
      <c r="WCB799" s="3796"/>
      <c r="WCC799" s="3796"/>
      <c r="WCD799" s="3796"/>
      <c r="WCH799" s="3796"/>
      <c r="WCO799" s="3796"/>
      <c r="WCP799" s="3796"/>
      <c r="WCQ799" s="3796"/>
      <c r="WCR799" s="3796"/>
      <c r="WCS799" s="3796"/>
      <c r="WCT799" s="3796"/>
      <c r="WCU799" s="3796"/>
      <c r="WCV799" s="3796"/>
      <c r="WCW799" s="3796"/>
      <c r="WCX799" s="3796"/>
      <c r="WCY799" s="3796"/>
      <c r="WCZ799" s="3796"/>
      <c r="WDA799" s="3796"/>
      <c r="WDB799" s="3796"/>
      <c r="WDC799" s="3796"/>
      <c r="WDD799" s="3796"/>
      <c r="WDE799" s="3796"/>
      <c r="WDF799" s="3796"/>
      <c r="WDG799" s="3796"/>
      <c r="WDH799" s="3796"/>
      <c r="WDI799" s="3796"/>
      <c r="WDJ799" s="3796"/>
      <c r="WDK799" s="3796"/>
      <c r="WDL799" s="3796"/>
      <c r="WDM799" s="3796"/>
      <c r="WDN799" s="3796"/>
      <c r="WDO799" s="3796"/>
      <c r="WDP799" s="3796"/>
      <c r="WDQ799" s="3796"/>
      <c r="WDR799" s="3796"/>
      <c r="WDS799" s="3796"/>
      <c r="WDT799" s="3796"/>
      <c r="WDU799" s="3796"/>
      <c r="WDV799" s="3796"/>
      <c r="WDW799" s="3796"/>
      <c r="WDX799" s="3796"/>
      <c r="WDY799" s="3796"/>
      <c r="WDZ799" s="3796"/>
      <c r="WEA799" s="3796"/>
      <c r="WEB799" s="3796"/>
      <c r="WEC799" s="3796"/>
      <c r="WED799" s="3796"/>
      <c r="WEE799" s="3796"/>
      <c r="WEF799" s="3796"/>
      <c r="WEG799" s="3796"/>
      <c r="WEH799" s="3796"/>
      <c r="WEI799" s="3796"/>
      <c r="WEJ799" s="3796"/>
      <c r="WEK799" s="3796"/>
      <c r="WEL799" s="3796"/>
      <c r="WEM799" s="3796"/>
      <c r="WEN799" s="3796"/>
      <c r="WEO799" s="3796"/>
      <c r="WEP799" s="3796"/>
      <c r="WEQ799" s="3796"/>
      <c r="WER799" s="3796"/>
      <c r="WES799" s="3796"/>
      <c r="WET799" s="3796"/>
      <c r="WEU799" s="3796"/>
      <c r="WEV799" s="3796"/>
      <c r="WEW799" s="3796"/>
      <c r="WEX799" s="3796"/>
      <c r="WEY799" s="3796"/>
      <c r="WEZ799" s="3796"/>
      <c r="WFA799" s="3796"/>
      <c r="WFB799" s="3796"/>
      <c r="WFC799" s="3796"/>
      <c r="WFD799" s="3796"/>
      <c r="WFE799" s="3796"/>
      <c r="WFF799" s="3796"/>
      <c r="WFG799" s="3796"/>
      <c r="WFH799" s="3796"/>
      <c r="WFI799" s="3796"/>
      <c r="WFJ799" s="3796"/>
      <c r="WFK799" s="3796"/>
      <c r="WFL799" s="3796"/>
      <c r="WFM799" s="3796"/>
      <c r="WFN799" s="3796"/>
      <c r="WFO799" s="3796"/>
      <c r="WFP799" s="3796"/>
      <c r="WFQ799" s="3796"/>
      <c r="WFR799" s="3796"/>
      <c r="WFS799" s="3796"/>
      <c r="WFT799" s="3796"/>
      <c r="WFU799" s="3796"/>
      <c r="WFV799" s="3796"/>
      <c r="WFW799" s="3796"/>
      <c r="WFX799" s="3796"/>
      <c r="WFY799" s="3796"/>
      <c r="WFZ799" s="3796"/>
      <c r="WGA799" s="3796"/>
      <c r="WGB799" s="3796"/>
      <c r="WGC799" s="3796"/>
      <c r="WGD799" s="3796"/>
      <c r="WGE799" s="3796"/>
      <c r="WGF799" s="3796"/>
      <c r="WGG799" s="3796"/>
      <c r="WGH799" s="3796"/>
      <c r="WGI799" s="3796"/>
      <c r="WGJ799" s="3796"/>
      <c r="WGK799" s="3796"/>
      <c r="WGL799" s="3796"/>
      <c r="WGM799" s="3796"/>
      <c r="WGN799" s="3796"/>
      <c r="WGO799" s="3796"/>
      <c r="WGP799" s="3796"/>
      <c r="WGQ799" s="3796"/>
      <c r="WGR799" s="3796"/>
      <c r="WGS799" s="3796"/>
      <c r="WGT799" s="3796"/>
      <c r="WGU799" s="3796"/>
      <c r="WGV799" s="3796"/>
      <c r="WGW799" s="3796"/>
      <c r="WGX799" s="3796"/>
      <c r="WGY799" s="3796"/>
      <c r="WGZ799" s="3796"/>
      <c r="WHA799" s="3796"/>
      <c r="WHB799" s="3796"/>
      <c r="WHC799" s="3796"/>
      <c r="WHD799" s="3796"/>
      <c r="WHE799" s="3796"/>
      <c r="WHF799" s="3796"/>
      <c r="WHG799" s="3796"/>
      <c r="WHH799" s="3796"/>
      <c r="WHI799" s="3796"/>
      <c r="WHJ799" s="3796"/>
      <c r="WHK799" s="3796"/>
      <c r="WHL799" s="3796"/>
      <c r="WHM799" s="3796"/>
      <c r="WHN799" s="3796"/>
      <c r="WHO799" s="3796"/>
      <c r="WHP799" s="3796"/>
      <c r="WHQ799" s="3796"/>
      <c r="WHR799" s="3796"/>
      <c r="WHS799" s="3796"/>
      <c r="WHT799" s="3796"/>
      <c r="WHU799" s="3796"/>
      <c r="WHV799" s="3796"/>
      <c r="WHW799" s="3796"/>
      <c r="WHX799" s="3796"/>
      <c r="WHY799" s="3796"/>
      <c r="WHZ799" s="3796"/>
      <c r="WIA799" s="3796"/>
      <c r="WIB799" s="3796"/>
      <c r="WIC799" s="3796"/>
      <c r="WID799" s="3796"/>
      <c r="WIE799" s="3796"/>
      <c r="WIF799" s="3796"/>
      <c r="WIG799" s="3796"/>
      <c r="WIH799" s="3796"/>
      <c r="WII799" s="3796"/>
      <c r="WIJ799" s="3796"/>
      <c r="WIK799" s="3796"/>
      <c r="WIL799" s="3796"/>
      <c r="WIM799" s="3796"/>
      <c r="WIN799" s="3796"/>
      <c r="WIO799" s="3796"/>
      <c r="WIP799" s="3796"/>
      <c r="WIQ799" s="3796"/>
      <c r="WIR799" s="3796"/>
      <c r="WIS799" s="3796"/>
      <c r="WIT799" s="3796"/>
      <c r="WIU799" s="3796"/>
      <c r="WIV799" s="3796"/>
      <c r="WIW799" s="3796"/>
      <c r="WIX799" s="3796"/>
      <c r="WIY799" s="3796"/>
      <c r="WIZ799" s="3796"/>
      <c r="WJA799" s="3796"/>
      <c r="WJB799" s="3796"/>
      <c r="WJC799" s="3796"/>
      <c r="WJD799" s="3796"/>
      <c r="WJE799" s="3796"/>
      <c r="WJF799" s="3796"/>
      <c r="WJG799" s="3796"/>
      <c r="WJH799" s="3796"/>
      <c r="WJI799" s="3796"/>
      <c r="WJJ799" s="3796"/>
      <c r="WJK799" s="3796"/>
      <c r="WJL799" s="3796"/>
      <c r="WJM799" s="3796"/>
      <c r="WJN799" s="3796"/>
      <c r="WJO799" s="3796"/>
      <c r="WJP799" s="3796"/>
      <c r="WJQ799" s="3796"/>
      <c r="WJR799" s="3796"/>
      <c r="WJS799" s="3796"/>
      <c r="WJT799" s="3796"/>
      <c r="WJU799" s="3796"/>
      <c r="WJV799" s="3796"/>
      <c r="WJW799" s="3796"/>
      <c r="WJX799" s="3796"/>
      <c r="WJY799" s="3796"/>
      <c r="WJZ799" s="3796"/>
      <c r="WKA799" s="3796"/>
      <c r="WKB799" s="3796"/>
      <c r="WKC799" s="3796"/>
      <c r="WKD799" s="3796"/>
      <c r="WKE799" s="3796"/>
      <c r="WKF799" s="3796"/>
      <c r="WKG799" s="3796"/>
      <c r="WKH799" s="3796"/>
      <c r="WKI799" s="3796"/>
      <c r="WKJ799" s="3796"/>
      <c r="WKK799" s="3796"/>
      <c r="WKL799" s="3796"/>
      <c r="WKM799" s="3796"/>
      <c r="WKN799" s="3796"/>
      <c r="WKO799" s="3796"/>
      <c r="WKP799" s="3796"/>
      <c r="WKQ799" s="3796"/>
      <c r="WKR799" s="3796"/>
      <c r="WKS799" s="3796"/>
      <c r="WKT799" s="3796"/>
      <c r="WKU799" s="3796"/>
      <c r="WKV799" s="3796"/>
      <c r="WKW799" s="3796"/>
      <c r="WKX799" s="3796"/>
      <c r="WKY799" s="3796"/>
      <c r="WKZ799" s="3796"/>
      <c r="WLA799" s="3796"/>
      <c r="WLB799" s="3796"/>
      <c r="WLC799" s="3796"/>
      <c r="WLD799" s="3796"/>
      <c r="WLE799" s="3796"/>
      <c r="WLF799" s="3796"/>
      <c r="WLG799" s="3796"/>
      <c r="WLH799" s="3796"/>
      <c r="WLI799" s="3796"/>
      <c r="WLJ799" s="3796"/>
      <c r="WLK799" s="3796"/>
      <c r="WLL799" s="3796"/>
      <c r="WLM799" s="3796"/>
      <c r="WLR799" s="3796"/>
      <c r="WLX799" s="3796"/>
      <c r="WLY799" s="3796"/>
      <c r="WLZ799" s="3796"/>
      <c r="WMD799" s="3796"/>
      <c r="WMK799" s="3796"/>
      <c r="WML799" s="3796"/>
      <c r="WMM799" s="3796"/>
      <c r="WMN799" s="3796"/>
      <c r="WMO799" s="3796"/>
      <c r="WMP799" s="3796"/>
      <c r="WMQ799" s="3796"/>
      <c r="WMR799" s="3796"/>
      <c r="WMS799" s="3796"/>
      <c r="WMT799" s="3796"/>
      <c r="WMU799" s="3796"/>
      <c r="WMV799" s="3796"/>
      <c r="WMW799" s="3796"/>
      <c r="WMX799" s="3796"/>
      <c r="WMY799" s="3796"/>
      <c r="WMZ799" s="3796"/>
      <c r="WNA799" s="3796"/>
      <c r="WNB799" s="3796"/>
      <c r="WNC799" s="3796"/>
      <c r="WND799" s="3796"/>
      <c r="WNE799" s="3796"/>
      <c r="WNF799" s="3796"/>
      <c r="WNG799" s="3796"/>
      <c r="WNH799" s="3796"/>
      <c r="WNI799" s="3796"/>
      <c r="WNJ799" s="3796"/>
      <c r="WNK799" s="3796"/>
      <c r="WNL799" s="3796"/>
      <c r="WNM799" s="3796"/>
      <c r="WNN799" s="3796"/>
      <c r="WNO799" s="3796"/>
      <c r="WNP799" s="3796"/>
      <c r="WNQ799" s="3796"/>
      <c r="WNR799" s="3796"/>
      <c r="WNS799" s="3796"/>
      <c r="WNT799" s="3796"/>
      <c r="WNU799" s="3796"/>
      <c r="WNV799" s="3796"/>
      <c r="WNW799" s="3796"/>
      <c r="WNX799" s="3796"/>
      <c r="WNY799" s="3796"/>
      <c r="WNZ799" s="3796"/>
      <c r="WOA799" s="3796"/>
      <c r="WOB799" s="3796"/>
      <c r="WOC799" s="3796"/>
      <c r="WOD799" s="3796"/>
      <c r="WOE799" s="3796"/>
      <c r="WOF799" s="3796"/>
      <c r="WOG799" s="3796"/>
      <c r="WOH799" s="3796"/>
      <c r="WOI799" s="3796"/>
      <c r="WOJ799" s="3796"/>
      <c r="WOK799" s="3796"/>
      <c r="WOL799" s="3796"/>
      <c r="WOM799" s="3796"/>
      <c r="WON799" s="3796"/>
      <c r="WOO799" s="3796"/>
      <c r="WOP799" s="3796"/>
      <c r="WOQ799" s="3796"/>
      <c r="WOR799" s="3796"/>
      <c r="WOS799" s="3796"/>
      <c r="WOT799" s="3796"/>
      <c r="WOU799" s="3796"/>
      <c r="WOV799" s="3796"/>
      <c r="WOW799" s="3796"/>
      <c r="WOX799" s="3796"/>
      <c r="WOY799" s="3796"/>
      <c r="WOZ799" s="3796"/>
      <c r="WPA799" s="3796"/>
      <c r="WPB799" s="3796"/>
      <c r="WPC799" s="3796"/>
      <c r="WPD799" s="3796"/>
      <c r="WPE799" s="3796"/>
      <c r="WPF799" s="3796"/>
      <c r="WPG799" s="3796"/>
      <c r="WPH799" s="3796"/>
      <c r="WPI799" s="3796"/>
      <c r="WPJ799" s="3796"/>
      <c r="WPK799" s="3796"/>
      <c r="WPL799" s="3796"/>
      <c r="WPM799" s="3796"/>
      <c r="WPN799" s="3796"/>
      <c r="WPO799" s="3796"/>
      <c r="WPP799" s="3796"/>
      <c r="WPQ799" s="3796"/>
      <c r="WPR799" s="3796"/>
      <c r="WPS799" s="3796"/>
      <c r="WPT799" s="3796"/>
      <c r="WPU799" s="3796"/>
      <c r="WPV799" s="3796"/>
      <c r="WPW799" s="3796"/>
      <c r="WPX799" s="3796"/>
      <c r="WPY799" s="3796"/>
      <c r="WPZ799" s="3796"/>
      <c r="WQA799" s="3796"/>
      <c r="WQB799" s="3796"/>
      <c r="WQC799" s="3796"/>
      <c r="WQD799" s="3796"/>
      <c r="WQE799" s="3796"/>
      <c r="WQF799" s="3796"/>
      <c r="WQG799" s="3796"/>
      <c r="WQH799" s="3796"/>
      <c r="WQI799" s="3796"/>
      <c r="WQJ799" s="3796"/>
      <c r="WQK799" s="3796"/>
      <c r="WQL799" s="3796"/>
      <c r="WQM799" s="3796"/>
      <c r="WQN799" s="3796"/>
      <c r="WQO799" s="3796"/>
      <c r="WQP799" s="3796"/>
      <c r="WQQ799" s="3796"/>
      <c r="WQR799" s="3796"/>
      <c r="WQS799" s="3796"/>
      <c r="WQT799" s="3796"/>
      <c r="WQU799" s="3796"/>
      <c r="WQV799" s="3796"/>
      <c r="WQW799" s="3796"/>
      <c r="WQX799" s="3796"/>
      <c r="WQY799" s="3796"/>
      <c r="WQZ799" s="3796"/>
      <c r="WRA799" s="3796"/>
      <c r="WRB799" s="3796"/>
      <c r="WRC799" s="3796"/>
      <c r="WRD799" s="3796"/>
      <c r="WRE799" s="3796"/>
      <c r="WRF799" s="3796"/>
      <c r="WRG799" s="3796"/>
      <c r="WRH799" s="3796"/>
      <c r="WRI799" s="3796"/>
      <c r="WRJ799" s="3796"/>
      <c r="WRK799" s="3796"/>
      <c r="WRL799" s="3796"/>
      <c r="WRM799" s="3796"/>
      <c r="WRN799" s="3796"/>
      <c r="WRO799" s="3796"/>
      <c r="WRP799" s="3796"/>
      <c r="WRQ799" s="3796"/>
      <c r="WRR799" s="3796"/>
      <c r="WRS799" s="3796"/>
      <c r="WRT799" s="3796"/>
      <c r="WRU799" s="3796"/>
      <c r="WRV799" s="3796"/>
      <c r="WRW799" s="3796"/>
      <c r="WRX799" s="3796"/>
      <c r="WRY799" s="3796"/>
      <c r="WRZ799" s="3796"/>
      <c r="WSA799" s="3796"/>
      <c r="WSB799" s="3796"/>
      <c r="WSC799" s="3796"/>
      <c r="WSD799" s="3796"/>
      <c r="WSE799" s="3796"/>
      <c r="WSF799" s="3796"/>
      <c r="WSG799" s="3796"/>
      <c r="WSH799" s="3796"/>
      <c r="WSI799" s="3796"/>
      <c r="WSJ799" s="3796"/>
      <c r="WSK799" s="3796"/>
      <c r="WSL799" s="3796"/>
      <c r="WSM799" s="3796"/>
      <c r="WSN799" s="3796"/>
      <c r="WSO799" s="3796"/>
      <c r="WSP799" s="3796"/>
      <c r="WSQ799" s="3796"/>
      <c r="WSR799" s="3796"/>
      <c r="WSS799" s="3796"/>
      <c r="WST799" s="3796"/>
      <c r="WSU799" s="3796"/>
      <c r="WSV799" s="3796"/>
      <c r="WSW799" s="3796"/>
      <c r="WSX799" s="3796"/>
      <c r="WSY799" s="3796"/>
      <c r="WSZ799" s="3796"/>
      <c r="WTA799" s="3796"/>
      <c r="WTB799" s="3796"/>
      <c r="WTC799" s="3796"/>
      <c r="WTD799" s="3796"/>
      <c r="WTE799" s="3796"/>
      <c r="WTF799" s="3796"/>
      <c r="WTG799" s="3796"/>
      <c r="WTH799" s="3796"/>
      <c r="WTI799" s="3796"/>
      <c r="WTJ799" s="3796"/>
      <c r="WTK799" s="3796"/>
      <c r="WTL799" s="3796"/>
      <c r="WTM799" s="3796"/>
      <c r="WTN799" s="3796"/>
      <c r="WTO799" s="3796"/>
      <c r="WTP799" s="3796"/>
      <c r="WTQ799" s="3796"/>
      <c r="WTR799" s="3796"/>
      <c r="WTS799" s="3796"/>
      <c r="WTT799" s="3796"/>
      <c r="WTU799" s="3796"/>
      <c r="WTV799" s="3796"/>
      <c r="WTW799" s="3796"/>
      <c r="WTX799" s="3796"/>
      <c r="WTY799" s="3796"/>
      <c r="WTZ799" s="3796"/>
      <c r="WUA799" s="3796"/>
      <c r="WUB799" s="3796"/>
      <c r="WUC799" s="3796"/>
      <c r="WUD799" s="3796"/>
      <c r="WUE799" s="3796"/>
      <c r="WUF799" s="3796"/>
      <c r="WUG799" s="3796"/>
      <c r="WUH799" s="3796"/>
      <c r="WUI799" s="3796"/>
      <c r="WUJ799" s="3796"/>
      <c r="WUK799" s="3796"/>
      <c r="WUL799" s="3796"/>
      <c r="WUM799" s="3796"/>
      <c r="WUN799" s="3796"/>
      <c r="WUO799" s="3796"/>
      <c r="WUP799" s="3796"/>
      <c r="WUQ799" s="3796"/>
      <c r="WUR799" s="3796"/>
      <c r="WUS799" s="3796"/>
      <c r="WUT799" s="3796"/>
      <c r="WUU799" s="3796"/>
      <c r="WUV799" s="3796"/>
      <c r="WUW799" s="3796"/>
      <c r="WUX799" s="3796"/>
      <c r="WUY799" s="3796"/>
      <c r="WUZ799" s="3796"/>
      <c r="WVA799" s="3796"/>
      <c r="WVB799" s="3796"/>
      <c r="WVC799" s="3796"/>
      <c r="WVD799" s="3796"/>
      <c r="WVE799" s="3796"/>
      <c r="WVF799" s="3796"/>
      <c r="WVG799" s="3796"/>
      <c r="WVH799" s="3796"/>
      <c r="WVI799" s="3796"/>
      <c r="WVN799" s="3796"/>
      <c r="WVT799" s="3796"/>
      <c r="WVU799" s="3796"/>
      <c r="WVV799" s="3796"/>
      <c r="WVZ799" s="3796"/>
      <c r="WWG799" s="3796"/>
      <c r="WWH799" s="3796"/>
      <c r="WWI799" s="3796"/>
      <c r="WWJ799" s="3796"/>
      <c r="WWK799" s="3796"/>
      <c r="WWL799" s="3796"/>
      <c r="WWM799" s="3796"/>
      <c r="WWN799" s="3796"/>
      <c r="WWO799" s="3796"/>
      <c r="WWP799" s="3796"/>
      <c r="WWQ799" s="3796"/>
      <c r="WWR799" s="3796"/>
      <c r="WWS799" s="3796"/>
      <c r="WWT799" s="3796"/>
      <c r="WWU799" s="3796"/>
      <c r="WWV799" s="3796"/>
      <c r="WWW799" s="3796"/>
      <c r="WWX799" s="3796"/>
      <c r="WWY799" s="3796"/>
      <c r="WWZ799" s="3796"/>
      <c r="WXA799" s="3796"/>
      <c r="WXB799" s="3796"/>
      <c r="WXC799" s="3796"/>
      <c r="WXD799" s="3796"/>
      <c r="WXE799" s="3796"/>
      <c r="WXF799" s="3796"/>
      <c r="WXG799" s="3796"/>
      <c r="WXH799" s="3796"/>
      <c r="WXI799" s="3796"/>
      <c r="WXJ799" s="3796"/>
      <c r="WXK799" s="3796"/>
      <c r="WXL799" s="3796"/>
      <c r="WXM799" s="3796"/>
      <c r="WXN799" s="3796"/>
      <c r="WXO799" s="3796"/>
      <c r="WXP799" s="3796"/>
      <c r="WXQ799" s="3796"/>
      <c r="WXR799" s="3796"/>
      <c r="WXS799" s="3796"/>
      <c r="WXT799" s="3796"/>
      <c r="WXU799" s="3796"/>
      <c r="WXV799" s="3796"/>
      <c r="WXW799" s="3796"/>
      <c r="WXX799" s="3796"/>
      <c r="WXY799" s="3796"/>
      <c r="WXZ799" s="3796"/>
      <c r="WYA799" s="3796"/>
      <c r="WYB799" s="3796"/>
      <c r="WYC799" s="3796"/>
      <c r="WYD799" s="3796"/>
      <c r="WYE799" s="3796"/>
      <c r="WYF799" s="3796"/>
      <c r="WYG799" s="3796"/>
      <c r="WYH799" s="3796"/>
      <c r="WYI799" s="3796"/>
      <c r="WYJ799" s="3796"/>
      <c r="WYK799" s="3796"/>
      <c r="WYL799" s="3796"/>
      <c r="WYM799" s="3796"/>
      <c r="WYN799" s="3796"/>
      <c r="WYO799" s="3796"/>
      <c r="WYP799" s="3796"/>
      <c r="WYQ799" s="3796"/>
      <c r="WYR799" s="3796"/>
      <c r="WYS799" s="3796"/>
      <c r="WYT799" s="3796"/>
      <c r="WYU799" s="3796"/>
      <c r="WYV799" s="3796"/>
      <c r="WYW799" s="3796"/>
      <c r="WYX799" s="3796"/>
      <c r="WYY799" s="3796"/>
      <c r="WYZ799" s="3796"/>
      <c r="WZA799" s="3796"/>
      <c r="WZB799" s="3796"/>
      <c r="WZC799" s="3796"/>
      <c r="WZD799" s="3796"/>
      <c r="WZE799" s="3796"/>
      <c r="WZF799" s="3796"/>
      <c r="WZG799" s="3796"/>
      <c r="WZH799" s="3796"/>
      <c r="WZI799" s="3796"/>
      <c r="WZJ799" s="3796"/>
      <c r="WZK799" s="3796"/>
      <c r="WZL799" s="3796"/>
      <c r="WZM799" s="3796"/>
      <c r="WZN799" s="3796"/>
      <c r="WZO799" s="3796"/>
      <c r="WZP799" s="3796"/>
      <c r="WZQ799" s="3796"/>
      <c r="WZR799" s="3796"/>
      <c r="WZS799" s="3796"/>
      <c r="WZT799" s="3796"/>
      <c r="WZU799" s="3796"/>
      <c r="WZV799" s="3796"/>
      <c r="WZW799" s="3796"/>
      <c r="WZX799" s="3796"/>
      <c r="WZY799" s="3796"/>
      <c r="WZZ799" s="3796"/>
      <c r="XAA799" s="3796"/>
      <c r="XAB799" s="3796"/>
      <c r="XAC799" s="3796"/>
      <c r="XAD799" s="3796"/>
      <c r="XAE799" s="3796"/>
      <c r="XAF799" s="3796"/>
      <c r="XAG799" s="3796"/>
      <c r="XAH799" s="3796"/>
      <c r="XAI799" s="3796"/>
      <c r="XAJ799" s="3796"/>
      <c r="XAK799" s="3796"/>
      <c r="XAL799" s="3796"/>
      <c r="XAM799" s="3796"/>
      <c r="XAN799" s="3796"/>
      <c r="XAO799" s="3796"/>
      <c r="XAP799" s="3796"/>
      <c r="XAQ799" s="3796"/>
      <c r="XAR799" s="3796"/>
      <c r="XAS799" s="3796"/>
      <c r="XAT799" s="3796"/>
      <c r="XAU799" s="3796"/>
      <c r="XAV799" s="3796"/>
      <c r="XAW799" s="3796"/>
      <c r="XAX799" s="3796"/>
      <c r="XAY799" s="3796"/>
      <c r="XAZ799" s="3796"/>
      <c r="XBA799" s="3796"/>
      <c r="XBB799" s="3796"/>
      <c r="XBC799" s="3796"/>
      <c r="XBD799" s="3796"/>
      <c r="XBE799" s="3796"/>
      <c r="XBF799" s="3796"/>
      <c r="XBG799" s="3796"/>
      <c r="XBH799" s="3796"/>
      <c r="XBI799" s="3796"/>
      <c r="XBJ799" s="3796"/>
      <c r="XBK799" s="3796"/>
      <c r="XBL799" s="3796"/>
      <c r="XBM799" s="3796"/>
      <c r="XBN799" s="3796"/>
      <c r="XBO799" s="3796"/>
      <c r="XBP799" s="3796"/>
      <c r="XBQ799" s="3796"/>
      <c r="XBR799" s="3796"/>
      <c r="XBS799" s="3796"/>
      <c r="XBT799" s="3796"/>
      <c r="XBU799" s="3796"/>
      <c r="XBV799" s="3796"/>
      <c r="XBW799" s="3796"/>
      <c r="XBX799" s="3796"/>
      <c r="XBY799" s="3796"/>
      <c r="XBZ799" s="3796"/>
      <c r="XCA799" s="3796"/>
      <c r="XCB799" s="3796"/>
      <c r="XCC799" s="3796"/>
      <c r="XCD799" s="3796"/>
      <c r="XCE799" s="3796"/>
      <c r="XCF799" s="3796"/>
      <c r="XCG799" s="3796"/>
      <c r="XCH799" s="3796"/>
      <c r="XCI799" s="3796"/>
      <c r="XCJ799" s="3796"/>
      <c r="XCK799" s="3796"/>
      <c r="XCL799" s="3796"/>
      <c r="XCM799" s="3796"/>
      <c r="XCN799" s="3796"/>
      <c r="XCO799" s="3796"/>
      <c r="XCP799" s="3796"/>
      <c r="XCQ799" s="3796"/>
      <c r="XCR799" s="3796"/>
      <c r="XCS799" s="3796"/>
      <c r="XCT799" s="3796"/>
      <c r="XCU799" s="3796"/>
      <c r="XCV799" s="3796"/>
      <c r="XCW799" s="3796"/>
      <c r="XCX799" s="3796"/>
      <c r="XCY799" s="3796"/>
      <c r="XCZ799" s="3796"/>
      <c r="XDA799" s="3796"/>
      <c r="XDB799" s="3796"/>
      <c r="XDC799" s="3796"/>
      <c r="XDD799" s="3796"/>
      <c r="XDE799" s="3796"/>
      <c r="XDF799" s="3796"/>
      <c r="XDG799" s="3796"/>
      <c r="XDH799" s="3796"/>
      <c r="XDI799" s="3796"/>
      <c r="XDJ799" s="3796"/>
      <c r="XDK799" s="3796"/>
      <c r="XDL799" s="3796"/>
      <c r="XDM799" s="3796"/>
      <c r="XDN799" s="3796"/>
      <c r="XDO799" s="3796"/>
      <c r="XDP799" s="3796"/>
      <c r="XDQ799" s="3796"/>
      <c r="XDR799" s="3796"/>
      <c r="XDS799" s="3796"/>
      <c r="XDT799" s="3796"/>
      <c r="XDU799" s="3796"/>
      <c r="XDV799" s="3796"/>
      <c r="XDW799" s="3796"/>
      <c r="XDX799" s="3796"/>
      <c r="XDY799" s="3796"/>
      <c r="XDZ799" s="3796"/>
      <c r="XEA799" s="3796"/>
      <c r="XEB799" s="3796"/>
      <c r="XEC799" s="3796"/>
      <c r="XED799" s="3796"/>
      <c r="XEE799" s="3796"/>
      <c r="XEF799" s="3796"/>
      <c r="XEG799" s="3796"/>
      <c r="XEH799" s="3796"/>
      <c r="XEI799" s="3796"/>
      <c r="XEJ799" s="3796"/>
      <c r="XEK799" s="3796"/>
      <c r="XEL799" s="3796"/>
      <c r="XEM799" s="3796"/>
      <c r="XEN799" s="3796"/>
      <c r="XEO799" s="3796"/>
      <c r="XEP799" s="3796"/>
      <c r="XEQ799" s="3796"/>
      <c r="XER799" s="3796"/>
      <c r="XES799" s="3796"/>
      <c r="XET799" s="3796"/>
      <c r="XEU799" s="3796"/>
      <c r="XEV799" s="3796"/>
      <c r="XEW799" s="3796"/>
      <c r="XEX799" s="3796"/>
      <c r="XEY799" s="3796"/>
      <c r="XEZ799" s="3796"/>
      <c r="XFA799" s="3796"/>
      <c r="XFB799" s="3796"/>
      <c r="XFC799" s="3796"/>
      <c r="XFD799" s="3796"/>
    </row>
    <row r="800" spans="1:16384">
      <c r="A800" s="3267" t="s">
        <v>8599</v>
      </c>
      <c r="B800" s="3267" t="s">
        <v>8600</v>
      </c>
      <c r="C800" s="3269" t="s">
        <v>8601</v>
      </c>
      <c r="D800" s="3269" t="s">
        <v>8602</v>
      </c>
      <c r="E800" s="3268" t="s">
        <v>2985</v>
      </c>
      <c r="F800" s="3268" t="s">
        <v>6363</v>
      </c>
      <c r="G800" s="3267"/>
      <c r="H800" s="3267" t="s">
        <v>3806</v>
      </c>
      <c r="I800" s="3268" t="s">
        <v>4038</v>
      </c>
      <c r="J800" s="3267" t="s">
        <v>3189</v>
      </c>
      <c r="K800" s="3267" t="s">
        <v>8600</v>
      </c>
      <c r="L800" s="3267">
        <v>52.51</v>
      </c>
      <c r="M800" s="3267">
        <v>1</v>
      </c>
      <c r="N800" s="3267" t="s">
        <v>3122</v>
      </c>
      <c r="O800" s="3267"/>
      <c r="P800" s="3267" t="s">
        <v>2963</v>
      </c>
      <c r="Q800" s="3271">
        <v>470000</v>
      </c>
      <c r="R800" s="3267">
        <v>8951</v>
      </c>
      <c r="S800" s="3272">
        <v>38.46</v>
      </c>
      <c r="T800" s="3273">
        <v>384600</v>
      </c>
      <c r="U800" s="3267">
        <v>7325</v>
      </c>
      <c r="V800" s="3289">
        <v>0.2</v>
      </c>
      <c r="W800" s="3272">
        <v>30.76</v>
      </c>
      <c r="X800" s="3275">
        <v>307600</v>
      </c>
      <c r="Y800" s="3276">
        <v>2006</v>
      </c>
      <c r="Z800" s="3276">
        <v>11</v>
      </c>
      <c r="AA800" s="3276">
        <v>8</v>
      </c>
      <c r="AB800" s="3267">
        <v>1150</v>
      </c>
      <c r="AC800" s="3267" t="s">
        <v>2980</v>
      </c>
      <c r="AD800" s="3269" t="s">
        <v>8603</v>
      </c>
      <c r="AE800" s="3279" t="s">
        <v>3344</v>
      </c>
      <c r="AF800" s="3268" t="s">
        <v>2966</v>
      </c>
      <c r="AG800" s="3279" t="s">
        <v>2967</v>
      </c>
      <c r="AH800" s="3267"/>
      <c r="AI800" s="3279" t="s">
        <v>2992</v>
      </c>
      <c r="AJ800" s="3284"/>
      <c r="AK800" s="3278" t="s">
        <v>3137</v>
      </c>
      <c r="AL800" s="3276">
        <v>30</v>
      </c>
      <c r="AM800" s="3276" t="s">
        <v>8604</v>
      </c>
      <c r="AN800" s="3279" t="s">
        <v>3140</v>
      </c>
      <c r="AO800" s="3267"/>
      <c r="AP800" s="3279" t="s">
        <v>3305</v>
      </c>
      <c r="AQ800" s="3267" t="s">
        <v>3228</v>
      </c>
      <c r="AR800" s="3276"/>
      <c r="AS800" s="3276"/>
      <c r="AT800" s="3276"/>
      <c r="AU800" s="3276"/>
      <c r="AV800" s="3276"/>
      <c r="AW800" s="3276" t="s">
        <v>2997</v>
      </c>
      <c r="AX800" s="3276"/>
      <c r="AY800" s="3291"/>
      <c r="AZ800" s="3267" t="s">
        <v>8605</v>
      </c>
      <c r="BA800" s="3296"/>
      <c r="BB800" s="3297"/>
      <c r="BC800" s="3296"/>
      <c r="BD800" s="3298"/>
      <c r="BE800" s="3276">
        <v>81784986</v>
      </c>
      <c r="BF800" s="3281"/>
      <c r="BG800" s="3293">
        <v>38980</v>
      </c>
      <c r="BH800" s="3354" t="s">
        <v>2998</v>
      </c>
      <c r="BI800" s="3314" t="s">
        <v>3305</v>
      </c>
      <c r="BJ800" s="3283">
        <v>38986</v>
      </c>
      <c r="BK800" s="3283"/>
      <c r="BL800" s="3267" t="s">
        <v>3249</v>
      </c>
      <c r="BM800" s="3276" t="s">
        <v>2879</v>
      </c>
      <c r="BN800" s="3276" t="s">
        <v>2999</v>
      </c>
      <c r="BO800" s="3276" t="s">
        <v>3146</v>
      </c>
      <c r="BP800" s="3276"/>
      <c r="BQ800" s="3276" t="e">
        <v>#DIV/0!</v>
      </c>
      <c r="BR800" s="3276" t="e">
        <v>#DIV/0!</v>
      </c>
      <c r="BS800" s="3285"/>
      <c r="BT800" s="3285"/>
      <c r="BU800" s="3285"/>
    </row>
    <row r="801" spans="1:16384" hidden="1">
      <c r="A801" s="3267" t="s">
        <v>8606</v>
      </c>
      <c r="B801" s="3267" t="s">
        <v>8607</v>
      </c>
      <c r="C801" s="3269" t="s">
        <v>8608</v>
      </c>
      <c r="D801" s="3269" t="s">
        <v>8609</v>
      </c>
      <c r="E801" s="3268" t="s">
        <v>2985</v>
      </c>
      <c r="F801" s="3268" t="s">
        <v>7902</v>
      </c>
      <c r="G801" s="3267"/>
      <c r="H801" s="3267" t="s">
        <v>3097</v>
      </c>
      <c r="I801" s="3268" t="s">
        <v>3191</v>
      </c>
      <c r="J801" s="3268" t="s">
        <v>8610</v>
      </c>
      <c r="K801" s="3267" t="s">
        <v>8611</v>
      </c>
      <c r="L801" s="3267">
        <v>87.77</v>
      </c>
      <c r="M801" s="3267">
        <v>13</v>
      </c>
      <c r="N801" s="3267" t="s">
        <v>3535</v>
      </c>
      <c r="O801" s="3267"/>
      <c r="P801" s="3267" t="s">
        <v>2963</v>
      </c>
      <c r="Q801" s="3271">
        <v>580000</v>
      </c>
      <c r="R801" s="3267">
        <v>6608</v>
      </c>
      <c r="S801" s="3272">
        <v>65.040000000000006</v>
      </c>
      <c r="T801" s="3273">
        <v>650400</v>
      </c>
      <c r="U801" s="3267">
        <v>7411</v>
      </c>
      <c r="V801" s="3289">
        <v>0.2</v>
      </c>
      <c r="W801" s="3272">
        <v>52.03</v>
      </c>
      <c r="X801" s="3275">
        <v>520300</v>
      </c>
      <c r="Y801" s="3276">
        <v>2006</v>
      </c>
      <c r="Z801" s="3267">
        <v>10</v>
      </c>
      <c r="AA801" s="3276">
        <v>10</v>
      </c>
      <c r="AB801" s="3267">
        <v>1500</v>
      </c>
      <c r="AC801" s="3267" t="s">
        <v>2980</v>
      </c>
      <c r="AD801" s="3366">
        <v>91302006091032</v>
      </c>
      <c r="AE801" s="3279" t="s">
        <v>2991</v>
      </c>
      <c r="AF801" s="3268"/>
      <c r="AG801" s="3279" t="s">
        <v>2967</v>
      </c>
      <c r="AH801" s="3267"/>
      <c r="AI801" s="3279" t="s">
        <v>2992</v>
      </c>
      <c r="AJ801" s="3284"/>
      <c r="AK801" s="3278" t="s">
        <v>3148</v>
      </c>
      <c r="AL801" s="3276">
        <v>57</v>
      </c>
      <c r="AM801" s="3276"/>
      <c r="AN801" s="3267" t="s">
        <v>3131</v>
      </c>
      <c r="AO801" s="3267"/>
      <c r="AP801" s="3279" t="s">
        <v>3537</v>
      </c>
      <c r="AQ801" s="3267" t="s">
        <v>3228</v>
      </c>
      <c r="AR801" s="3276"/>
      <c r="AS801" s="3276"/>
      <c r="AT801" s="3276"/>
      <c r="AU801" s="3276"/>
      <c r="AV801" s="3276"/>
      <c r="AW801" s="3276" t="s">
        <v>2997</v>
      </c>
      <c r="AX801" s="3276"/>
      <c r="AY801" s="3291"/>
      <c r="AZ801" s="3267" t="s">
        <v>8611</v>
      </c>
      <c r="BA801" s="3296"/>
      <c r="BB801" s="3297"/>
      <c r="BC801" s="3296"/>
      <c r="BD801" s="3298"/>
      <c r="BE801" s="3276">
        <v>86395610</v>
      </c>
      <c r="BF801" s="3281"/>
      <c r="BG801" s="3293">
        <v>38970</v>
      </c>
      <c r="BH801" s="3267"/>
      <c r="BI801" s="3276" t="s">
        <v>3537</v>
      </c>
      <c r="BJ801" s="3283">
        <v>38986</v>
      </c>
      <c r="BK801" s="3283" t="s">
        <v>2968</v>
      </c>
      <c r="BL801" s="3267" t="s">
        <v>2998</v>
      </c>
      <c r="BM801" s="3276" t="s">
        <v>2879</v>
      </c>
      <c r="BN801" s="3276" t="s">
        <v>2999</v>
      </c>
      <c r="BO801" s="3276" t="s">
        <v>3146</v>
      </c>
      <c r="BP801" s="3276"/>
      <c r="BQ801" s="3276" t="e">
        <v>#DIV/0!</v>
      </c>
      <c r="BR801" s="3276" t="e">
        <v>#DIV/0!</v>
      </c>
      <c r="BS801" s="3285"/>
      <c r="BT801" s="3285"/>
      <c r="BU801" s="3285"/>
      <c r="BW801" s="3262" t="s">
        <v>3262</v>
      </c>
      <c r="BX801" s="3262" t="s">
        <v>3262</v>
      </c>
      <c r="BY801" s="3262" t="s">
        <v>3262</v>
      </c>
      <c r="BZ801" s="3262" t="s">
        <v>3262</v>
      </c>
      <c r="CA801" s="3262" t="s">
        <v>3262</v>
      </c>
      <c r="CB801" s="3262" t="s">
        <v>3262</v>
      </c>
      <c r="CC801" s="3262" t="s">
        <v>3262</v>
      </c>
      <c r="CD801" s="3262" t="s">
        <v>3262</v>
      </c>
      <c r="CE801" s="3262" t="s">
        <v>3262</v>
      </c>
      <c r="CF801" s="3262" t="s">
        <v>3262</v>
      </c>
      <c r="CG801" s="3262" t="s">
        <v>3262</v>
      </c>
      <c r="CH801" s="3262" t="s">
        <v>3262</v>
      </c>
      <c r="CI801" s="3262" t="s">
        <v>3262</v>
      </c>
      <c r="CJ801" s="3262" t="s">
        <v>3262</v>
      </c>
      <c r="CK801" s="3262" t="s">
        <v>3262</v>
      </c>
      <c r="CL801" s="3262" t="s">
        <v>3262</v>
      </c>
      <c r="CM801" s="3262" t="s">
        <v>3262</v>
      </c>
      <c r="CN801" s="3262" t="s">
        <v>3262</v>
      </c>
      <c r="CO801" s="3262" t="s">
        <v>3262</v>
      </c>
      <c r="CP801" s="3262" t="s">
        <v>3262</v>
      </c>
      <c r="CQ801" s="3262" t="s">
        <v>3262</v>
      </c>
      <c r="CR801" s="3262" t="s">
        <v>3262</v>
      </c>
      <c r="CS801" s="3262" t="s">
        <v>3262</v>
      </c>
      <c r="CT801" s="3262" t="s">
        <v>3262</v>
      </c>
      <c r="CU801" s="3262" t="s">
        <v>3262</v>
      </c>
      <c r="CV801" s="3262" t="s">
        <v>3262</v>
      </c>
      <c r="CW801" s="3262" t="s">
        <v>3262</v>
      </c>
      <c r="CX801" s="3262" t="s">
        <v>3262</v>
      </c>
      <c r="CY801" s="3262" t="s">
        <v>3262</v>
      </c>
      <c r="CZ801" s="3262" t="s">
        <v>3262</v>
      </c>
      <c r="DA801" s="3262" t="s">
        <v>3262</v>
      </c>
      <c r="DB801" s="3262" t="s">
        <v>3262</v>
      </c>
      <c r="DC801" s="3262" t="s">
        <v>3262</v>
      </c>
      <c r="DD801" s="3262" t="s">
        <v>3262</v>
      </c>
      <c r="DE801" s="3262" t="s">
        <v>3262</v>
      </c>
      <c r="DF801" s="3262" t="s">
        <v>3262</v>
      </c>
      <c r="DG801" s="3262" t="s">
        <v>3262</v>
      </c>
      <c r="DH801" s="3262" t="s">
        <v>3262</v>
      </c>
      <c r="DI801" s="3262" t="s">
        <v>3262</v>
      </c>
      <c r="DJ801" s="3262" t="s">
        <v>3262</v>
      </c>
      <c r="DK801" s="3262" t="s">
        <v>3262</v>
      </c>
      <c r="DL801" s="3262" t="s">
        <v>3262</v>
      </c>
      <c r="DM801" s="3262" t="s">
        <v>3262</v>
      </c>
      <c r="DN801" s="3262" t="s">
        <v>3262</v>
      </c>
      <c r="DO801" s="3262" t="s">
        <v>3262</v>
      </c>
      <c r="DP801" s="3262" t="s">
        <v>3262</v>
      </c>
      <c r="DQ801" s="3262" t="s">
        <v>3262</v>
      </c>
      <c r="DR801" s="3262" t="s">
        <v>3262</v>
      </c>
      <c r="DS801" s="3262" t="s">
        <v>3262</v>
      </c>
      <c r="DT801" s="3262" t="s">
        <v>3262</v>
      </c>
      <c r="DU801" s="3262" t="s">
        <v>3262</v>
      </c>
      <c r="DV801" s="3262" t="s">
        <v>3262</v>
      </c>
      <c r="DW801" s="3262" t="s">
        <v>3262</v>
      </c>
      <c r="DX801" s="3262" t="s">
        <v>3262</v>
      </c>
      <c r="DY801" s="3262" t="s">
        <v>3262</v>
      </c>
      <c r="DZ801" s="3262" t="s">
        <v>3262</v>
      </c>
      <c r="EA801" s="3262" t="s">
        <v>3262</v>
      </c>
      <c r="EB801" s="3262" t="s">
        <v>3262</v>
      </c>
      <c r="EC801" s="3262" t="s">
        <v>3262</v>
      </c>
      <c r="ED801" s="3262" t="s">
        <v>3262</v>
      </c>
      <c r="EE801" s="3262" t="s">
        <v>3262</v>
      </c>
      <c r="EF801" s="3262" t="s">
        <v>3262</v>
      </c>
      <c r="EG801" s="3262" t="s">
        <v>3262</v>
      </c>
      <c r="EH801" s="3262" t="s">
        <v>3262</v>
      </c>
      <c r="EI801" s="3262" t="s">
        <v>3262</v>
      </c>
      <c r="EJ801" s="3262" t="s">
        <v>3262</v>
      </c>
      <c r="EK801" s="3262" t="s">
        <v>3262</v>
      </c>
      <c r="EL801" s="3262" t="s">
        <v>3262</v>
      </c>
      <c r="EM801" s="3262" t="s">
        <v>3262</v>
      </c>
      <c r="EN801" s="3262" t="s">
        <v>3262</v>
      </c>
      <c r="EO801" s="3262" t="s">
        <v>3262</v>
      </c>
      <c r="EP801" s="3262" t="s">
        <v>3262</v>
      </c>
      <c r="EQ801" s="3262" t="s">
        <v>3262</v>
      </c>
      <c r="ER801" s="3262" t="s">
        <v>3262</v>
      </c>
      <c r="ES801" s="3262" t="s">
        <v>3262</v>
      </c>
      <c r="ET801" s="3262" t="s">
        <v>3262</v>
      </c>
      <c r="EU801" s="3262" t="s">
        <v>3262</v>
      </c>
      <c r="EV801" s="3262" t="s">
        <v>3262</v>
      </c>
      <c r="EW801" s="3262" t="s">
        <v>3262</v>
      </c>
      <c r="EX801" s="3262" t="s">
        <v>3262</v>
      </c>
      <c r="EY801" s="3262" t="s">
        <v>3262</v>
      </c>
      <c r="EZ801" s="3262" t="s">
        <v>3262</v>
      </c>
      <c r="FA801" s="3262" t="s">
        <v>3262</v>
      </c>
      <c r="FB801" s="3262" t="s">
        <v>3262</v>
      </c>
      <c r="FC801" s="3262" t="s">
        <v>3262</v>
      </c>
      <c r="FD801" s="3262" t="s">
        <v>3262</v>
      </c>
      <c r="FE801" s="3262" t="s">
        <v>3262</v>
      </c>
      <c r="FF801" s="3262" t="s">
        <v>3262</v>
      </c>
      <c r="FG801" s="3262" t="s">
        <v>3262</v>
      </c>
      <c r="FH801" s="3262" t="s">
        <v>3262</v>
      </c>
      <c r="FI801" s="3262" t="s">
        <v>3262</v>
      </c>
      <c r="FJ801" s="3262" t="s">
        <v>3262</v>
      </c>
      <c r="FK801" s="3262" t="s">
        <v>3262</v>
      </c>
      <c r="FL801" s="3262" t="s">
        <v>3262</v>
      </c>
      <c r="FM801" s="3262" t="s">
        <v>3262</v>
      </c>
      <c r="FN801" s="3262" t="s">
        <v>3262</v>
      </c>
      <c r="FO801" s="3262" t="s">
        <v>3262</v>
      </c>
      <c r="FP801" s="3262" t="s">
        <v>3262</v>
      </c>
      <c r="FQ801" s="3262" t="s">
        <v>3262</v>
      </c>
      <c r="FR801" s="3262" t="s">
        <v>3262</v>
      </c>
      <c r="FS801" s="3262" t="s">
        <v>3262</v>
      </c>
      <c r="FT801" s="3262" t="s">
        <v>3262</v>
      </c>
      <c r="FU801" s="3262" t="s">
        <v>3262</v>
      </c>
      <c r="FV801" s="3262" t="s">
        <v>3262</v>
      </c>
      <c r="FW801" s="3262" t="s">
        <v>3262</v>
      </c>
      <c r="FX801" s="3262" t="s">
        <v>3262</v>
      </c>
      <c r="FY801" s="3262" t="s">
        <v>3262</v>
      </c>
      <c r="FZ801" s="3262" t="s">
        <v>3262</v>
      </c>
      <c r="GA801" s="3262" t="s">
        <v>3262</v>
      </c>
      <c r="GB801" s="3262" t="s">
        <v>3262</v>
      </c>
      <c r="GC801" s="3262" t="s">
        <v>3262</v>
      </c>
      <c r="GD801" s="3262" t="s">
        <v>3262</v>
      </c>
      <c r="GE801" s="3262" t="s">
        <v>3262</v>
      </c>
      <c r="GF801" s="3262" t="s">
        <v>3262</v>
      </c>
      <c r="GG801" s="3262" t="s">
        <v>3262</v>
      </c>
      <c r="GH801" s="3262" t="s">
        <v>3262</v>
      </c>
      <c r="GI801" s="3262" t="s">
        <v>3262</v>
      </c>
      <c r="GJ801" s="3262" t="s">
        <v>3262</v>
      </c>
      <c r="GK801" s="3262" t="s">
        <v>3262</v>
      </c>
      <c r="GL801" s="3262" t="s">
        <v>3262</v>
      </c>
      <c r="GM801" s="3262" t="s">
        <v>3262</v>
      </c>
      <c r="GN801" s="3262" t="s">
        <v>3262</v>
      </c>
      <c r="GO801" s="3262" t="s">
        <v>3262</v>
      </c>
      <c r="GP801" s="3262" t="s">
        <v>3262</v>
      </c>
      <c r="GQ801" s="3262" t="s">
        <v>3262</v>
      </c>
      <c r="GR801" s="3262" t="s">
        <v>3262</v>
      </c>
      <c r="GS801" s="3262" t="s">
        <v>3262</v>
      </c>
      <c r="GT801" s="3262" t="s">
        <v>3262</v>
      </c>
      <c r="GU801" s="3262" t="s">
        <v>3262</v>
      </c>
      <c r="GV801" s="3262" t="s">
        <v>3262</v>
      </c>
      <c r="GW801" s="3262" t="s">
        <v>3262</v>
      </c>
      <c r="GX801" s="3262" t="s">
        <v>3262</v>
      </c>
      <c r="GY801" s="3262" t="s">
        <v>3262</v>
      </c>
      <c r="GZ801" s="3262" t="s">
        <v>3262</v>
      </c>
      <c r="HA801" s="3262" t="s">
        <v>3262</v>
      </c>
      <c r="HB801" s="3262" t="s">
        <v>3262</v>
      </c>
      <c r="HC801" s="3262" t="s">
        <v>3262</v>
      </c>
      <c r="HD801" s="3262" t="s">
        <v>3262</v>
      </c>
      <c r="HE801" s="3262" t="s">
        <v>3262</v>
      </c>
      <c r="HF801" s="3262" t="s">
        <v>3262</v>
      </c>
      <c r="HG801" s="3262" t="s">
        <v>3262</v>
      </c>
      <c r="HH801" s="3262" t="s">
        <v>3262</v>
      </c>
      <c r="HI801" s="3262" t="s">
        <v>3262</v>
      </c>
      <c r="HJ801" s="3262" t="s">
        <v>3262</v>
      </c>
      <c r="HK801" s="3262" t="s">
        <v>3262</v>
      </c>
      <c r="HL801" s="3262" t="s">
        <v>3262</v>
      </c>
      <c r="HM801" s="3262" t="s">
        <v>3262</v>
      </c>
      <c r="HN801" s="3262" t="s">
        <v>3262</v>
      </c>
      <c r="HO801" s="3262" t="s">
        <v>3262</v>
      </c>
      <c r="HP801" s="3262" t="s">
        <v>3262</v>
      </c>
      <c r="HQ801" s="3262" t="s">
        <v>3262</v>
      </c>
      <c r="HR801" s="3262" t="s">
        <v>3262</v>
      </c>
      <c r="HS801" s="3262" t="s">
        <v>3262</v>
      </c>
      <c r="HT801" s="3262" t="s">
        <v>3262</v>
      </c>
      <c r="HU801" s="3262" t="s">
        <v>3262</v>
      </c>
      <c r="HV801" s="3262" t="s">
        <v>3262</v>
      </c>
      <c r="HW801" s="3262" t="s">
        <v>3262</v>
      </c>
      <c r="HX801" s="3262" t="s">
        <v>3262</v>
      </c>
      <c r="HY801" s="3262" t="s">
        <v>3262</v>
      </c>
      <c r="HZ801" s="3262" t="s">
        <v>3262</v>
      </c>
      <c r="IA801" s="3262" t="s">
        <v>3262</v>
      </c>
      <c r="IB801" s="3262" t="s">
        <v>3262</v>
      </c>
      <c r="IC801" s="3262" t="s">
        <v>3262</v>
      </c>
      <c r="ID801" s="3262" t="s">
        <v>3262</v>
      </c>
      <c r="IE801" s="3262" t="s">
        <v>3262</v>
      </c>
      <c r="IF801" s="3262" t="s">
        <v>3262</v>
      </c>
      <c r="IG801" s="3262" t="s">
        <v>3262</v>
      </c>
      <c r="IH801" s="3262" t="s">
        <v>3262</v>
      </c>
    </row>
    <row r="802" spans="1:16384" hidden="1">
      <c r="A802" s="3267" t="s">
        <v>8612</v>
      </c>
      <c r="B802" s="3267" t="s">
        <v>8613</v>
      </c>
      <c r="C802" s="3269" t="s">
        <v>8614</v>
      </c>
      <c r="D802" s="3269" t="s">
        <v>8615</v>
      </c>
      <c r="E802" s="3268" t="s">
        <v>2985</v>
      </c>
      <c r="F802" s="3268" t="s">
        <v>5117</v>
      </c>
      <c r="G802" s="3267"/>
      <c r="H802" s="3268" t="s">
        <v>3194</v>
      </c>
      <c r="I802" s="3268"/>
      <c r="J802" s="3267">
        <v>314</v>
      </c>
      <c r="K802" s="3267" t="s">
        <v>8613</v>
      </c>
      <c r="L802" s="3267">
        <v>57.51</v>
      </c>
      <c r="M802" s="3267">
        <v>3</v>
      </c>
      <c r="N802" s="3267" t="s">
        <v>3535</v>
      </c>
      <c r="O802" s="3267"/>
      <c r="P802" s="3267" t="s">
        <v>2963</v>
      </c>
      <c r="Q802" s="3271">
        <v>300000</v>
      </c>
      <c r="R802" s="3267">
        <v>5216</v>
      </c>
      <c r="S802" s="3272">
        <v>34.69</v>
      </c>
      <c r="T802" s="3273">
        <v>346900</v>
      </c>
      <c r="U802" s="3267">
        <v>6032</v>
      </c>
      <c r="V802" s="3289">
        <v>0.2</v>
      </c>
      <c r="W802" s="3272">
        <v>27.75</v>
      </c>
      <c r="X802" s="3275">
        <v>277500</v>
      </c>
      <c r="Y802" s="3276">
        <v>2006</v>
      </c>
      <c r="Z802" s="3276">
        <v>10</v>
      </c>
      <c r="AA802" s="3267">
        <v>18</v>
      </c>
      <c r="AB802" s="3267">
        <v>1040</v>
      </c>
      <c r="AC802" s="3267" t="s">
        <v>2980</v>
      </c>
      <c r="AD802" s="3304">
        <v>91302006091674</v>
      </c>
      <c r="AE802" s="3279" t="s">
        <v>2991</v>
      </c>
      <c r="AF802" s="3268" t="s">
        <v>2966</v>
      </c>
      <c r="AG802" s="3279" t="s">
        <v>2967</v>
      </c>
      <c r="AH802" s="3267"/>
      <c r="AI802" s="3267" t="s">
        <v>3295</v>
      </c>
      <c r="AJ802" s="3284"/>
      <c r="AK802" s="3278" t="s">
        <v>3148</v>
      </c>
      <c r="AL802" s="3276">
        <v>58</v>
      </c>
      <c r="AM802" s="3267" t="s">
        <v>8616</v>
      </c>
      <c r="AN802" s="3279" t="s">
        <v>3140</v>
      </c>
      <c r="AO802" s="3267"/>
      <c r="AP802" s="3279" t="s">
        <v>3537</v>
      </c>
      <c r="AQ802" s="3267" t="s">
        <v>3228</v>
      </c>
      <c r="AR802" s="3276"/>
      <c r="AS802" s="3276"/>
      <c r="AT802" s="3276"/>
      <c r="AU802" s="3276"/>
      <c r="AV802" s="3276"/>
      <c r="AW802" s="3276" t="s">
        <v>3119</v>
      </c>
      <c r="AX802" s="3276"/>
      <c r="AY802" s="3291"/>
      <c r="AZ802" s="3267" t="s">
        <v>8617</v>
      </c>
      <c r="BA802" s="3296"/>
      <c r="BB802" s="3297"/>
      <c r="BC802" s="3296"/>
      <c r="BD802" s="3298"/>
      <c r="BE802" s="3276">
        <v>13911332052</v>
      </c>
      <c r="BF802" s="3281"/>
      <c r="BG802" s="3293">
        <v>38980</v>
      </c>
      <c r="BH802" s="3267"/>
      <c r="BI802" s="3276" t="s">
        <v>3537</v>
      </c>
      <c r="BJ802" s="3283">
        <v>38986</v>
      </c>
      <c r="BK802" s="3283"/>
      <c r="BL802" s="3267" t="s">
        <v>2998</v>
      </c>
      <c r="BM802" s="3276" t="s">
        <v>3345</v>
      </c>
      <c r="BN802" s="3276" t="s">
        <v>2999</v>
      </c>
      <c r="BO802" s="3276" t="s">
        <v>3146</v>
      </c>
      <c r="BP802" s="3276"/>
      <c r="BQ802" s="3276" t="e">
        <v>#DIV/0!</v>
      </c>
      <c r="BR802" s="3276" t="e">
        <v>#DIV/0!</v>
      </c>
      <c r="BS802" s="3285"/>
      <c r="BT802" s="3285"/>
      <c r="BU802" s="3285"/>
    </row>
    <row r="803" spans="1:16384" hidden="1">
      <c r="A803" s="3267" t="s">
        <v>8618</v>
      </c>
      <c r="B803" s="3267" t="s">
        <v>8619</v>
      </c>
      <c r="C803" s="3269" t="s">
        <v>8620</v>
      </c>
      <c r="D803" s="3269" t="s">
        <v>8621</v>
      </c>
      <c r="E803" s="3268" t="s">
        <v>2985</v>
      </c>
      <c r="F803" s="3268" t="s">
        <v>8622</v>
      </c>
      <c r="G803" s="3267"/>
      <c r="H803" s="3267" t="s">
        <v>3182</v>
      </c>
      <c r="I803" s="3268"/>
      <c r="J803" s="3267" t="s">
        <v>8623</v>
      </c>
      <c r="K803" s="3267" t="s">
        <v>8624</v>
      </c>
      <c r="L803" s="3267">
        <v>40.44</v>
      </c>
      <c r="M803" s="3267">
        <v>5</v>
      </c>
      <c r="N803" s="3267" t="s">
        <v>3152</v>
      </c>
      <c r="O803" s="3267"/>
      <c r="P803" s="3267" t="s">
        <v>2963</v>
      </c>
      <c r="Q803" s="3271">
        <v>363960</v>
      </c>
      <c r="R803" s="3267">
        <v>9000</v>
      </c>
      <c r="S803" s="3272">
        <v>33.76</v>
      </c>
      <c r="T803" s="3273">
        <v>337600</v>
      </c>
      <c r="U803" s="3267">
        <v>8350</v>
      </c>
      <c r="V803" s="3289">
        <v>0.2</v>
      </c>
      <c r="W803" s="3272">
        <v>27</v>
      </c>
      <c r="X803" s="3275">
        <v>270000</v>
      </c>
      <c r="Y803" s="3276">
        <v>2006</v>
      </c>
      <c r="Z803" s="3267">
        <v>10</v>
      </c>
      <c r="AA803" s="3276">
        <v>25</v>
      </c>
      <c r="AB803" s="3267">
        <v>1010</v>
      </c>
      <c r="AC803" s="3267" t="s">
        <v>2980</v>
      </c>
      <c r="AD803" s="3280" t="s">
        <v>8625</v>
      </c>
      <c r="AE803" s="3279" t="s">
        <v>3304</v>
      </c>
      <c r="AF803" s="3268" t="s">
        <v>2966</v>
      </c>
      <c r="AG803" s="3279" t="s">
        <v>2967</v>
      </c>
      <c r="AH803" s="3267"/>
      <c r="AI803" s="3267" t="s">
        <v>3295</v>
      </c>
      <c r="AJ803" s="3284"/>
      <c r="AK803" s="3278" t="s">
        <v>3148</v>
      </c>
      <c r="AL803" s="3276">
        <v>37</v>
      </c>
      <c r="AM803" s="3276"/>
      <c r="AN803" s="3267" t="s">
        <v>3114</v>
      </c>
      <c r="AO803" s="3267"/>
      <c r="AP803" s="3279" t="s">
        <v>3537</v>
      </c>
      <c r="AQ803" s="3267" t="s">
        <v>3113</v>
      </c>
      <c r="AR803" s="3276"/>
      <c r="AS803" s="3276"/>
      <c r="AT803" s="3276"/>
      <c r="AU803" s="3276"/>
      <c r="AV803" s="3276"/>
      <c r="AW803" s="3276" t="s">
        <v>2997</v>
      </c>
      <c r="AX803" s="3276"/>
      <c r="AY803" s="3291"/>
      <c r="AZ803" s="3267" t="s">
        <v>8624</v>
      </c>
      <c r="BA803" s="3296"/>
      <c r="BB803" s="3297"/>
      <c r="BC803" s="3296"/>
      <c r="BD803" s="3298"/>
      <c r="BE803" s="3276">
        <v>13501078987</v>
      </c>
      <c r="BF803" s="3281"/>
      <c r="BG803" s="3293">
        <v>38975</v>
      </c>
      <c r="BH803" s="3267"/>
      <c r="BI803" s="3276" t="s">
        <v>3537</v>
      </c>
      <c r="BJ803" s="3283">
        <v>38986</v>
      </c>
      <c r="BK803" s="3283"/>
      <c r="BL803" s="3267" t="s">
        <v>2998</v>
      </c>
      <c r="BM803" s="3276" t="s">
        <v>2879</v>
      </c>
      <c r="BN803" s="3267" t="s">
        <v>2999</v>
      </c>
      <c r="BO803" s="3276" t="s">
        <v>3146</v>
      </c>
      <c r="BP803" s="3276"/>
      <c r="BQ803" s="3276" t="e">
        <v>#DIV/0!</v>
      </c>
      <c r="BR803" s="3276" t="e">
        <v>#DIV/0!</v>
      </c>
      <c r="BS803" s="3285"/>
      <c r="BT803" s="3285"/>
      <c r="BU803" s="3285"/>
    </row>
    <row r="804" spans="1:16384" hidden="1">
      <c r="A804" s="3267" t="s">
        <v>8626</v>
      </c>
      <c r="B804" s="3267" t="s">
        <v>8627</v>
      </c>
      <c r="C804" s="3269" t="s">
        <v>8628</v>
      </c>
      <c r="D804" s="3269" t="s">
        <v>8629</v>
      </c>
      <c r="E804" s="3268" t="s">
        <v>2985</v>
      </c>
      <c r="F804" s="3268" t="s">
        <v>6517</v>
      </c>
      <c r="G804" s="3267"/>
      <c r="H804" s="3267" t="s">
        <v>3244</v>
      </c>
      <c r="I804" s="3268" t="s">
        <v>3586</v>
      </c>
      <c r="J804" s="3267" t="s">
        <v>3778</v>
      </c>
      <c r="K804" s="3267" t="s">
        <v>8627</v>
      </c>
      <c r="L804" s="3267">
        <v>91.08</v>
      </c>
      <c r="M804" s="3267">
        <v>9</v>
      </c>
      <c r="N804" s="3267" t="s">
        <v>3122</v>
      </c>
      <c r="O804" s="3267">
        <v>76.489999999999995</v>
      </c>
      <c r="P804" s="3267" t="s">
        <v>2963</v>
      </c>
      <c r="Q804" s="3271">
        <v>500000</v>
      </c>
      <c r="R804" s="3267">
        <v>5490</v>
      </c>
      <c r="S804" s="3272">
        <v>60.02</v>
      </c>
      <c r="T804" s="3273">
        <v>600200</v>
      </c>
      <c r="U804" s="3267">
        <v>6590</v>
      </c>
      <c r="V804" s="3289">
        <v>0.3</v>
      </c>
      <c r="W804" s="3272">
        <v>42.01</v>
      </c>
      <c r="X804" s="3275">
        <v>420100</v>
      </c>
      <c r="Y804" s="3276">
        <v>2006</v>
      </c>
      <c r="Z804" s="3276">
        <v>10</v>
      </c>
      <c r="AA804" s="3276">
        <v>26</v>
      </c>
      <c r="AB804" s="3267">
        <v>1500</v>
      </c>
      <c r="AC804" s="3267" t="s">
        <v>2980</v>
      </c>
      <c r="AD804" s="3280" t="s">
        <v>8630</v>
      </c>
      <c r="AE804" s="3279" t="s">
        <v>3344</v>
      </c>
      <c r="AF804" s="3268" t="s">
        <v>2966</v>
      </c>
      <c r="AG804" s="3279" t="s">
        <v>2967</v>
      </c>
      <c r="AH804" s="3267"/>
      <c r="AI804" s="3279" t="s">
        <v>2992</v>
      </c>
      <c r="AJ804" s="3284"/>
      <c r="AK804" s="3278" t="s">
        <v>3148</v>
      </c>
      <c r="AL804" s="3276">
        <v>57</v>
      </c>
      <c r="AM804" s="3267" t="s">
        <v>8631</v>
      </c>
      <c r="AN804" s="3279" t="s">
        <v>3114</v>
      </c>
      <c r="AO804" s="3267"/>
      <c r="AP804" s="3279" t="s">
        <v>3305</v>
      </c>
      <c r="AQ804" s="3267" t="s">
        <v>3228</v>
      </c>
      <c r="AR804" s="3276"/>
      <c r="AS804" s="3276"/>
      <c r="AT804" s="3276"/>
      <c r="AU804" s="3276"/>
      <c r="AV804" s="3276"/>
      <c r="AW804" s="3276" t="s">
        <v>2997</v>
      </c>
      <c r="AX804" s="3276"/>
      <c r="AY804" s="3291"/>
      <c r="AZ804" s="3267" t="s">
        <v>8632</v>
      </c>
      <c r="BA804" s="3296"/>
      <c r="BB804" s="3297"/>
      <c r="BC804" s="3296"/>
      <c r="BD804" s="3298"/>
      <c r="BE804" s="3276">
        <v>13011143891</v>
      </c>
      <c r="BF804" s="3281"/>
      <c r="BG804" s="3293">
        <v>38976</v>
      </c>
      <c r="BH804" s="3267" t="s">
        <v>2998</v>
      </c>
      <c r="BI804" s="3314" t="s">
        <v>3305</v>
      </c>
      <c r="BJ804" s="3283">
        <v>38986</v>
      </c>
      <c r="BK804" s="3283"/>
      <c r="BL804" s="3267" t="s">
        <v>3249</v>
      </c>
      <c r="BM804" s="3276" t="s">
        <v>2879</v>
      </c>
      <c r="BN804" s="3276" t="s">
        <v>3111</v>
      </c>
      <c r="BO804" s="3276" t="s">
        <v>3146</v>
      </c>
      <c r="BP804" s="3276"/>
      <c r="BQ804" s="3276">
        <v>7847</v>
      </c>
      <c r="BR804" s="3276">
        <v>6537</v>
      </c>
      <c r="BS804" s="3285"/>
      <c r="BT804" s="3285"/>
      <c r="BU804" s="3285"/>
    </row>
    <row r="805" spans="1:16384" hidden="1">
      <c r="A805" s="3267" t="s">
        <v>8633</v>
      </c>
      <c r="B805" s="3267" t="s">
        <v>8634</v>
      </c>
      <c r="C805" s="3269" t="s">
        <v>8635</v>
      </c>
      <c r="D805" s="3269" t="s">
        <v>8636</v>
      </c>
      <c r="E805" s="3268" t="s">
        <v>2985</v>
      </c>
      <c r="F805" s="3268" t="s">
        <v>3884</v>
      </c>
      <c r="G805" s="3267"/>
      <c r="H805" s="3267" t="s">
        <v>3127</v>
      </c>
      <c r="I805" s="3268" t="s">
        <v>3642</v>
      </c>
      <c r="J805" s="3267" t="s">
        <v>7186</v>
      </c>
      <c r="K805" s="3267" t="s">
        <v>8634</v>
      </c>
      <c r="L805" s="3267">
        <v>111.82</v>
      </c>
      <c r="M805" s="3267">
        <v>3</v>
      </c>
      <c r="N805" s="3267" t="s">
        <v>3395</v>
      </c>
      <c r="O805" s="3267">
        <v>87.71</v>
      </c>
      <c r="P805" s="3267" t="s">
        <v>2963</v>
      </c>
      <c r="Q805" s="3271">
        <v>880000</v>
      </c>
      <c r="R805" s="3288">
        <v>7870</v>
      </c>
      <c r="S805" s="3272">
        <v>79.75</v>
      </c>
      <c r="T805" s="3273">
        <v>797500</v>
      </c>
      <c r="U805" s="3267">
        <v>7132</v>
      </c>
      <c r="V805" s="3289">
        <v>0.3</v>
      </c>
      <c r="W805" s="3272">
        <v>55.82</v>
      </c>
      <c r="X805" s="3273">
        <v>558200</v>
      </c>
      <c r="Y805" s="3267">
        <v>2006</v>
      </c>
      <c r="Z805" s="3276">
        <v>10</v>
      </c>
      <c r="AA805" s="3276">
        <v>19</v>
      </c>
      <c r="AB805" s="3267">
        <v>1500</v>
      </c>
      <c r="AC805" s="3267" t="s">
        <v>2980</v>
      </c>
      <c r="AD805" s="3280" t="s">
        <v>8637</v>
      </c>
      <c r="AE805" s="3279" t="s">
        <v>3344</v>
      </c>
      <c r="AF805" s="3268" t="s">
        <v>2966</v>
      </c>
      <c r="AG805" s="3279" t="s">
        <v>2967</v>
      </c>
      <c r="AH805" s="3267"/>
      <c r="AI805" s="3279" t="s">
        <v>2992</v>
      </c>
      <c r="AJ805" s="3284"/>
      <c r="AK805" s="3316" t="s">
        <v>3148</v>
      </c>
      <c r="AL805" s="3276">
        <v>59</v>
      </c>
      <c r="AM805" s="3267" t="s">
        <v>8638</v>
      </c>
      <c r="AN805" s="3276" t="s">
        <v>3140</v>
      </c>
      <c r="AO805" s="3267"/>
      <c r="AP805" s="3276" t="s">
        <v>3305</v>
      </c>
      <c r="AQ805" s="3267" t="s">
        <v>3228</v>
      </c>
      <c r="AR805" s="3276"/>
      <c r="AS805" s="3276"/>
      <c r="AT805" s="3276"/>
      <c r="AU805" s="3276"/>
      <c r="AV805" s="3276"/>
      <c r="AW805" s="3276" t="s">
        <v>2997</v>
      </c>
      <c r="AX805" s="3276"/>
      <c r="AY805" s="3291"/>
      <c r="AZ805" s="3267" t="s">
        <v>8639</v>
      </c>
      <c r="BA805" s="3296"/>
      <c r="BB805" s="3297"/>
      <c r="BC805" s="3296"/>
      <c r="BD805" s="3298"/>
      <c r="BE805" s="3276"/>
      <c r="BF805" s="3281"/>
      <c r="BG805" s="3293">
        <v>38981</v>
      </c>
      <c r="BH805" s="3267" t="s">
        <v>2998</v>
      </c>
      <c r="BI805" s="3276" t="s">
        <v>3305</v>
      </c>
      <c r="BJ805" s="3283">
        <v>38986</v>
      </c>
      <c r="BK805" s="3283"/>
      <c r="BL805" s="3267" t="s">
        <v>3249</v>
      </c>
      <c r="BM805" s="3276" t="s">
        <v>2879</v>
      </c>
      <c r="BN805" s="3276" t="s">
        <v>2999</v>
      </c>
      <c r="BO805" s="3276" t="s">
        <v>3146</v>
      </c>
      <c r="BP805" s="3276"/>
      <c r="BQ805" s="3276">
        <v>9092</v>
      </c>
      <c r="BR805" s="3276">
        <v>10033</v>
      </c>
      <c r="BS805" s="3285"/>
      <c r="BT805" s="3285"/>
      <c r="BU805" s="3285"/>
    </row>
    <row r="806" spans="1:16384" hidden="1">
      <c r="A806" s="3267" t="s">
        <v>8640</v>
      </c>
      <c r="B806" s="3267" t="s">
        <v>8641</v>
      </c>
      <c r="C806" s="3269" t="s">
        <v>8642</v>
      </c>
      <c r="D806" s="3269" t="s">
        <v>8643</v>
      </c>
      <c r="E806" s="3268" t="s">
        <v>2985</v>
      </c>
      <c r="F806" s="3268" t="s">
        <v>3884</v>
      </c>
      <c r="G806" s="3267"/>
      <c r="H806" s="3267" t="s">
        <v>3139</v>
      </c>
      <c r="I806" s="3268"/>
      <c r="J806" s="3267" t="s">
        <v>8644</v>
      </c>
      <c r="K806" s="3267" t="s">
        <v>8641</v>
      </c>
      <c r="L806" s="3267">
        <v>127.23</v>
      </c>
      <c r="M806" s="3267">
        <v>20</v>
      </c>
      <c r="N806" s="3267" t="s">
        <v>3116</v>
      </c>
      <c r="O806" s="3267">
        <v>107.7</v>
      </c>
      <c r="P806" s="3267" t="s">
        <v>2963</v>
      </c>
      <c r="Q806" s="3271">
        <v>780000</v>
      </c>
      <c r="R806" s="3267">
        <v>6131</v>
      </c>
      <c r="S806" s="3272">
        <v>91.59</v>
      </c>
      <c r="T806" s="3273">
        <v>915900</v>
      </c>
      <c r="U806" s="3267">
        <v>7199</v>
      </c>
      <c r="V806" s="3289">
        <v>0.3</v>
      </c>
      <c r="W806" s="3272">
        <v>64.11</v>
      </c>
      <c r="X806" s="3275">
        <v>641100</v>
      </c>
      <c r="Y806" s="3267">
        <v>2006</v>
      </c>
      <c r="Z806" s="3276">
        <v>11</v>
      </c>
      <c r="AA806" s="3276">
        <v>3</v>
      </c>
      <c r="AB806" s="3267">
        <v>1500</v>
      </c>
      <c r="AC806" s="3267" t="s">
        <v>2980</v>
      </c>
      <c r="AD806" s="3269" t="s">
        <v>8645</v>
      </c>
      <c r="AE806" s="3279" t="s">
        <v>3344</v>
      </c>
      <c r="AF806" s="3268" t="s">
        <v>2966</v>
      </c>
      <c r="AG806" s="3279" t="s">
        <v>2967</v>
      </c>
      <c r="AH806" s="3267"/>
      <c r="AI806" s="3279" t="s">
        <v>2992</v>
      </c>
      <c r="AJ806" s="3284"/>
      <c r="AK806" s="3278" t="s">
        <v>3137</v>
      </c>
      <c r="AL806" s="3276">
        <v>55</v>
      </c>
      <c r="AM806" s="3267" t="s">
        <v>8646</v>
      </c>
      <c r="AN806" s="3279" t="s">
        <v>3131</v>
      </c>
      <c r="AO806" s="3267"/>
      <c r="AP806" s="3279" t="s">
        <v>4230</v>
      </c>
      <c r="AQ806" s="3267" t="s">
        <v>3228</v>
      </c>
      <c r="AR806" s="3276"/>
      <c r="AS806" s="3276"/>
      <c r="AT806" s="3276"/>
      <c r="AU806" s="3276"/>
      <c r="AV806" s="3276"/>
      <c r="AW806" s="3276" t="s">
        <v>2997</v>
      </c>
      <c r="AX806" s="3276"/>
      <c r="AY806" s="3291"/>
      <c r="AZ806" s="3267" t="s">
        <v>8647</v>
      </c>
      <c r="BA806" s="3296"/>
      <c r="BB806" s="3297"/>
      <c r="BC806" s="3296"/>
      <c r="BD806" s="3298"/>
      <c r="BE806" s="3276">
        <v>13911085433</v>
      </c>
      <c r="BF806" s="3281"/>
      <c r="BG806" s="3293">
        <v>38980</v>
      </c>
      <c r="BH806" s="3354" t="s">
        <v>2998</v>
      </c>
      <c r="BI806" s="3314" t="s">
        <v>4230</v>
      </c>
      <c r="BJ806" s="3283">
        <v>38982</v>
      </c>
      <c r="BK806" s="3283"/>
      <c r="BL806" s="3267" t="s">
        <v>3249</v>
      </c>
      <c r="BM806" s="3276" t="s">
        <v>2879</v>
      </c>
      <c r="BN806" s="3276" t="s">
        <v>2999</v>
      </c>
      <c r="BO806" s="3276" t="s">
        <v>3146</v>
      </c>
      <c r="BP806" s="3276"/>
      <c r="BQ806" s="3276">
        <v>8504</v>
      </c>
      <c r="BR806" s="3276">
        <v>7242</v>
      </c>
      <c r="BS806" s="3285"/>
      <c r="BT806" s="3285"/>
      <c r="BU806" s="3285"/>
    </row>
    <row r="807" spans="1:16384">
      <c r="A807" s="3267" t="s">
        <v>8648</v>
      </c>
      <c r="B807" s="3267" t="s">
        <v>8649</v>
      </c>
      <c r="C807" s="3269" t="s">
        <v>8650</v>
      </c>
      <c r="D807" s="3269" t="s">
        <v>8651</v>
      </c>
      <c r="E807" s="3268" t="s">
        <v>2985</v>
      </c>
      <c r="F807" s="3783" t="s">
        <v>3350</v>
      </c>
      <c r="G807" s="3267"/>
      <c r="H807" s="3267" t="s">
        <v>8283</v>
      </c>
      <c r="I807" s="3268"/>
      <c r="J807" s="3267" t="s">
        <v>8652</v>
      </c>
      <c r="K807" s="3267" t="s">
        <v>8653</v>
      </c>
      <c r="L807" s="3784">
        <v>66.09</v>
      </c>
      <c r="M807" s="3784">
        <v>20</v>
      </c>
      <c r="N807" s="3784" t="s">
        <v>3152</v>
      </c>
      <c r="O807" s="3267"/>
      <c r="P807" s="3267" t="s">
        <v>2963</v>
      </c>
      <c r="Q807" s="3271">
        <v>530000</v>
      </c>
      <c r="R807" s="3784">
        <v>8019</v>
      </c>
      <c r="S807" s="3272">
        <v>43.81</v>
      </c>
      <c r="T807" s="3273">
        <v>438100</v>
      </c>
      <c r="U807" s="3267">
        <v>6630</v>
      </c>
      <c r="V807" s="3289">
        <v>0.2</v>
      </c>
      <c r="W807" s="3272">
        <v>35.04</v>
      </c>
      <c r="X807" s="3275">
        <v>350400</v>
      </c>
      <c r="Y807" s="3267">
        <v>2006</v>
      </c>
      <c r="Z807" s="3276">
        <v>10</v>
      </c>
      <c r="AA807" s="3276">
        <v>25</v>
      </c>
      <c r="AB807" s="3267">
        <v>1310</v>
      </c>
      <c r="AC807" s="3267" t="s">
        <v>2980</v>
      </c>
      <c r="AD807" s="3269" t="s">
        <v>8654</v>
      </c>
      <c r="AE807" s="3279" t="s">
        <v>3344</v>
      </c>
      <c r="AF807" s="3268" t="s">
        <v>2966</v>
      </c>
      <c r="AG807" s="3279" t="s">
        <v>2967</v>
      </c>
      <c r="AH807" s="3267"/>
      <c r="AI807" s="3279" t="s">
        <v>2992</v>
      </c>
      <c r="AJ807" s="3284"/>
      <c r="AK807" s="3278" t="s">
        <v>3148</v>
      </c>
      <c r="AL807" s="3276">
        <v>52</v>
      </c>
      <c r="AM807" s="3267"/>
      <c r="AN807" s="3279" t="s">
        <v>3099</v>
      </c>
      <c r="AO807" s="3267"/>
      <c r="AP807" s="3279" t="s">
        <v>4230</v>
      </c>
      <c r="AQ807" s="3267" t="s">
        <v>3228</v>
      </c>
      <c r="AR807" s="3276"/>
      <c r="AS807" s="3276"/>
      <c r="AT807" s="3276"/>
      <c r="AU807" s="3276"/>
      <c r="AV807" s="3276"/>
      <c r="AW807" s="3276" t="s">
        <v>2997</v>
      </c>
      <c r="AX807" s="3276"/>
      <c r="AY807" s="3291"/>
      <c r="AZ807" s="3267" t="s">
        <v>8653</v>
      </c>
      <c r="BA807" s="3296"/>
      <c r="BB807" s="3297"/>
      <c r="BC807" s="3296"/>
      <c r="BD807" s="3298"/>
      <c r="BE807" s="3276">
        <v>13601229255</v>
      </c>
      <c r="BF807" s="3281"/>
      <c r="BG807" s="3788">
        <v>38943</v>
      </c>
      <c r="BH807" s="3354" t="s">
        <v>2998</v>
      </c>
      <c r="BI807" s="3314" t="s">
        <v>4230</v>
      </c>
      <c r="BJ807" s="3283">
        <v>38987</v>
      </c>
      <c r="BK807" s="3283"/>
      <c r="BL807" s="3784" t="s">
        <v>3249</v>
      </c>
      <c r="BM807" s="3785" t="s">
        <v>2879</v>
      </c>
      <c r="BN807" s="3785" t="s">
        <v>2999</v>
      </c>
      <c r="BO807" s="3785" t="s">
        <v>3146</v>
      </c>
      <c r="BP807" s="3785"/>
      <c r="BQ807" s="3785" t="e">
        <v>#DIV/0!</v>
      </c>
      <c r="BR807" s="3785" t="e">
        <v>#DIV/0!</v>
      </c>
      <c r="BS807" s="3786"/>
      <c r="BT807" s="3786"/>
      <c r="BU807" s="3786"/>
      <c r="BV807" s="3787"/>
      <c r="BW807" s="3787"/>
      <c r="BX807" s="3787"/>
      <c r="BY807" s="3787"/>
      <c r="BZ807" s="3787"/>
      <c r="CA807" s="3787"/>
      <c r="CB807" s="3787"/>
      <c r="CC807" s="3787"/>
      <c r="CD807" s="3787"/>
      <c r="CE807" s="3787"/>
      <c r="CF807" s="3787"/>
      <c r="CG807" s="3787"/>
      <c r="CH807" s="3787"/>
      <c r="CI807" s="3787"/>
      <c r="CJ807" s="3787"/>
      <c r="CK807" s="3787"/>
      <c r="CL807" s="3787"/>
      <c r="CM807" s="3787"/>
      <c r="CN807" s="3787"/>
      <c r="CO807" s="3787"/>
      <c r="CP807" s="3787"/>
      <c r="CQ807" s="3787"/>
      <c r="CR807" s="3787"/>
      <c r="CS807" s="3787"/>
      <c r="CT807" s="3787"/>
      <c r="CU807" s="3787"/>
      <c r="CV807" s="3787"/>
      <c r="CW807" s="3787"/>
      <c r="CX807" s="3787"/>
      <c r="CY807" s="3787"/>
      <c r="CZ807" s="3787"/>
      <c r="DA807" s="3787"/>
      <c r="DB807" s="3787"/>
      <c r="DC807" s="3787"/>
      <c r="DD807" s="3787"/>
      <c r="DE807" s="3787"/>
      <c r="DF807" s="3787"/>
      <c r="DG807" s="3787"/>
      <c r="DH807" s="3787"/>
      <c r="DI807" s="3787"/>
      <c r="DJ807" s="3787"/>
      <c r="DK807" s="3787"/>
      <c r="DL807" s="3787"/>
      <c r="DM807" s="3787"/>
      <c r="DN807" s="3787"/>
      <c r="DO807" s="3787"/>
      <c r="DP807" s="3787"/>
      <c r="DQ807" s="3787"/>
      <c r="DR807" s="3787"/>
      <c r="DS807" s="3787"/>
      <c r="DT807" s="3787"/>
      <c r="DU807" s="3787"/>
      <c r="DV807" s="3787"/>
      <c r="DW807" s="3787"/>
      <c r="DX807" s="3787"/>
      <c r="DY807" s="3787"/>
      <c r="DZ807" s="3787"/>
      <c r="EA807" s="3787"/>
      <c r="EB807" s="3787"/>
      <c r="EC807" s="3787"/>
      <c r="ED807" s="3787"/>
      <c r="EE807" s="3787"/>
      <c r="EF807" s="3787"/>
      <c r="EG807" s="3787"/>
      <c r="EH807" s="3787"/>
      <c r="EI807" s="3787"/>
      <c r="EJ807" s="3787"/>
      <c r="EK807" s="3787"/>
      <c r="EL807" s="3787"/>
      <c r="EM807" s="3787"/>
      <c r="EN807" s="3787"/>
      <c r="EO807" s="3787"/>
      <c r="EP807" s="3787"/>
      <c r="EQ807" s="3787"/>
      <c r="ER807" s="3787"/>
      <c r="ES807" s="3787"/>
      <c r="ET807" s="3787"/>
      <c r="EU807" s="3787"/>
      <c r="EV807" s="3787"/>
      <c r="EW807" s="3787"/>
      <c r="EX807" s="3787"/>
      <c r="EY807" s="3787"/>
      <c r="EZ807" s="3787"/>
      <c r="FA807" s="3787"/>
      <c r="FB807" s="3787"/>
      <c r="FC807" s="3787"/>
      <c r="FD807" s="3787"/>
      <c r="FE807" s="3787"/>
      <c r="FF807" s="3787"/>
      <c r="FG807" s="3787"/>
      <c r="FH807" s="3787"/>
      <c r="FI807" s="3787"/>
      <c r="FJ807" s="3787"/>
      <c r="FK807" s="3787"/>
      <c r="FL807" s="3787"/>
      <c r="FM807" s="3787"/>
      <c r="FN807" s="3787"/>
      <c r="FO807" s="3787"/>
      <c r="FP807" s="3787"/>
      <c r="FQ807" s="3787"/>
      <c r="FR807" s="3787"/>
      <c r="FS807" s="3787"/>
      <c r="FT807" s="3787"/>
      <c r="FU807" s="3787"/>
      <c r="FV807" s="3787"/>
      <c r="FW807" s="3787"/>
      <c r="FX807" s="3787"/>
      <c r="FY807" s="3787"/>
      <c r="FZ807" s="3787"/>
      <c r="GA807" s="3787"/>
      <c r="GB807" s="3787"/>
      <c r="GC807" s="3787"/>
      <c r="GD807" s="3787"/>
      <c r="GE807" s="3787"/>
      <c r="GF807" s="3787"/>
      <c r="GG807" s="3787"/>
      <c r="GH807" s="3787"/>
      <c r="GI807" s="3787"/>
      <c r="GJ807" s="3787"/>
      <c r="GK807" s="3787"/>
      <c r="GL807" s="3787"/>
      <c r="GM807" s="3787"/>
      <c r="GN807" s="3787"/>
      <c r="GO807" s="3787"/>
      <c r="GP807" s="3787"/>
      <c r="GQ807" s="3787"/>
      <c r="GR807" s="3787"/>
      <c r="GS807" s="3787"/>
      <c r="GT807" s="3787"/>
      <c r="GU807" s="3787"/>
      <c r="GV807" s="3787"/>
      <c r="GW807" s="3787"/>
      <c r="GX807" s="3787"/>
      <c r="GY807" s="3787"/>
      <c r="GZ807" s="3787"/>
      <c r="HA807" s="3787"/>
      <c r="HB807" s="3787"/>
      <c r="HC807" s="3787"/>
      <c r="HD807" s="3787"/>
      <c r="HE807" s="3787"/>
      <c r="HF807" s="3787"/>
      <c r="HG807" s="3787"/>
      <c r="HH807" s="3787"/>
      <c r="HI807" s="3787"/>
      <c r="HJ807" s="3787"/>
      <c r="HK807" s="3787"/>
      <c r="HL807" s="3787"/>
      <c r="HM807" s="3787"/>
      <c r="HN807" s="3787"/>
      <c r="HO807" s="3787"/>
      <c r="HP807" s="3787"/>
      <c r="HQ807" s="3787"/>
      <c r="HR807" s="3787"/>
      <c r="HS807" s="3787"/>
      <c r="HT807" s="3787"/>
      <c r="HU807" s="3787"/>
      <c r="HV807" s="3787"/>
      <c r="HW807" s="3787"/>
      <c r="HX807" s="3787"/>
      <c r="HY807" s="3787"/>
      <c r="HZ807" s="3787"/>
      <c r="IA807" s="3787"/>
      <c r="IB807" s="3787"/>
      <c r="IC807" s="3787"/>
      <c r="ID807" s="3787"/>
      <c r="IE807" s="3787"/>
      <c r="IF807" s="3787"/>
      <c r="IG807" s="3787"/>
      <c r="IH807" s="3787"/>
      <c r="II807" s="3787"/>
      <c r="IJ807" s="3787"/>
      <c r="IK807" s="3787"/>
      <c r="IL807" s="3787"/>
      <c r="IM807" s="3787"/>
      <c r="IN807" s="3787"/>
      <c r="IO807" s="3787"/>
      <c r="IP807" s="3787"/>
      <c r="IQ807" s="3787"/>
      <c r="IR807" s="3787"/>
      <c r="IS807" s="3787"/>
      <c r="IT807" s="3787"/>
      <c r="IU807" s="3787"/>
      <c r="IV807" s="3787"/>
      <c r="IW807" s="3787"/>
      <c r="JB807" s="3787"/>
      <c r="JH807" s="3787"/>
      <c r="JI807" s="3787"/>
      <c r="JJ807" s="3787"/>
      <c r="JN807" s="3787"/>
      <c r="JU807" s="3787"/>
      <c r="JV807" s="3787"/>
      <c r="JW807" s="3787"/>
      <c r="JX807" s="3787"/>
      <c r="JY807" s="3787"/>
      <c r="JZ807" s="3787"/>
      <c r="KA807" s="3787"/>
      <c r="KB807" s="3787"/>
      <c r="KC807" s="3787"/>
      <c r="KD807" s="3787"/>
      <c r="KE807" s="3787"/>
      <c r="KF807" s="3787"/>
      <c r="KG807" s="3787"/>
      <c r="KH807" s="3787"/>
      <c r="KI807" s="3787"/>
      <c r="KJ807" s="3787"/>
      <c r="KK807" s="3787"/>
      <c r="KL807" s="3787"/>
      <c r="KM807" s="3787"/>
      <c r="KN807" s="3787"/>
      <c r="KO807" s="3787"/>
      <c r="KP807" s="3787"/>
      <c r="KQ807" s="3787"/>
      <c r="KR807" s="3787"/>
      <c r="KS807" s="3787"/>
      <c r="KT807" s="3787"/>
      <c r="KU807" s="3787"/>
      <c r="KV807" s="3787"/>
      <c r="KW807" s="3787"/>
      <c r="KX807" s="3787"/>
      <c r="KY807" s="3787"/>
      <c r="KZ807" s="3787"/>
      <c r="LA807" s="3787"/>
      <c r="LB807" s="3787"/>
      <c r="LC807" s="3787"/>
      <c r="LD807" s="3787"/>
      <c r="LE807" s="3787"/>
      <c r="LF807" s="3787"/>
      <c r="LG807" s="3787"/>
      <c r="LH807" s="3787"/>
      <c r="LI807" s="3787"/>
      <c r="LJ807" s="3787"/>
      <c r="LK807" s="3787"/>
      <c r="LL807" s="3787"/>
      <c r="LM807" s="3787"/>
      <c r="LN807" s="3787"/>
      <c r="LO807" s="3787"/>
      <c r="LP807" s="3787"/>
      <c r="LQ807" s="3787"/>
      <c r="LR807" s="3787"/>
      <c r="LS807" s="3787"/>
      <c r="LT807" s="3787"/>
      <c r="LU807" s="3787"/>
      <c r="LV807" s="3787"/>
      <c r="LW807" s="3787"/>
      <c r="LX807" s="3787"/>
      <c r="LY807" s="3787"/>
      <c r="LZ807" s="3787"/>
      <c r="MA807" s="3787"/>
      <c r="MB807" s="3787"/>
      <c r="MC807" s="3787"/>
      <c r="MD807" s="3787"/>
      <c r="ME807" s="3787"/>
      <c r="MF807" s="3787"/>
      <c r="MG807" s="3787"/>
      <c r="MH807" s="3787"/>
      <c r="MI807" s="3787"/>
      <c r="MJ807" s="3787"/>
      <c r="MK807" s="3787"/>
      <c r="ML807" s="3787"/>
      <c r="MM807" s="3787"/>
      <c r="MN807" s="3787"/>
      <c r="MO807" s="3787"/>
      <c r="MP807" s="3787"/>
      <c r="MQ807" s="3787"/>
      <c r="MR807" s="3787"/>
      <c r="MS807" s="3787"/>
      <c r="MT807" s="3787"/>
      <c r="MU807" s="3787"/>
      <c r="MV807" s="3787"/>
      <c r="MW807" s="3787"/>
      <c r="MX807" s="3787"/>
      <c r="MY807" s="3787"/>
      <c r="MZ807" s="3787"/>
      <c r="NA807" s="3787"/>
      <c r="NB807" s="3787"/>
      <c r="NC807" s="3787"/>
      <c r="ND807" s="3787"/>
      <c r="NE807" s="3787"/>
      <c r="NF807" s="3787"/>
      <c r="NG807" s="3787"/>
      <c r="NH807" s="3787"/>
      <c r="NI807" s="3787"/>
      <c r="NJ807" s="3787"/>
      <c r="NK807" s="3787"/>
      <c r="NL807" s="3787"/>
      <c r="NM807" s="3787"/>
      <c r="NN807" s="3787"/>
      <c r="NO807" s="3787"/>
      <c r="NP807" s="3787"/>
      <c r="NQ807" s="3787"/>
      <c r="NR807" s="3787"/>
      <c r="NS807" s="3787"/>
      <c r="NT807" s="3787"/>
      <c r="NU807" s="3787"/>
      <c r="NV807" s="3787"/>
      <c r="NW807" s="3787"/>
      <c r="NX807" s="3787"/>
      <c r="NY807" s="3787"/>
      <c r="NZ807" s="3787"/>
      <c r="OA807" s="3787"/>
      <c r="OB807" s="3787"/>
      <c r="OC807" s="3787"/>
      <c r="OD807" s="3787"/>
      <c r="OE807" s="3787"/>
      <c r="OF807" s="3787"/>
      <c r="OG807" s="3787"/>
      <c r="OH807" s="3787"/>
      <c r="OI807" s="3787"/>
      <c r="OJ807" s="3787"/>
      <c r="OK807" s="3787"/>
      <c r="OL807" s="3787"/>
      <c r="OM807" s="3787"/>
      <c r="ON807" s="3787"/>
      <c r="OO807" s="3787"/>
      <c r="OP807" s="3787"/>
      <c r="OQ807" s="3787"/>
      <c r="OR807" s="3787"/>
      <c r="OS807" s="3787"/>
      <c r="OT807" s="3787"/>
      <c r="OU807" s="3787"/>
      <c r="OV807" s="3787"/>
      <c r="OW807" s="3787"/>
      <c r="OX807" s="3787"/>
      <c r="OY807" s="3787"/>
      <c r="OZ807" s="3787"/>
      <c r="PA807" s="3787"/>
      <c r="PB807" s="3787"/>
      <c r="PC807" s="3787"/>
      <c r="PD807" s="3787"/>
      <c r="PE807" s="3787"/>
      <c r="PF807" s="3787"/>
      <c r="PG807" s="3787"/>
      <c r="PH807" s="3787"/>
      <c r="PI807" s="3787"/>
      <c r="PJ807" s="3787"/>
      <c r="PK807" s="3787"/>
      <c r="PL807" s="3787"/>
      <c r="PM807" s="3787"/>
      <c r="PN807" s="3787"/>
      <c r="PO807" s="3787"/>
      <c r="PP807" s="3787"/>
      <c r="PQ807" s="3787"/>
      <c r="PR807" s="3787"/>
      <c r="PS807" s="3787"/>
      <c r="PT807" s="3787"/>
      <c r="PU807" s="3787"/>
      <c r="PV807" s="3787"/>
      <c r="PW807" s="3787"/>
      <c r="PX807" s="3787"/>
      <c r="PY807" s="3787"/>
      <c r="PZ807" s="3787"/>
      <c r="QA807" s="3787"/>
      <c r="QB807" s="3787"/>
      <c r="QC807" s="3787"/>
      <c r="QD807" s="3787"/>
      <c r="QE807" s="3787"/>
      <c r="QF807" s="3787"/>
      <c r="QG807" s="3787"/>
      <c r="QH807" s="3787"/>
      <c r="QI807" s="3787"/>
      <c r="QJ807" s="3787"/>
      <c r="QK807" s="3787"/>
      <c r="QL807" s="3787"/>
      <c r="QM807" s="3787"/>
      <c r="QN807" s="3787"/>
      <c r="QO807" s="3787"/>
      <c r="QP807" s="3787"/>
      <c r="QQ807" s="3787"/>
      <c r="QR807" s="3787"/>
      <c r="QS807" s="3787"/>
      <c r="QT807" s="3787"/>
      <c r="QU807" s="3787"/>
      <c r="QV807" s="3787"/>
      <c r="QW807" s="3787"/>
      <c r="QX807" s="3787"/>
      <c r="QY807" s="3787"/>
      <c r="QZ807" s="3787"/>
      <c r="RA807" s="3787"/>
      <c r="RB807" s="3787"/>
      <c r="RC807" s="3787"/>
      <c r="RD807" s="3787"/>
      <c r="RE807" s="3787"/>
      <c r="RF807" s="3787"/>
      <c r="RG807" s="3787"/>
      <c r="RH807" s="3787"/>
      <c r="RI807" s="3787"/>
      <c r="RJ807" s="3787"/>
      <c r="RK807" s="3787"/>
      <c r="RL807" s="3787"/>
      <c r="RM807" s="3787"/>
      <c r="RN807" s="3787"/>
      <c r="RO807" s="3787"/>
      <c r="RP807" s="3787"/>
      <c r="RQ807" s="3787"/>
      <c r="RR807" s="3787"/>
      <c r="RS807" s="3787"/>
      <c r="RT807" s="3787"/>
      <c r="RU807" s="3787"/>
      <c r="RV807" s="3787"/>
      <c r="RW807" s="3787"/>
      <c r="RX807" s="3787"/>
      <c r="RY807" s="3787"/>
      <c r="RZ807" s="3787"/>
      <c r="SA807" s="3787"/>
      <c r="SB807" s="3787"/>
      <c r="SC807" s="3787"/>
      <c r="SD807" s="3787"/>
      <c r="SE807" s="3787"/>
      <c r="SF807" s="3787"/>
      <c r="SG807" s="3787"/>
      <c r="SH807" s="3787"/>
      <c r="SI807" s="3787"/>
      <c r="SJ807" s="3787"/>
      <c r="SK807" s="3787"/>
      <c r="SL807" s="3787"/>
      <c r="SM807" s="3787"/>
      <c r="SN807" s="3787"/>
      <c r="SO807" s="3787"/>
      <c r="SP807" s="3787"/>
      <c r="SQ807" s="3787"/>
      <c r="SR807" s="3787"/>
      <c r="SS807" s="3787"/>
      <c r="SX807" s="3787"/>
      <c r="TD807" s="3787"/>
      <c r="TE807" s="3787"/>
      <c r="TF807" s="3787"/>
      <c r="TJ807" s="3787"/>
      <c r="TQ807" s="3787"/>
      <c r="TR807" s="3787"/>
      <c r="TS807" s="3787"/>
      <c r="TT807" s="3787"/>
      <c r="TU807" s="3787"/>
      <c r="TV807" s="3787"/>
      <c r="TW807" s="3787"/>
      <c r="TX807" s="3787"/>
      <c r="TY807" s="3787"/>
      <c r="TZ807" s="3787"/>
      <c r="UA807" s="3787"/>
      <c r="UB807" s="3787"/>
      <c r="UC807" s="3787"/>
      <c r="UD807" s="3787"/>
      <c r="UE807" s="3787"/>
      <c r="UF807" s="3787"/>
      <c r="UG807" s="3787"/>
      <c r="UH807" s="3787"/>
      <c r="UI807" s="3787"/>
      <c r="UJ807" s="3787"/>
      <c r="UK807" s="3787"/>
      <c r="UL807" s="3787"/>
      <c r="UM807" s="3787"/>
      <c r="UN807" s="3787"/>
      <c r="UO807" s="3787"/>
      <c r="UP807" s="3787"/>
      <c r="UQ807" s="3787"/>
      <c r="UR807" s="3787"/>
      <c r="US807" s="3787"/>
      <c r="UT807" s="3787"/>
      <c r="UU807" s="3787"/>
      <c r="UV807" s="3787"/>
      <c r="UW807" s="3787"/>
      <c r="UX807" s="3787"/>
      <c r="UY807" s="3787"/>
      <c r="UZ807" s="3787"/>
      <c r="VA807" s="3787"/>
      <c r="VB807" s="3787"/>
      <c r="VC807" s="3787"/>
      <c r="VD807" s="3787"/>
      <c r="VE807" s="3787"/>
      <c r="VF807" s="3787"/>
      <c r="VG807" s="3787"/>
      <c r="VH807" s="3787"/>
      <c r="VI807" s="3787"/>
      <c r="VJ807" s="3787"/>
      <c r="VK807" s="3787"/>
      <c r="VL807" s="3787"/>
      <c r="VM807" s="3787"/>
      <c r="VN807" s="3787"/>
      <c r="VO807" s="3787"/>
      <c r="VP807" s="3787"/>
      <c r="VQ807" s="3787"/>
      <c r="VR807" s="3787"/>
      <c r="VS807" s="3787"/>
      <c r="VT807" s="3787"/>
      <c r="VU807" s="3787"/>
      <c r="VV807" s="3787"/>
      <c r="VW807" s="3787"/>
      <c r="VX807" s="3787"/>
      <c r="VY807" s="3787"/>
      <c r="VZ807" s="3787"/>
      <c r="WA807" s="3787"/>
      <c r="WB807" s="3787"/>
      <c r="WC807" s="3787"/>
      <c r="WD807" s="3787"/>
      <c r="WE807" s="3787"/>
      <c r="WF807" s="3787"/>
      <c r="WG807" s="3787"/>
      <c r="WH807" s="3787"/>
      <c r="WI807" s="3787"/>
      <c r="WJ807" s="3787"/>
      <c r="WK807" s="3787"/>
      <c r="WL807" s="3787"/>
      <c r="WM807" s="3787"/>
      <c r="WN807" s="3787"/>
      <c r="WO807" s="3787"/>
      <c r="WP807" s="3787"/>
      <c r="WQ807" s="3787"/>
      <c r="WR807" s="3787"/>
      <c r="WS807" s="3787"/>
      <c r="WT807" s="3787"/>
      <c r="WU807" s="3787"/>
      <c r="WV807" s="3787"/>
      <c r="WW807" s="3787"/>
      <c r="WX807" s="3787"/>
      <c r="WY807" s="3787"/>
      <c r="WZ807" s="3787"/>
      <c r="XA807" s="3787"/>
      <c r="XB807" s="3787"/>
      <c r="XC807" s="3787"/>
      <c r="XD807" s="3787"/>
      <c r="XE807" s="3787"/>
      <c r="XF807" s="3787"/>
      <c r="XG807" s="3787"/>
      <c r="XH807" s="3787"/>
      <c r="XI807" s="3787"/>
      <c r="XJ807" s="3787"/>
      <c r="XK807" s="3787"/>
      <c r="XL807" s="3787"/>
      <c r="XM807" s="3787"/>
      <c r="XN807" s="3787"/>
      <c r="XO807" s="3787"/>
      <c r="XP807" s="3787"/>
      <c r="XQ807" s="3787"/>
      <c r="XR807" s="3787"/>
      <c r="XS807" s="3787"/>
      <c r="XT807" s="3787"/>
      <c r="XU807" s="3787"/>
      <c r="XV807" s="3787"/>
      <c r="XW807" s="3787"/>
      <c r="XX807" s="3787"/>
      <c r="XY807" s="3787"/>
      <c r="XZ807" s="3787"/>
      <c r="YA807" s="3787"/>
      <c r="YB807" s="3787"/>
      <c r="YC807" s="3787"/>
      <c r="YD807" s="3787"/>
      <c r="YE807" s="3787"/>
      <c r="YF807" s="3787"/>
      <c r="YG807" s="3787"/>
      <c r="YH807" s="3787"/>
      <c r="YI807" s="3787"/>
      <c r="YJ807" s="3787"/>
      <c r="YK807" s="3787"/>
      <c r="YL807" s="3787"/>
      <c r="YM807" s="3787"/>
      <c r="YN807" s="3787"/>
      <c r="YO807" s="3787"/>
      <c r="YP807" s="3787"/>
      <c r="YQ807" s="3787"/>
      <c r="YR807" s="3787"/>
      <c r="YS807" s="3787"/>
      <c r="YT807" s="3787"/>
      <c r="YU807" s="3787"/>
      <c r="YV807" s="3787"/>
      <c r="YW807" s="3787"/>
      <c r="YX807" s="3787"/>
      <c r="YY807" s="3787"/>
      <c r="YZ807" s="3787"/>
      <c r="ZA807" s="3787"/>
      <c r="ZB807" s="3787"/>
      <c r="ZC807" s="3787"/>
      <c r="ZD807" s="3787"/>
      <c r="ZE807" s="3787"/>
      <c r="ZF807" s="3787"/>
      <c r="ZG807" s="3787"/>
      <c r="ZH807" s="3787"/>
      <c r="ZI807" s="3787"/>
      <c r="ZJ807" s="3787"/>
      <c r="ZK807" s="3787"/>
      <c r="ZL807" s="3787"/>
      <c r="ZM807" s="3787"/>
      <c r="ZN807" s="3787"/>
      <c r="ZO807" s="3787"/>
      <c r="ZP807" s="3787"/>
      <c r="ZQ807" s="3787"/>
      <c r="ZR807" s="3787"/>
      <c r="ZS807" s="3787"/>
      <c r="ZT807" s="3787"/>
      <c r="ZU807" s="3787"/>
      <c r="ZV807" s="3787"/>
      <c r="ZW807" s="3787"/>
      <c r="ZX807" s="3787"/>
      <c r="ZY807" s="3787"/>
      <c r="ZZ807" s="3787"/>
      <c r="AAA807" s="3787"/>
      <c r="AAB807" s="3787"/>
      <c r="AAC807" s="3787"/>
      <c r="AAD807" s="3787"/>
      <c r="AAE807" s="3787"/>
      <c r="AAF807" s="3787"/>
      <c r="AAG807" s="3787"/>
      <c r="AAH807" s="3787"/>
      <c r="AAI807" s="3787"/>
      <c r="AAJ807" s="3787"/>
      <c r="AAK807" s="3787"/>
      <c r="AAL807" s="3787"/>
      <c r="AAM807" s="3787"/>
      <c r="AAN807" s="3787"/>
      <c r="AAO807" s="3787"/>
      <c r="AAP807" s="3787"/>
      <c r="AAQ807" s="3787"/>
      <c r="AAR807" s="3787"/>
      <c r="AAS807" s="3787"/>
      <c r="AAT807" s="3787"/>
      <c r="AAU807" s="3787"/>
      <c r="AAV807" s="3787"/>
      <c r="AAW807" s="3787"/>
      <c r="AAX807" s="3787"/>
      <c r="AAY807" s="3787"/>
      <c r="AAZ807" s="3787"/>
      <c r="ABA807" s="3787"/>
      <c r="ABB807" s="3787"/>
      <c r="ABC807" s="3787"/>
      <c r="ABD807" s="3787"/>
      <c r="ABE807" s="3787"/>
      <c r="ABF807" s="3787"/>
      <c r="ABG807" s="3787"/>
      <c r="ABH807" s="3787"/>
      <c r="ABI807" s="3787"/>
      <c r="ABJ807" s="3787"/>
      <c r="ABK807" s="3787"/>
      <c r="ABL807" s="3787"/>
      <c r="ABM807" s="3787"/>
      <c r="ABN807" s="3787"/>
      <c r="ABO807" s="3787"/>
      <c r="ABP807" s="3787"/>
      <c r="ABQ807" s="3787"/>
      <c r="ABR807" s="3787"/>
      <c r="ABS807" s="3787"/>
      <c r="ABT807" s="3787"/>
      <c r="ABU807" s="3787"/>
      <c r="ABV807" s="3787"/>
      <c r="ABW807" s="3787"/>
      <c r="ABX807" s="3787"/>
      <c r="ABY807" s="3787"/>
      <c r="ABZ807" s="3787"/>
      <c r="ACA807" s="3787"/>
      <c r="ACB807" s="3787"/>
      <c r="ACC807" s="3787"/>
      <c r="ACD807" s="3787"/>
      <c r="ACE807" s="3787"/>
      <c r="ACF807" s="3787"/>
      <c r="ACG807" s="3787"/>
      <c r="ACH807" s="3787"/>
      <c r="ACI807" s="3787"/>
      <c r="ACJ807" s="3787"/>
      <c r="ACK807" s="3787"/>
      <c r="ACL807" s="3787"/>
      <c r="ACM807" s="3787"/>
      <c r="ACN807" s="3787"/>
      <c r="ACO807" s="3787"/>
      <c r="ACT807" s="3787"/>
      <c r="ACZ807" s="3787"/>
      <c r="ADA807" s="3787"/>
      <c r="ADB807" s="3787"/>
      <c r="ADF807" s="3787"/>
      <c r="ADM807" s="3787"/>
      <c r="ADN807" s="3787"/>
      <c r="ADO807" s="3787"/>
      <c r="ADP807" s="3787"/>
      <c r="ADQ807" s="3787"/>
      <c r="ADR807" s="3787"/>
      <c r="ADS807" s="3787"/>
      <c r="ADT807" s="3787"/>
      <c r="ADU807" s="3787"/>
      <c r="ADV807" s="3787"/>
      <c r="ADW807" s="3787"/>
      <c r="ADX807" s="3787"/>
      <c r="ADY807" s="3787"/>
      <c r="ADZ807" s="3787"/>
      <c r="AEA807" s="3787"/>
      <c r="AEB807" s="3787"/>
      <c r="AEC807" s="3787"/>
      <c r="AED807" s="3787"/>
      <c r="AEE807" s="3787"/>
      <c r="AEF807" s="3787"/>
      <c r="AEG807" s="3787"/>
      <c r="AEH807" s="3787"/>
      <c r="AEI807" s="3787"/>
      <c r="AEJ807" s="3787"/>
      <c r="AEK807" s="3787"/>
      <c r="AEL807" s="3787"/>
      <c r="AEM807" s="3787"/>
      <c r="AEN807" s="3787"/>
      <c r="AEO807" s="3787"/>
      <c r="AEP807" s="3787"/>
      <c r="AEQ807" s="3787"/>
      <c r="AER807" s="3787"/>
      <c r="AES807" s="3787"/>
      <c r="AET807" s="3787"/>
      <c r="AEU807" s="3787"/>
      <c r="AEV807" s="3787"/>
      <c r="AEW807" s="3787"/>
      <c r="AEX807" s="3787"/>
      <c r="AEY807" s="3787"/>
      <c r="AEZ807" s="3787"/>
      <c r="AFA807" s="3787"/>
      <c r="AFB807" s="3787"/>
      <c r="AFC807" s="3787"/>
      <c r="AFD807" s="3787"/>
      <c r="AFE807" s="3787"/>
      <c r="AFF807" s="3787"/>
      <c r="AFG807" s="3787"/>
      <c r="AFH807" s="3787"/>
      <c r="AFI807" s="3787"/>
      <c r="AFJ807" s="3787"/>
      <c r="AFK807" s="3787"/>
      <c r="AFL807" s="3787"/>
      <c r="AFM807" s="3787"/>
      <c r="AFN807" s="3787"/>
      <c r="AFO807" s="3787"/>
      <c r="AFP807" s="3787"/>
      <c r="AFQ807" s="3787"/>
      <c r="AFR807" s="3787"/>
      <c r="AFS807" s="3787"/>
      <c r="AFT807" s="3787"/>
      <c r="AFU807" s="3787"/>
      <c r="AFV807" s="3787"/>
      <c r="AFW807" s="3787"/>
      <c r="AFX807" s="3787"/>
      <c r="AFY807" s="3787"/>
      <c r="AFZ807" s="3787"/>
      <c r="AGA807" s="3787"/>
      <c r="AGB807" s="3787"/>
      <c r="AGC807" s="3787"/>
      <c r="AGD807" s="3787"/>
      <c r="AGE807" s="3787"/>
      <c r="AGF807" s="3787"/>
      <c r="AGG807" s="3787"/>
      <c r="AGH807" s="3787"/>
      <c r="AGI807" s="3787"/>
      <c r="AGJ807" s="3787"/>
      <c r="AGK807" s="3787"/>
      <c r="AGL807" s="3787"/>
      <c r="AGM807" s="3787"/>
      <c r="AGN807" s="3787"/>
      <c r="AGO807" s="3787"/>
      <c r="AGP807" s="3787"/>
      <c r="AGQ807" s="3787"/>
      <c r="AGR807" s="3787"/>
      <c r="AGS807" s="3787"/>
      <c r="AGT807" s="3787"/>
      <c r="AGU807" s="3787"/>
      <c r="AGV807" s="3787"/>
      <c r="AGW807" s="3787"/>
      <c r="AGX807" s="3787"/>
      <c r="AGY807" s="3787"/>
      <c r="AGZ807" s="3787"/>
      <c r="AHA807" s="3787"/>
      <c r="AHB807" s="3787"/>
      <c r="AHC807" s="3787"/>
      <c r="AHD807" s="3787"/>
      <c r="AHE807" s="3787"/>
      <c r="AHF807" s="3787"/>
      <c r="AHG807" s="3787"/>
      <c r="AHH807" s="3787"/>
      <c r="AHI807" s="3787"/>
      <c r="AHJ807" s="3787"/>
      <c r="AHK807" s="3787"/>
      <c r="AHL807" s="3787"/>
      <c r="AHM807" s="3787"/>
      <c r="AHN807" s="3787"/>
      <c r="AHO807" s="3787"/>
      <c r="AHP807" s="3787"/>
      <c r="AHQ807" s="3787"/>
      <c r="AHR807" s="3787"/>
      <c r="AHS807" s="3787"/>
      <c r="AHT807" s="3787"/>
      <c r="AHU807" s="3787"/>
      <c r="AHV807" s="3787"/>
      <c r="AHW807" s="3787"/>
      <c r="AHX807" s="3787"/>
      <c r="AHY807" s="3787"/>
      <c r="AHZ807" s="3787"/>
      <c r="AIA807" s="3787"/>
      <c r="AIB807" s="3787"/>
      <c r="AIC807" s="3787"/>
      <c r="AID807" s="3787"/>
      <c r="AIE807" s="3787"/>
      <c r="AIF807" s="3787"/>
      <c r="AIG807" s="3787"/>
      <c r="AIH807" s="3787"/>
      <c r="AII807" s="3787"/>
      <c r="AIJ807" s="3787"/>
      <c r="AIK807" s="3787"/>
      <c r="AIL807" s="3787"/>
      <c r="AIM807" s="3787"/>
      <c r="AIN807" s="3787"/>
      <c r="AIO807" s="3787"/>
      <c r="AIP807" s="3787"/>
      <c r="AIQ807" s="3787"/>
      <c r="AIR807" s="3787"/>
      <c r="AIS807" s="3787"/>
      <c r="AIT807" s="3787"/>
      <c r="AIU807" s="3787"/>
      <c r="AIV807" s="3787"/>
      <c r="AIW807" s="3787"/>
      <c r="AIX807" s="3787"/>
      <c r="AIY807" s="3787"/>
      <c r="AIZ807" s="3787"/>
      <c r="AJA807" s="3787"/>
      <c r="AJB807" s="3787"/>
      <c r="AJC807" s="3787"/>
      <c r="AJD807" s="3787"/>
      <c r="AJE807" s="3787"/>
      <c r="AJF807" s="3787"/>
      <c r="AJG807" s="3787"/>
      <c r="AJH807" s="3787"/>
      <c r="AJI807" s="3787"/>
      <c r="AJJ807" s="3787"/>
      <c r="AJK807" s="3787"/>
      <c r="AJL807" s="3787"/>
      <c r="AJM807" s="3787"/>
      <c r="AJN807" s="3787"/>
      <c r="AJO807" s="3787"/>
      <c r="AJP807" s="3787"/>
      <c r="AJQ807" s="3787"/>
      <c r="AJR807" s="3787"/>
      <c r="AJS807" s="3787"/>
      <c r="AJT807" s="3787"/>
      <c r="AJU807" s="3787"/>
      <c r="AJV807" s="3787"/>
      <c r="AJW807" s="3787"/>
      <c r="AJX807" s="3787"/>
      <c r="AJY807" s="3787"/>
      <c r="AJZ807" s="3787"/>
      <c r="AKA807" s="3787"/>
      <c r="AKB807" s="3787"/>
      <c r="AKC807" s="3787"/>
      <c r="AKD807" s="3787"/>
      <c r="AKE807" s="3787"/>
      <c r="AKF807" s="3787"/>
      <c r="AKG807" s="3787"/>
      <c r="AKH807" s="3787"/>
      <c r="AKI807" s="3787"/>
      <c r="AKJ807" s="3787"/>
      <c r="AKK807" s="3787"/>
      <c r="AKL807" s="3787"/>
      <c r="AKM807" s="3787"/>
      <c r="AKN807" s="3787"/>
      <c r="AKO807" s="3787"/>
      <c r="AKP807" s="3787"/>
      <c r="AKQ807" s="3787"/>
      <c r="AKR807" s="3787"/>
      <c r="AKS807" s="3787"/>
      <c r="AKT807" s="3787"/>
      <c r="AKU807" s="3787"/>
      <c r="AKV807" s="3787"/>
      <c r="AKW807" s="3787"/>
      <c r="AKX807" s="3787"/>
      <c r="AKY807" s="3787"/>
      <c r="AKZ807" s="3787"/>
      <c r="ALA807" s="3787"/>
      <c r="ALB807" s="3787"/>
      <c r="ALC807" s="3787"/>
      <c r="ALD807" s="3787"/>
      <c r="ALE807" s="3787"/>
      <c r="ALF807" s="3787"/>
      <c r="ALG807" s="3787"/>
      <c r="ALH807" s="3787"/>
      <c r="ALI807" s="3787"/>
      <c r="ALJ807" s="3787"/>
      <c r="ALK807" s="3787"/>
      <c r="ALL807" s="3787"/>
      <c r="ALM807" s="3787"/>
      <c r="ALN807" s="3787"/>
      <c r="ALO807" s="3787"/>
      <c r="ALP807" s="3787"/>
      <c r="ALQ807" s="3787"/>
      <c r="ALR807" s="3787"/>
      <c r="ALS807" s="3787"/>
      <c r="ALT807" s="3787"/>
      <c r="ALU807" s="3787"/>
      <c r="ALV807" s="3787"/>
      <c r="ALW807" s="3787"/>
      <c r="ALX807" s="3787"/>
      <c r="ALY807" s="3787"/>
      <c r="ALZ807" s="3787"/>
      <c r="AMA807" s="3787"/>
      <c r="AMB807" s="3787"/>
      <c r="AMC807" s="3787"/>
      <c r="AMD807" s="3787"/>
      <c r="AME807" s="3787"/>
      <c r="AMF807" s="3787"/>
      <c r="AMG807" s="3787"/>
      <c r="AMH807" s="3787"/>
      <c r="AMI807" s="3787"/>
      <c r="AMJ807" s="3787"/>
      <c r="AMK807" s="3787"/>
      <c r="AMP807" s="3787"/>
      <c r="AMV807" s="3787"/>
      <c r="AMW807" s="3787"/>
      <c r="AMX807" s="3787"/>
      <c r="ANB807" s="3787"/>
      <c r="ANI807" s="3787"/>
      <c r="ANJ807" s="3787"/>
      <c r="ANK807" s="3787"/>
      <c r="ANL807" s="3787"/>
      <c r="ANM807" s="3787"/>
      <c r="ANN807" s="3787"/>
      <c r="ANO807" s="3787"/>
      <c r="ANP807" s="3787"/>
      <c r="ANQ807" s="3787"/>
      <c r="ANR807" s="3787"/>
      <c r="ANS807" s="3787"/>
      <c r="ANT807" s="3787"/>
      <c r="ANU807" s="3787"/>
      <c r="ANV807" s="3787"/>
      <c r="ANW807" s="3787"/>
      <c r="ANX807" s="3787"/>
      <c r="ANY807" s="3787"/>
      <c r="ANZ807" s="3787"/>
      <c r="AOA807" s="3787"/>
      <c r="AOB807" s="3787"/>
      <c r="AOC807" s="3787"/>
      <c r="AOD807" s="3787"/>
      <c r="AOE807" s="3787"/>
      <c r="AOF807" s="3787"/>
      <c r="AOG807" s="3787"/>
      <c r="AOH807" s="3787"/>
      <c r="AOI807" s="3787"/>
      <c r="AOJ807" s="3787"/>
      <c r="AOK807" s="3787"/>
      <c r="AOL807" s="3787"/>
      <c r="AOM807" s="3787"/>
      <c r="AON807" s="3787"/>
      <c r="AOO807" s="3787"/>
      <c r="AOP807" s="3787"/>
      <c r="AOQ807" s="3787"/>
      <c r="AOR807" s="3787"/>
      <c r="AOS807" s="3787"/>
      <c r="AOT807" s="3787"/>
      <c r="AOU807" s="3787"/>
      <c r="AOV807" s="3787"/>
      <c r="AOW807" s="3787"/>
      <c r="AOX807" s="3787"/>
      <c r="AOY807" s="3787"/>
      <c r="AOZ807" s="3787"/>
      <c r="APA807" s="3787"/>
      <c r="APB807" s="3787"/>
      <c r="APC807" s="3787"/>
      <c r="APD807" s="3787"/>
      <c r="APE807" s="3787"/>
      <c r="APF807" s="3787"/>
      <c r="APG807" s="3787"/>
      <c r="APH807" s="3787"/>
      <c r="API807" s="3787"/>
      <c r="APJ807" s="3787"/>
      <c r="APK807" s="3787"/>
      <c r="APL807" s="3787"/>
      <c r="APM807" s="3787"/>
      <c r="APN807" s="3787"/>
      <c r="APO807" s="3787"/>
      <c r="APP807" s="3787"/>
      <c r="APQ807" s="3787"/>
      <c r="APR807" s="3787"/>
      <c r="APS807" s="3787"/>
      <c r="APT807" s="3787"/>
      <c r="APU807" s="3787"/>
      <c r="APV807" s="3787"/>
      <c r="APW807" s="3787"/>
      <c r="APX807" s="3787"/>
      <c r="APY807" s="3787"/>
      <c r="APZ807" s="3787"/>
      <c r="AQA807" s="3787"/>
      <c r="AQB807" s="3787"/>
      <c r="AQC807" s="3787"/>
      <c r="AQD807" s="3787"/>
      <c r="AQE807" s="3787"/>
      <c r="AQF807" s="3787"/>
      <c r="AQG807" s="3787"/>
      <c r="AQH807" s="3787"/>
      <c r="AQI807" s="3787"/>
      <c r="AQJ807" s="3787"/>
      <c r="AQK807" s="3787"/>
      <c r="AQL807" s="3787"/>
      <c r="AQM807" s="3787"/>
      <c r="AQN807" s="3787"/>
      <c r="AQO807" s="3787"/>
      <c r="AQP807" s="3787"/>
      <c r="AQQ807" s="3787"/>
      <c r="AQR807" s="3787"/>
      <c r="AQS807" s="3787"/>
      <c r="AQT807" s="3787"/>
      <c r="AQU807" s="3787"/>
      <c r="AQV807" s="3787"/>
      <c r="AQW807" s="3787"/>
      <c r="AQX807" s="3787"/>
      <c r="AQY807" s="3787"/>
      <c r="AQZ807" s="3787"/>
      <c r="ARA807" s="3787"/>
      <c r="ARB807" s="3787"/>
      <c r="ARC807" s="3787"/>
      <c r="ARD807" s="3787"/>
      <c r="ARE807" s="3787"/>
      <c r="ARF807" s="3787"/>
      <c r="ARG807" s="3787"/>
      <c r="ARH807" s="3787"/>
      <c r="ARI807" s="3787"/>
      <c r="ARJ807" s="3787"/>
      <c r="ARK807" s="3787"/>
      <c r="ARL807" s="3787"/>
      <c r="ARM807" s="3787"/>
      <c r="ARN807" s="3787"/>
      <c r="ARO807" s="3787"/>
      <c r="ARP807" s="3787"/>
      <c r="ARQ807" s="3787"/>
      <c r="ARR807" s="3787"/>
      <c r="ARS807" s="3787"/>
      <c r="ART807" s="3787"/>
      <c r="ARU807" s="3787"/>
      <c r="ARV807" s="3787"/>
      <c r="ARW807" s="3787"/>
      <c r="ARX807" s="3787"/>
      <c r="ARY807" s="3787"/>
      <c r="ARZ807" s="3787"/>
      <c r="ASA807" s="3787"/>
      <c r="ASB807" s="3787"/>
      <c r="ASC807" s="3787"/>
      <c r="ASD807" s="3787"/>
      <c r="ASE807" s="3787"/>
      <c r="ASF807" s="3787"/>
      <c r="ASG807" s="3787"/>
      <c r="ASH807" s="3787"/>
      <c r="ASI807" s="3787"/>
      <c r="ASJ807" s="3787"/>
      <c r="ASK807" s="3787"/>
      <c r="ASL807" s="3787"/>
      <c r="ASM807" s="3787"/>
      <c r="ASN807" s="3787"/>
      <c r="ASO807" s="3787"/>
      <c r="ASP807" s="3787"/>
      <c r="ASQ807" s="3787"/>
      <c r="ASR807" s="3787"/>
      <c r="ASS807" s="3787"/>
      <c r="AST807" s="3787"/>
      <c r="ASU807" s="3787"/>
      <c r="ASV807" s="3787"/>
      <c r="ASW807" s="3787"/>
      <c r="ASX807" s="3787"/>
      <c r="ASY807" s="3787"/>
      <c r="ASZ807" s="3787"/>
      <c r="ATA807" s="3787"/>
      <c r="ATB807" s="3787"/>
      <c r="ATC807" s="3787"/>
      <c r="ATD807" s="3787"/>
      <c r="ATE807" s="3787"/>
      <c r="ATF807" s="3787"/>
      <c r="ATG807" s="3787"/>
      <c r="ATH807" s="3787"/>
      <c r="ATI807" s="3787"/>
      <c r="ATJ807" s="3787"/>
      <c r="ATK807" s="3787"/>
      <c r="ATL807" s="3787"/>
      <c r="ATM807" s="3787"/>
      <c r="ATN807" s="3787"/>
      <c r="ATO807" s="3787"/>
      <c r="ATP807" s="3787"/>
      <c r="ATQ807" s="3787"/>
      <c r="ATR807" s="3787"/>
      <c r="ATS807" s="3787"/>
      <c r="ATT807" s="3787"/>
      <c r="ATU807" s="3787"/>
      <c r="ATV807" s="3787"/>
      <c r="ATW807" s="3787"/>
      <c r="ATX807" s="3787"/>
      <c r="ATY807" s="3787"/>
      <c r="ATZ807" s="3787"/>
      <c r="AUA807" s="3787"/>
      <c r="AUB807" s="3787"/>
      <c r="AUC807" s="3787"/>
      <c r="AUD807" s="3787"/>
      <c r="AUE807" s="3787"/>
      <c r="AUF807" s="3787"/>
      <c r="AUG807" s="3787"/>
      <c r="AUH807" s="3787"/>
      <c r="AUI807" s="3787"/>
      <c r="AUJ807" s="3787"/>
      <c r="AUK807" s="3787"/>
      <c r="AUL807" s="3787"/>
      <c r="AUM807" s="3787"/>
      <c r="AUN807" s="3787"/>
      <c r="AUO807" s="3787"/>
      <c r="AUP807" s="3787"/>
      <c r="AUQ807" s="3787"/>
      <c r="AUR807" s="3787"/>
      <c r="AUS807" s="3787"/>
      <c r="AUT807" s="3787"/>
      <c r="AUU807" s="3787"/>
      <c r="AUV807" s="3787"/>
      <c r="AUW807" s="3787"/>
      <c r="AUX807" s="3787"/>
      <c r="AUY807" s="3787"/>
      <c r="AUZ807" s="3787"/>
      <c r="AVA807" s="3787"/>
      <c r="AVB807" s="3787"/>
      <c r="AVC807" s="3787"/>
      <c r="AVD807" s="3787"/>
      <c r="AVE807" s="3787"/>
      <c r="AVF807" s="3787"/>
      <c r="AVG807" s="3787"/>
      <c r="AVH807" s="3787"/>
      <c r="AVI807" s="3787"/>
      <c r="AVJ807" s="3787"/>
      <c r="AVK807" s="3787"/>
      <c r="AVL807" s="3787"/>
      <c r="AVM807" s="3787"/>
      <c r="AVN807" s="3787"/>
      <c r="AVO807" s="3787"/>
      <c r="AVP807" s="3787"/>
      <c r="AVQ807" s="3787"/>
      <c r="AVR807" s="3787"/>
      <c r="AVS807" s="3787"/>
      <c r="AVT807" s="3787"/>
      <c r="AVU807" s="3787"/>
      <c r="AVV807" s="3787"/>
      <c r="AVW807" s="3787"/>
      <c r="AVX807" s="3787"/>
      <c r="AVY807" s="3787"/>
      <c r="AVZ807" s="3787"/>
      <c r="AWA807" s="3787"/>
      <c r="AWB807" s="3787"/>
      <c r="AWC807" s="3787"/>
      <c r="AWD807" s="3787"/>
      <c r="AWE807" s="3787"/>
      <c r="AWF807" s="3787"/>
      <c r="AWG807" s="3787"/>
      <c r="AWL807" s="3787"/>
      <c r="AWR807" s="3787"/>
      <c r="AWS807" s="3787"/>
      <c r="AWT807" s="3787"/>
      <c r="AWX807" s="3787"/>
      <c r="AXE807" s="3787"/>
      <c r="AXF807" s="3787"/>
      <c r="AXG807" s="3787"/>
      <c r="AXH807" s="3787"/>
      <c r="AXI807" s="3787"/>
      <c r="AXJ807" s="3787"/>
      <c r="AXK807" s="3787"/>
      <c r="AXL807" s="3787"/>
      <c r="AXM807" s="3787"/>
      <c r="AXN807" s="3787"/>
      <c r="AXO807" s="3787"/>
      <c r="AXP807" s="3787"/>
      <c r="AXQ807" s="3787"/>
      <c r="AXR807" s="3787"/>
      <c r="AXS807" s="3787"/>
      <c r="AXT807" s="3787"/>
      <c r="AXU807" s="3787"/>
      <c r="AXV807" s="3787"/>
      <c r="AXW807" s="3787"/>
      <c r="AXX807" s="3787"/>
      <c r="AXY807" s="3787"/>
      <c r="AXZ807" s="3787"/>
      <c r="AYA807" s="3787"/>
      <c r="AYB807" s="3787"/>
      <c r="AYC807" s="3787"/>
      <c r="AYD807" s="3787"/>
      <c r="AYE807" s="3787"/>
      <c r="AYF807" s="3787"/>
      <c r="AYG807" s="3787"/>
      <c r="AYH807" s="3787"/>
      <c r="AYI807" s="3787"/>
      <c r="AYJ807" s="3787"/>
      <c r="AYK807" s="3787"/>
      <c r="AYL807" s="3787"/>
      <c r="AYM807" s="3787"/>
      <c r="AYN807" s="3787"/>
      <c r="AYO807" s="3787"/>
      <c r="AYP807" s="3787"/>
      <c r="AYQ807" s="3787"/>
      <c r="AYR807" s="3787"/>
      <c r="AYS807" s="3787"/>
      <c r="AYT807" s="3787"/>
      <c r="AYU807" s="3787"/>
      <c r="AYV807" s="3787"/>
      <c r="AYW807" s="3787"/>
      <c r="AYX807" s="3787"/>
      <c r="AYY807" s="3787"/>
      <c r="AYZ807" s="3787"/>
      <c r="AZA807" s="3787"/>
      <c r="AZB807" s="3787"/>
      <c r="AZC807" s="3787"/>
      <c r="AZD807" s="3787"/>
      <c r="AZE807" s="3787"/>
      <c r="AZF807" s="3787"/>
      <c r="AZG807" s="3787"/>
      <c r="AZH807" s="3787"/>
      <c r="AZI807" s="3787"/>
      <c r="AZJ807" s="3787"/>
      <c r="AZK807" s="3787"/>
      <c r="AZL807" s="3787"/>
      <c r="AZM807" s="3787"/>
      <c r="AZN807" s="3787"/>
      <c r="AZO807" s="3787"/>
      <c r="AZP807" s="3787"/>
      <c r="AZQ807" s="3787"/>
      <c r="AZR807" s="3787"/>
      <c r="AZS807" s="3787"/>
      <c r="AZT807" s="3787"/>
      <c r="AZU807" s="3787"/>
      <c r="AZV807" s="3787"/>
      <c r="AZW807" s="3787"/>
      <c r="AZX807" s="3787"/>
      <c r="AZY807" s="3787"/>
      <c r="AZZ807" s="3787"/>
      <c r="BAA807" s="3787"/>
      <c r="BAB807" s="3787"/>
      <c r="BAC807" s="3787"/>
      <c r="BAD807" s="3787"/>
      <c r="BAE807" s="3787"/>
      <c r="BAF807" s="3787"/>
      <c r="BAG807" s="3787"/>
      <c r="BAH807" s="3787"/>
      <c r="BAI807" s="3787"/>
      <c r="BAJ807" s="3787"/>
      <c r="BAK807" s="3787"/>
      <c r="BAL807" s="3787"/>
      <c r="BAM807" s="3787"/>
      <c r="BAN807" s="3787"/>
      <c r="BAO807" s="3787"/>
      <c r="BAP807" s="3787"/>
      <c r="BAQ807" s="3787"/>
      <c r="BAR807" s="3787"/>
      <c r="BAS807" s="3787"/>
      <c r="BAT807" s="3787"/>
      <c r="BAU807" s="3787"/>
      <c r="BAV807" s="3787"/>
      <c r="BAW807" s="3787"/>
      <c r="BAX807" s="3787"/>
      <c r="BAY807" s="3787"/>
      <c r="BAZ807" s="3787"/>
      <c r="BBA807" s="3787"/>
      <c r="BBB807" s="3787"/>
      <c r="BBC807" s="3787"/>
      <c r="BBD807" s="3787"/>
      <c r="BBE807" s="3787"/>
      <c r="BBF807" s="3787"/>
      <c r="BBG807" s="3787"/>
      <c r="BBH807" s="3787"/>
      <c r="BBI807" s="3787"/>
      <c r="BBJ807" s="3787"/>
      <c r="BBK807" s="3787"/>
      <c r="BBL807" s="3787"/>
      <c r="BBM807" s="3787"/>
      <c r="BBN807" s="3787"/>
      <c r="BBO807" s="3787"/>
      <c r="BBP807" s="3787"/>
      <c r="BBQ807" s="3787"/>
      <c r="BBR807" s="3787"/>
      <c r="BBS807" s="3787"/>
      <c r="BBT807" s="3787"/>
      <c r="BBU807" s="3787"/>
      <c r="BBV807" s="3787"/>
      <c r="BBW807" s="3787"/>
      <c r="BBX807" s="3787"/>
      <c r="BBY807" s="3787"/>
      <c r="BBZ807" s="3787"/>
      <c r="BCA807" s="3787"/>
      <c r="BCB807" s="3787"/>
      <c r="BCC807" s="3787"/>
      <c r="BCD807" s="3787"/>
      <c r="BCE807" s="3787"/>
      <c r="BCF807" s="3787"/>
      <c r="BCG807" s="3787"/>
      <c r="BCH807" s="3787"/>
      <c r="BCI807" s="3787"/>
      <c r="BCJ807" s="3787"/>
      <c r="BCK807" s="3787"/>
      <c r="BCL807" s="3787"/>
      <c r="BCM807" s="3787"/>
      <c r="BCN807" s="3787"/>
      <c r="BCO807" s="3787"/>
      <c r="BCP807" s="3787"/>
      <c r="BCQ807" s="3787"/>
      <c r="BCR807" s="3787"/>
      <c r="BCS807" s="3787"/>
      <c r="BCT807" s="3787"/>
      <c r="BCU807" s="3787"/>
      <c r="BCV807" s="3787"/>
      <c r="BCW807" s="3787"/>
      <c r="BCX807" s="3787"/>
      <c r="BCY807" s="3787"/>
      <c r="BCZ807" s="3787"/>
      <c r="BDA807" s="3787"/>
      <c r="BDB807" s="3787"/>
      <c r="BDC807" s="3787"/>
      <c r="BDD807" s="3787"/>
      <c r="BDE807" s="3787"/>
      <c r="BDF807" s="3787"/>
      <c r="BDG807" s="3787"/>
      <c r="BDH807" s="3787"/>
      <c r="BDI807" s="3787"/>
      <c r="BDJ807" s="3787"/>
      <c r="BDK807" s="3787"/>
      <c r="BDL807" s="3787"/>
      <c r="BDM807" s="3787"/>
      <c r="BDN807" s="3787"/>
      <c r="BDO807" s="3787"/>
      <c r="BDP807" s="3787"/>
      <c r="BDQ807" s="3787"/>
      <c r="BDR807" s="3787"/>
      <c r="BDS807" s="3787"/>
      <c r="BDT807" s="3787"/>
      <c r="BDU807" s="3787"/>
      <c r="BDV807" s="3787"/>
      <c r="BDW807" s="3787"/>
      <c r="BDX807" s="3787"/>
      <c r="BDY807" s="3787"/>
      <c r="BDZ807" s="3787"/>
      <c r="BEA807" s="3787"/>
      <c r="BEB807" s="3787"/>
      <c r="BEC807" s="3787"/>
      <c r="BED807" s="3787"/>
      <c r="BEE807" s="3787"/>
      <c r="BEF807" s="3787"/>
      <c r="BEG807" s="3787"/>
      <c r="BEH807" s="3787"/>
      <c r="BEI807" s="3787"/>
      <c r="BEJ807" s="3787"/>
      <c r="BEK807" s="3787"/>
      <c r="BEL807" s="3787"/>
      <c r="BEM807" s="3787"/>
      <c r="BEN807" s="3787"/>
      <c r="BEO807" s="3787"/>
      <c r="BEP807" s="3787"/>
      <c r="BEQ807" s="3787"/>
      <c r="BER807" s="3787"/>
      <c r="BES807" s="3787"/>
      <c r="BET807" s="3787"/>
      <c r="BEU807" s="3787"/>
      <c r="BEV807" s="3787"/>
      <c r="BEW807" s="3787"/>
      <c r="BEX807" s="3787"/>
      <c r="BEY807" s="3787"/>
      <c r="BEZ807" s="3787"/>
      <c r="BFA807" s="3787"/>
      <c r="BFB807" s="3787"/>
      <c r="BFC807" s="3787"/>
      <c r="BFD807" s="3787"/>
      <c r="BFE807" s="3787"/>
      <c r="BFF807" s="3787"/>
      <c r="BFG807" s="3787"/>
      <c r="BFH807" s="3787"/>
      <c r="BFI807" s="3787"/>
      <c r="BFJ807" s="3787"/>
      <c r="BFK807" s="3787"/>
      <c r="BFL807" s="3787"/>
      <c r="BFM807" s="3787"/>
      <c r="BFN807" s="3787"/>
      <c r="BFO807" s="3787"/>
      <c r="BFP807" s="3787"/>
      <c r="BFQ807" s="3787"/>
      <c r="BFR807" s="3787"/>
      <c r="BFS807" s="3787"/>
      <c r="BFT807" s="3787"/>
      <c r="BFU807" s="3787"/>
      <c r="BFV807" s="3787"/>
      <c r="BFW807" s="3787"/>
      <c r="BFX807" s="3787"/>
      <c r="BFY807" s="3787"/>
      <c r="BFZ807" s="3787"/>
      <c r="BGA807" s="3787"/>
      <c r="BGB807" s="3787"/>
      <c r="BGC807" s="3787"/>
      <c r="BGH807" s="3787"/>
      <c r="BGN807" s="3787"/>
      <c r="BGO807" s="3787"/>
      <c r="BGP807" s="3787"/>
      <c r="BGT807" s="3787"/>
      <c r="BHA807" s="3787"/>
      <c r="BHB807" s="3787"/>
      <c r="BHC807" s="3787"/>
      <c r="BHD807" s="3787"/>
      <c r="BHE807" s="3787"/>
      <c r="BHF807" s="3787"/>
      <c r="BHG807" s="3787"/>
      <c r="BHH807" s="3787"/>
      <c r="BHI807" s="3787"/>
      <c r="BHJ807" s="3787"/>
      <c r="BHK807" s="3787"/>
      <c r="BHL807" s="3787"/>
      <c r="BHM807" s="3787"/>
      <c r="BHN807" s="3787"/>
      <c r="BHO807" s="3787"/>
      <c r="BHP807" s="3787"/>
      <c r="BHQ807" s="3787"/>
      <c r="BHR807" s="3787"/>
      <c r="BHS807" s="3787"/>
      <c r="BHT807" s="3787"/>
      <c r="BHU807" s="3787"/>
      <c r="BHV807" s="3787"/>
      <c r="BHW807" s="3787"/>
      <c r="BHX807" s="3787"/>
      <c r="BHY807" s="3787"/>
      <c r="BHZ807" s="3787"/>
      <c r="BIA807" s="3787"/>
      <c r="BIB807" s="3787"/>
      <c r="BIC807" s="3787"/>
      <c r="BID807" s="3787"/>
      <c r="BIE807" s="3787"/>
      <c r="BIF807" s="3787"/>
      <c r="BIG807" s="3787"/>
      <c r="BIH807" s="3787"/>
      <c r="BII807" s="3787"/>
      <c r="BIJ807" s="3787"/>
      <c r="BIK807" s="3787"/>
      <c r="BIL807" s="3787"/>
      <c r="BIM807" s="3787"/>
      <c r="BIN807" s="3787"/>
      <c r="BIO807" s="3787"/>
      <c r="BIP807" s="3787"/>
      <c r="BIQ807" s="3787"/>
      <c r="BIR807" s="3787"/>
      <c r="BIS807" s="3787"/>
      <c r="BIT807" s="3787"/>
      <c r="BIU807" s="3787"/>
      <c r="BIV807" s="3787"/>
      <c r="BIW807" s="3787"/>
      <c r="BIX807" s="3787"/>
      <c r="BIY807" s="3787"/>
      <c r="BIZ807" s="3787"/>
      <c r="BJA807" s="3787"/>
      <c r="BJB807" s="3787"/>
      <c r="BJC807" s="3787"/>
      <c r="BJD807" s="3787"/>
      <c r="BJE807" s="3787"/>
      <c r="BJF807" s="3787"/>
      <c r="BJG807" s="3787"/>
      <c r="BJH807" s="3787"/>
      <c r="BJI807" s="3787"/>
      <c r="BJJ807" s="3787"/>
      <c r="BJK807" s="3787"/>
      <c r="BJL807" s="3787"/>
      <c r="BJM807" s="3787"/>
      <c r="BJN807" s="3787"/>
      <c r="BJO807" s="3787"/>
      <c r="BJP807" s="3787"/>
      <c r="BJQ807" s="3787"/>
      <c r="BJR807" s="3787"/>
      <c r="BJS807" s="3787"/>
      <c r="BJT807" s="3787"/>
      <c r="BJU807" s="3787"/>
      <c r="BJV807" s="3787"/>
      <c r="BJW807" s="3787"/>
      <c r="BJX807" s="3787"/>
      <c r="BJY807" s="3787"/>
      <c r="BJZ807" s="3787"/>
      <c r="BKA807" s="3787"/>
      <c r="BKB807" s="3787"/>
      <c r="BKC807" s="3787"/>
      <c r="BKD807" s="3787"/>
      <c r="BKE807" s="3787"/>
      <c r="BKF807" s="3787"/>
      <c r="BKG807" s="3787"/>
      <c r="BKH807" s="3787"/>
      <c r="BKI807" s="3787"/>
      <c r="BKJ807" s="3787"/>
      <c r="BKK807" s="3787"/>
      <c r="BKL807" s="3787"/>
      <c r="BKM807" s="3787"/>
      <c r="BKN807" s="3787"/>
      <c r="BKO807" s="3787"/>
      <c r="BKP807" s="3787"/>
      <c r="BKQ807" s="3787"/>
      <c r="BKR807" s="3787"/>
      <c r="BKS807" s="3787"/>
      <c r="BKT807" s="3787"/>
      <c r="BKU807" s="3787"/>
      <c r="BKV807" s="3787"/>
      <c r="BKW807" s="3787"/>
      <c r="BKX807" s="3787"/>
      <c r="BKY807" s="3787"/>
      <c r="BKZ807" s="3787"/>
      <c r="BLA807" s="3787"/>
      <c r="BLB807" s="3787"/>
      <c r="BLC807" s="3787"/>
      <c r="BLD807" s="3787"/>
      <c r="BLE807" s="3787"/>
      <c r="BLF807" s="3787"/>
      <c r="BLG807" s="3787"/>
      <c r="BLH807" s="3787"/>
      <c r="BLI807" s="3787"/>
      <c r="BLJ807" s="3787"/>
      <c r="BLK807" s="3787"/>
      <c r="BLL807" s="3787"/>
      <c r="BLM807" s="3787"/>
      <c r="BLN807" s="3787"/>
      <c r="BLO807" s="3787"/>
      <c r="BLP807" s="3787"/>
      <c r="BLQ807" s="3787"/>
      <c r="BLR807" s="3787"/>
      <c r="BLS807" s="3787"/>
      <c r="BLT807" s="3787"/>
      <c r="BLU807" s="3787"/>
      <c r="BLV807" s="3787"/>
      <c r="BLW807" s="3787"/>
      <c r="BLX807" s="3787"/>
      <c r="BLY807" s="3787"/>
      <c r="BLZ807" s="3787"/>
      <c r="BMA807" s="3787"/>
      <c r="BMB807" s="3787"/>
      <c r="BMC807" s="3787"/>
      <c r="BMD807" s="3787"/>
      <c r="BME807" s="3787"/>
      <c r="BMF807" s="3787"/>
      <c r="BMG807" s="3787"/>
      <c r="BMH807" s="3787"/>
      <c r="BMI807" s="3787"/>
      <c r="BMJ807" s="3787"/>
      <c r="BMK807" s="3787"/>
      <c r="BML807" s="3787"/>
      <c r="BMM807" s="3787"/>
      <c r="BMN807" s="3787"/>
      <c r="BMO807" s="3787"/>
      <c r="BMP807" s="3787"/>
      <c r="BMQ807" s="3787"/>
      <c r="BMR807" s="3787"/>
      <c r="BMS807" s="3787"/>
      <c r="BMT807" s="3787"/>
      <c r="BMU807" s="3787"/>
      <c r="BMV807" s="3787"/>
      <c r="BMW807" s="3787"/>
      <c r="BMX807" s="3787"/>
      <c r="BMY807" s="3787"/>
      <c r="BMZ807" s="3787"/>
      <c r="BNA807" s="3787"/>
      <c r="BNB807" s="3787"/>
      <c r="BNC807" s="3787"/>
      <c r="BND807" s="3787"/>
      <c r="BNE807" s="3787"/>
      <c r="BNF807" s="3787"/>
      <c r="BNG807" s="3787"/>
      <c r="BNH807" s="3787"/>
      <c r="BNI807" s="3787"/>
      <c r="BNJ807" s="3787"/>
      <c r="BNK807" s="3787"/>
      <c r="BNL807" s="3787"/>
      <c r="BNM807" s="3787"/>
      <c r="BNN807" s="3787"/>
      <c r="BNO807" s="3787"/>
      <c r="BNP807" s="3787"/>
      <c r="BNQ807" s="3787"/>
      <c r="BNR807" s="3787"/>
      <c r="BNS807" s="3787"/>
      <c r="BNT807" s="3787"/>
      <c r="BNU807" s="3787"/>
      <c r="BNV807" s="3787"/>
      <c r="BNW807" s="3787"/>
      <c r="BNX807" s="3787"/>
      <c r="BNY807" s="3787"/>
      <c r="BNZ807" s="3787"/>
      <c r="BOA807" s="3787"/>
      <c r="BOB807" s="3787"/>
      <c r="BOC807" s="3787"/>
      <c r="BOD807" s="3787"/>
      <c r="BOE807" s="3787"/>
      <c r="BOF807" s="3787"/>
      <c r="BOG807" s="3787"/>
      <c r="BOH807" s="3787"/>
      <c r="BOI807" s="3787"/>
      <c r="BOJ807" s="3787"/>
      <c r="BOK807" s="3787"/>
      <c r="BOL807" s="3787"/>
      <c r="BOM807" s="3787"/>
      <c r="BON807" s="3787"/>
      <c r="BOO807" s="3787"/>
      <c r="BOP807" s="3787"/>
      <c r="BOQ807" s="3787"/>
      <c r="BOR807" s="3787"/>
      <c r="BOS807" s="3787"/>
      <c r="BOT807" s="3787"/>
      <c r="BOU807" s="3787"/>
      <c r="BOV807" s="3787"/>
      <c r="BOW807" s="3787"/>
      <c r="BOX807" s="3787"/>
      <c r="BOY807" s="3787"/>
      <c r="BOZ807" s="3787"/>
      <c r="BPA807" s="3787"/>
      <c r="BPB807" s="3787"/>
      <c r="BPC807" s="3787"/>
      <c r="BPD807" s="3787"/>
      <c r="BPE807" s="3787"/>
      <c r="BPF807" s="3787"/>
      <c r="BPG807" s="3787"/>
      <c r="BPH807" s="3787"/>
      <c r="BPI807" s="3787"/>
      <c r="BPJ807" s="3787"/>
      <c r="BPK807" s="3787"/>
      <c r="BPL807" s="3787"/>
      <c r="BPM807" s="3787"/>
      <c r="BPN807" s="3787"/>
      <c r="BPO807" s="3787"/>
      <c r="BPP807" s="3787"/>
      <c r="BPQ807" s="3787"/>
      <c r="BPR807" s="3787"/>
      <c r="BPS807" s="3787"/>
      <c r="BPT807" s="3787"/>
      <c r="BPU807" s="3787"/>
      <c r="BPV807" s="3787"/>
      <c r="BPW807" s="3787"/>
      <c r="BPX807" s="3787"/>
      <c r="BPY807" s="3787"/>
      <c r="BQD807" s="3787"/>
      <c r="BQJ807" s="3787"/>
      <c r="BQK807" s="3787"/>
      <c r="BQL807" s="3787"/>
      <c r="BQP807" s="3787"/>
      <c r="BQW807" s="3787"/>
      <c r="BQX807" s="3787"/>
      <c r="BQY807" s="3787"/>
      <c r="BQZ807" s="3787"/>
      <c r="BRA807" s="3787"/>
      <c r="BRB807" s="3787"/>
      <c r="BRC807" s="3787"/>
      <c r="BRD807" s="3787"/>
      <c r="BRE807" s="3787"/>
      <c r="BRF807" s="3787"/>
      <c r="BRG807" s="3787"/>
      <c r="BRH807" s="3787"/>
      <c r="BRI807" s="3787"/>
      <c r="BRJ807" s="3787"/>
      <c r="BRK807" s="3787"/>
      <c r="BRL807" s="3787"/>
      <c r="BRM807" s="3787"/>
      <c r="BRN807" s="3787"/>
      <c r="BRO807" s="3787"/>
      <c r="BRP807" s="3787"/>
      <c r="BRQ807" s="3787"/>
      <c r="BRR807" s="3787"/>
      <c r="BRS807" s="3787"/>
      <c r="BRT807" s="3787"/>
      <c r="BRU807" s="3787"/>
      <c r="BRV807" s="3787"/>
      <c r="BRW807" s="3787"/>
      <c r="BRX807" s="3787"/>
      <c r="BRY807" s="3787"/>
      <c r="BRZ807" s="3787"/>
      <c r="BSA807" s="3787"/>
      <c r="BSB807" s="3787"/>
      <c r="BSC807" s="3787"/>
      <c r="BSD807" s="3787"/>
      <c r="BSE807" s="3787"/>
      <c r="BSF807" s="3787"/>
      <c r="BSG807" s="3787"/>
      <c r="BSH807" s="3787"/>
      <c r="BSI807" s="3787"/>
      <c r="BSJ807" s="3787"/>
      <c r="BSK807" s="3787"/>
      <c r="BSL807" s="3787"/>
      <c r="BSM807" s="3787"/>
      <c r="BSN807" s="3787"/>
      <c r="BSO807" s="3787"/>
      <c r="BSP807" s="3787"/>
      <c r="BSQ807" s="3787"/>
      <c r="BSR807" s="3787"/>
      <c r="BSS807" s="3787"/>
      <c r="BST807" s="3787"/>
      <c r="BSU807" s="3787"/>
      <c r="BSV807" s="3787"/>
      <c r="BSW807" s="3787"/>
      <c r="BSX807" s="3787"/>
      <c r="BSY807" s="3787"/>
      <c r="BSZ807" s="3787"/>
      <c r="BTA807" s="3787"/>
      <c r="BTB807" s="3787"/>
      <c r="BTC807" s="3787"/>
      <c r="BTD807" s="3787"/>
      <c r="BTE807" s="3787"/>
      <c r="BTF807" s="3787"/>
      <c r="BTG807" s="3787"/>
      <c r="BTH807" s="3787"/>
      <c r="BTI807" s="3787"/>
      <c r="BTJ807" s="3787"/>
      <c r="BTK807" s="3787"/>
      <c r="BTL807" s="3787"/>
      <c r="BTM807" s="3787"/>
      <c r="BTN807" s="3787"/>
      <c r="BTO807" s="3787"/>
      <c r="BTP807" s="3787"/>
      <c r="BTQ807" s="3787"/>
      <c r="BTR807" s="3787"/>
      <c r="BTS807" s="3787"/>
      <c r="BTT807" s="3787"/>
      <c r="BTU807" s="3787"/>
      <c r="BTV807" s="3787"/>
      <c r="BTW807" s="3787"/>
      <c r="BTX807" s="3787"/>
      <c r="BTY807" s="3787"/>
      <c r="BTZ807" s="3787"/>
      <c r="BUA807" s="3787"/>
      <c r="BUB807" s="3787"/>
      <c r="BUC807" s="3787"/>
      <c r="BUD807" s="3787"/>
      <c r="BUE807" s="3787"/>
      <c r="BUF807" s="3787"/>
      <c r="BUG807" s="3787"/>
      <c r="BUH807" s="3787"/>
      <c r="BUI807" s="3787"/>
      <c r="BUJ807" s="3787"/>
      <c r="BUK807" s="3787"/>
      <c r="BUL807" s="3787"/>
      <c r="BUM807" s="3787"/>
      <c r="BUN807" s="3787"/>
      <c r="BUO807" s="3787"/>
      <c r="BUP807" s="3787"/>
      <c r="BUQ807" s="3787"/>
      <c r="BUR807" s="3787"/>
      <c r="BUS807" s="3787"/>
      <c r="BUT807" s="3787"/>
      <c r="BUU807" s="3787"/>
      <c r="BUV807" s="3787"/>
      <c r="BUW807" s="3787"/>
      <c r="BUX807" s="3787"/>
      <c r="BUY807" s="3787"/>
      <c r="BUZ807" s="3787"/>
      <c r="BVA807" s="3787"/>
      <c r="BVB807" s="3787"/>
      <c r="BVC807" s="3787"/>
      <c r="BVD807" s="3787"/>
      <c r="BVE807" s="3787"/>
      <c r="BVF807" s="3787"/>
      <c r="BVG807" s="3787"/>
      <c r="BVH807" s="3787"/>
      <c r="BVI807" s="3787"/>
      <c r="BVJ807" s="3787"/>
      <c r="BVK807" s="3787"/>
      <c r="BVL807" s="3787"/>
      <c r="BVM807" s="3787"/>
      <c r="BVN807" s="3787"/>
      <c r="BVO807" s="3787"/>
      <c r="BVP807" s="3787"/>
      <c r="BVQ807" s="3787"/>
      <c r="BVR807" s="3787"/>
      <c r="BVS807" s="3787"/>
      <c r="BVT807" s="3787"/>
      <c r="BVU807" s="3787"/>
      <c r="BVV807" s="3787"/>
      <c r="BVW807" s="3787"/>
      <c r="BVX807" s="3787"/>
      <c r="BVY807" s="3787"/>
      <c r="BVZ807" s="3787"/>
      <c r="BWA807" s="3787"/>
      <c r="BWB807" s="3787"/>
      <c r="BWC807" s="3787"/>
      <c r="BWD807" s="3787"/>
      <c r="BWE807" s="3787"/>
      <c r="BWF807" s="3787"/>
      <c r="BWG807" s="3787"/>
      <c r="BWH807" s="3787"/>
      <c r="BWI807" s="3787"/>
      <c r="BWJ807" s="3787"/>
      <c r="BWK807" s="3787"/>
      <c r="BWL807" s="3787"/>
      <c r="BWM807" s="3787"/>
      <c r="BWN807" s="3787"/>
      <c r="BWO807" s="3787"/>
      <c r="BWP807" s="3787"/>
      <c r="BWQ807" s="3787"/>
      <c r="BWR807" s="3787"/>
      <c r="BWS807" s="3787"/>
      <c r="BWT807" s="3787"/>
      <c r="BWU807" s="3787"/>
      <c r="BWV807" s="3787"/>
      <c r="BWW807" s="3787"/>
      <c r="BWX807" s="3787"/>
      <c r="BWY807" s="3787"/>
      <c r="BWZ807" s="3787"/>
      <c r="BXA807" s="3787"/>
      <c r="BXB807" s="3787"/>
      <c r="BXC807" s="3787"/>
      <c r="BXD807" s="3787"/>
      <c r="BXE807" s="3787"/>
      <c r="BXF807" s="3787"/>
      <c r="BXG807" s="3787"/>
      <c r="BXH807" s="3787"/>
      <c r="BXI807" s="3787"/>
      <c r="BXJ807" s="3787"/>
      <c r="BXK807" s="3787"/>
      <c r="BXL807" s="3787"/>
      <c r="BXM807" s="3787"/>
      <c r="BXN807" s="3787"/>
      <c r="BXO807" s="3787"/>
      <c r="BXP807" s="3787"/>
      <c r="BXQ807" s="3787"/>
      <c r="BXR807" s="3787"/>
      <c r="BXS807" s="3787"/>
      <c r="BXT807" s="3787"/>
      <c r="BXU807" s="3787"/>
      <c r="BXV807" s="3787"/>
      <c r="BXW807" s="3787"/>
      <c r="BXX807" s="3787"/>
      <c r="BXY807" s="3787"/>
      <c r="BXZ807" s="3787"/>
      <c r="BYA807" s="3787"/>
      <c r="BYB807" s="3787"/>
      <c r="BYC807" s="3787"/>
      <c r="BYD807" s="3787"/>
      <c r="BYE807" s="3787"/>
      <c r="BYF807" s="3787"/>
      <c r="BYG807" s="3787"/>
      <c r="BYH807" s="3787"/>
      <c r="BYI807" s="3787"/>
      <c r="BYJ807" s="3787"/>
      <c r="BYK807" s="3787"/>
      <c r="BYL807" s="3787"/>
      <c r="BYM807" s="3787"/>
      <c r="BYN807" s="3787"/>
      <c r="BYO807" s="3787"/>
      <c r="BYP807" s="3787"/>
      <c r="BYQ807" s="3787"/>
      <c r="BYR807" s="3787"/>
      <c r="BYS807" s="3787"/>
      <c r="BYT807" s="3787"/>
      <c r="BYU807" s="3787"/>
      <c r="BYV807" s="3787"/>
      <c r="BYW807" s="3787"/>
      <c r="BYX807" s="3787"/>
      <c r="BYY807" s="3787"/>
      <c r="BYZ807" s="3787"/>
      <c r="BZA807" s="3787"/>
      <c r="BZB807" s="3787"/>
      <c r="BZC807" s="3787"/>
      <c r="BZD807" s="3787"/>
      <c r="BZE807" s="3787"/>
      <c r="BZF807" s="3787"/>
      <c r="BZG807" s="3787"/>
      <c r="BZH807" s="3787"/>
      <c r="BZI807" s="3787"/>
      <c r="BZJ807" s="3787"/>
      <c r="BZK807" s="3787"/>
      <c r="BZL807" s="3787"/>
      <c r="BZM807" s="3787"/>
      <c r="BZN807" s="3787"/>
      <c r="BZO807" s="3787"/>
      <c r="BZP807" s="3787"/>
      <c r="BZQ807" s="3787"/>
      <c r="BZR807" s="3787"/>
      <c r="BZS807" s="3787"/>
      <c r="BZT807" s="3787"/>
      <c r="BZU807" s="3787"/>
      <c r="BZZ807" s="3787"/>
      <c r="CAF807" s="3787"/>
      <c r="CAG807" s="3787"/>
      <c r="CAH807" s="3787"/>
      <c r="CAL807" s="3787"/>
      <c r="CAS807" s="3787"/>
      <c r="CAT807" s="3787"/>
      <c r="CAU807" s="3787"/>
      <c r="CAV807" s="3787"/>
      <c r="CAW807" s="3787"/>
      <c r="CAX807" s="3787"/>
      <c r="CAY807" s="3787"/>
      <c r="CAZ807" s="3787"/>
      <c r="CBA807" s="3787"/>
      <c r="CBB807" s="3787"/>
      <c r="CBC807" s="3787"/>
      <c r="CBD807" s="3787"/>
      <c r="CBE807" s="3787"/>
      <c r="CBF807" s="3787"/>
      <c r="CBG807" s="3787"/>
      <c r="CBH807" s="3787"/>
      <c r="CBI807" s="3787"/>
      <c r="CBJ807" s="3787"/>
      <c r="CBK807" s="3787"/>
      <c r="CBL807" s="3787"/>
      <c r="CBM807" s="3787"/>
      <c r="CBN807" s="3787"/>
      <c r="CBO807" s="3787"/>
      <c r="CBP807" s="3787"/>
      <c r="CBQ807" s="3787"/>
      <c r="CBR807" s="3787"/>
      <c r="CBS807" s="3787"/>
      <c r="CBT807" s="3787"/>
      <c r="CBU807" s="3787"/>
      <c r="CBV807" s="3787"/>
      <c r="CBW807" s="3787"/>
      <c r="CBX807" s="3787"/>
      <c r="CBY807" s="3787"/>
      <c r="CBZ807" s="3787"/>
      <c r="CCA807" s="3787"/>
      <c r="CCB807" s="3787"/>
      <c r="CCC807" s="3787"/>
      <c r="CCD807" s="3787"/>
      <c r="CCE807" s="3787"/>
      <c r="CCF807" s="3787"/>
      <c r="CCG807" s="3787"/>
      <c r="CCH807" s="3787"/>
      <c r="CCI807" s="3787"/>
      <c r="CCJ807" s="3787"/>
      <c r="CCK807" s="3787"/>
      <c r="CCL807" s="3787"/>
      <c r="CCM807" s="3787"/>
      <c r="CCN807" s="3787"/>
      <c r="CCO807" s="3787"/>
      <c r="CCP807" s="3787"/>
      <c r="CCQ807" s="3787"/>
      <c r="CCR807" s="3787"/>
      <c r="CCS807" s="3787"/>
      <c r="CCT807" s="3787"/>
      <c r="CCU807" s="3787"/>
      <c r="CCV807" s="3787"/>
      <c r="CCW807" s="3787"/>
      <c r="CCX807" s="3787"/>
      <c r="CCY807" s="3787"/>
      <c r="CCZ807" s="3787"/>
      <c r="CDA807" s="3787"/>
      <c r="CDB807" s="3787"/>
      <c r="CDC807" s="3787"/>
      <c r="CDD807" s="3787"/>
      <c r="CDE807" s="3787"/>
      <c r="CDF807" s="3787"/>
      <c r="CDG807" s="3787"/>
      <c r="CDH807" s="3787"/>
      <c r="CDI807" s="3787"/>
      <c r="CDJ807" s="3787"/>
      <c r="CDK807" s="3787"/>
      <c r="CDL807" s="3787"/>
      <c r="CDM807" s="3787"/>
      <c r="CDN807" s="3787"/>
      <c r="CDO807" s="3787"/>
      <c r="CDP807" s="3787"/>
      <c r="CDQ807" s="3787"/>
      <c r="CDR807" s="3787"/>
      <c r="CDS807" s="3787"/>
      <c r="CDT807" s="3787"/>
      <c r="CDU807" s="3787"/>
      <c r="CDV807" s="3787"/>
      <c r="CDW807" s="3787"/>
      <c r="CDX807" s="3787"/>
      <c r="CDY807" s="3787"/>
      <c r="CDZ807" s="3787"/>
      <c r="CEA807" s="3787"/>
      <c r="CEB807" s="3787"/>
      <c r="CEC807" s="3787"/>
      <c r="CED807" s="3787"/>
      <c r="CEE807" s="3787"/>
      <c r="CEF807" s="3787"/>
      <c r="CEG807" s="3787"/>
      <c r="CEH807" s="3787"/>
      <c r="CEI807" s="3787"/>
      <c r="CEJ807" s="3787"/>
      <c r="CEK807" s="3787"/>
      <c r="CEL807" s="3787"/>
      <c r="CEM807" s="3787"/>
      <c r="CEN807" s="3787"/>
      <c r="CEO807" s="3787"/>
      <c r="CEP807" s="3787"/>
      <c r="CEQ807" s="3787"/>
      <c r="CER807" s="3787"/>
      <c r="CES807" s="3787"/>
      <c r="CET807" s="3787"/>
      <c r="CEU807" s="3787"/>
      <c r="CEV807" s="3787"/>
      <c r="CEW807" s="3787"/>
      <c r="CEX807" s="3787"/>
      <c r="CEY807" s="3787"/>
      <c r="CEZ807" s="3787"/>
      <c r="CFA807" s="3787"/>
      <c r="CFB807" s="3787"/>
      <c r="CFC807" s="3787"/>
      <c r="CFD807" s="3787"/>
      <c r="CFE807" s="3787"/>
      <c r="CFF807" s="3787"/>
      <c r="CFG807" s="3787"/>
      <c r="CFH807" s="3787"/>
      <c r="CFI807" s="3787"/>
      <c r="CFJ807" s="3787"/>
      <c r="CFK807" s="3787"/>
      <c r="CFL807" s="3787"/>
      <c r="CFM807" s="3787"/>
      <c r="CFN807" s="3787"/>
      <c r="CFO807" s="3787"/>
      <c r="CFP807" s="3787"/>
      <c r="CFQ807" s="3787"/>
      <c r="CFR807" s="3787"/>
      <c r="CFS807" s="3787"/>
      <c r="CFT807" s="3787"/>
      <c r="CFU807" s="3787"/>
      <c r="CFV807" s="3787"/>
      <c r="CFW807" s="3787"/>
      <c r="CFX807" s="3787"/>
      <c r="CFY807" s="3787"/>
      <c r="CFZ807" s="3787"/>
      <c r="CGA807" s="3787"/>
      <c r="CGB807" s="3787"/>
      <c r="CGC807" s="3787"/>
      <c r="CGD807" s="3787"/>
      <c r="CGE807" s="3787"/>
      <c r="CGF807" s="3787"/>
      <c r="CGG807" s="3787"/>
      <c r="CGH807" s="3787"/>
      <c r="CGI807" s="3787"/>
      <c r="CGJ807" s="3787"/>
      <c r="CGK807" s="3787"/>
      <c r="CGL807" s="3787"/>
      <c r="CGM807" s="3787"/>
      <c r="CGN807" s="3787"/>
      <c r="CGO807" s="3787"/>
      <c r="CGP807" s="3787"/>
      <c r="CGQ807" s="3787"/>
      <c r="CGR807" s="3787"/>
      <c r="CGS807" s="3787"/>
      <c r="CGT807" s="3787"/>
      <c r="CGU807" s="3787"/>
      <c r="CGV807" s="3787"/>
      <c r="CGW807" s="3787"/>
      <c r="CGX807" s="3787"/>
      <c r="CGY807" s="3787"/>
      <c r="CGZ807" s="3787"/>
      <c r="CHA807" s="3787"/>
      <c r="CHB807" s="3787"/>
      <c r="CHC807" s="3787"/>
      <c r="CHD807" s="3787"/>
      <c r="CHE807" s="3787"/>
      <c r="CHF807" s="3787"/>
      <c r="CHG807" s="3787"/>
      <c r="CHH807" s="3787"/>
      <c r="CHI807" s="3787"/>
      <c r="CHJ807" s="3787"/>
      <c r="CHK807" s="3787"/>
      <c r="CHL807" s="3787"/>
      <c r="CHM807" s="3787"/>
      <c r="CHN807" s="3787"/>
      <c r="CHO807" s="3787"/>
      <c r="CHP807" s="3787"/>
      <c r="CHQ807" s="3787"/>
      <c r="CHR807" s="3787"/>
      <c r="CHS807" s="3787"/>
      <c r="CHT807" s="3787"/>
      <c r="CHU807" s="3787"/>
      <c r="CHV807" s="3787"/>
      <c r="CHW807" s="3787"/>
      <c r="CHX807" s="3787"/>
      <c r="CHY807" s="3787"/>
      <c r="CHZ807" s="3787"/>
      <c r="CIA807" s="3787"/>
      <c r="CIB807" s="3787"/>
      <c r="CIC807" s="3787"/>
      <c r="CID807" s="3787"/>
      <c r="CIE807" s="3787"/>
      <c r="CIF807" s="3787"/>
      <c r="CIG807" s="3787"/>
      <c r="CIH807" s="3787"/>
      <c r="CII807" s="3787"/>
      <c r="CIJ807" s="3787"/>
      <c r="CIK807" s="3787"/>
      <c r="CIL807" s="3787"/>
      <c r="CIM807" s="3787"/>
      <c r="CIN807" s="3787"/>
      <c r="CIO807" s="3787"/>
      <c r="CIP807" s="3787"/>
      <c r="CIQ807" s="3787"/>
      <c r="CIR807" s="3787"/>
      <c r="CIS807" s="3787"/>
      <c r="CIT807" s="3787"/>
      <c r="CIU807" s="3787"/>
      <c r="CIV807" s="3787"/>
      <c r="CIW807" s="3787"/>
      <c r="CIX807" s="3787"/>
      <c r="CIY807" s="3787"/>
      <c r="CIZ807" s="3787"/>
      <c r="CJA807" s="3787"/>
      <c r="CJB807" s="3787"/>
      <c r="CJC807" s="3787"/>
      <c r="CJD807" s="3787"/>
      <c r="CJE807" s="3787"/>
      <c r="CJF807" s="3787"/>
      <c r="CJG807" s="3787"/>
      <c r="CJH807" s="3787"/>
      <c r="CJI807" s="3787"/>
      <c r="CJJ807" s="3787"/>
      <c r="CJK807" s="3787"/>
      <c r="CJL807" s="3787"/>
      <c r="CJM807" s="3787"/>
      <c r="CJN807" s="3787"/>
      <c r="CJO807" s="3787"/>
      <c r="CJP807" s="3787"/>
      <c r="CJQ807" s="3787"/>
      <c r="CJV807" s="3787"/>
      <c r="CKB807" s="3787"/>
      <c r="CKC807" s="3787"/>
      <c r="CKD807" s="3787"/>
      <c r="CKH807" s="3787"/>
      <c r="CKO807" s="3787"/>
      <c r="CKP807" s="3787"/>
      <c r="CKQ807" s="3787"/>
      <c r="CKR807" s="3787"/>
      <c r="CKS807" s="3787"/>
      <c r="CKT807" s="3787"/>
      <c r="CKU807" s="3787"/>
      <c r="CKV807" s="3787"/>
      <c r="CKW807" s="3787"/>
      <c r="CKX807" s="3787"/>
      <c r="CKY807" s="3787"/>
      <c r="CKZ807" s="3787"/>
      <c r="CLA807" s="3787"/>
      <c r="CLB807" s="3787"/>
      <c r="CLC807" s="3787"/>
      <c r="CLD807" s="3787"/>
      <c r="CLE807" s="3787"/>
      <c r="CLF807" s="3787"/>
      <c r="CLG807" s="3787"/>
      <c r="CLH807" s="3787"/>
      <c r="CLI807" s="3787"/>
      <c r="CLJ807" s="3787"/>
      <c r="CLK807" s="3787"/>
      <c r="CLL807" s="3787"/>
      <c r="CLM807" s="3787"/>
      <c r="CLN807" s="3787"/>
      <c r="CLO807" s="3787"/>
      <c r="CLP807" s="3787"/>
      <c r="CLQ807" s="3787"/>
      <c r="CLR807" s="3787"/>
      <c r="CLS807" s="3787"/>
      <c r="CLT807" s="3787"/>
      <c r="CLU807" s="3787"/>
      <c r="CLV807" s="3787"/>
      <c r="CLW807" s="3787"/>
      <c r="CLX807" s="3787"/>
      <c r="CLY807" s="3787"/>
      <c r="CLZ807" s="3787"/>
      <c r="CMA807" s="3787"/>
      <c r="CMB807" s="3787"/>
      <c r="CMC807" s="3787"/>
      <c r="CMD807" s="3787"/>
      <c r="CME807" s="3787"/>
      <c r="CMF807" s="3787"/>
      <c r="CMG807" s="3787"/>
      <c r="CMH807" s="3787"/>
      <c r="CMI807" s="3787"/>
      <c r="CMJ807" s="3787"/>
      <c r="CMK807" s="3787"/>
      <c r="CML807" s="3787"/>
      <c r="CMM807" s="3787"/>
      <c r="CMN807" s="3787"/>
      <c r="CMO807" s="3787"/>
      <c r="CMP807" s="3787"/>
      <c r="CMQ807" s="3787"/>
      <c r="CMR807" s="3787"/>
      <c r="CMS807" s="3787"/>
      <c r="CMT807" s="3787"/>
      <c r="CMU807" s="3787"/>
      <c r="CMV807" s="3787"/>
      <c r="CMW807" s="3787"/>
      <c r="CMX807" s="3787"/>
      <c r="CMY807" s="3787"/>
      <c r="CMZ807" s="3787"/>
      <c r="CNA807" s="3787"/>
      <c r="CNB807" s="3787"/>
      <c r="CNC807" s="3787"/>
      <c r="CND807" s="3787"/>
      <c r="CNE807" s="3787"/>
      <c r="CNF807" s="3787"/>
      <c r="CNG807" s="3787"/>
      <c r="CNH807" s="3787"/>
      <c r="CNI807" s="3787"/>
      <c r="CNJ807" s="3787"/>
      <c r="CNK807" s="3787"/>
      <c r="CNL807" s="3787"/>
      <c r="CNM807" s="3787"/>
      <c r="CNN807" s="3787"/>
      <c r="CNO807" s="3787"/>
      <c r="CNP807" s="3787"/>
      <c r="CNQ807" s="3787"/>
      <c r="CNR807" s="3787"/>
      <c r="CNS807" s="3787"/>
      <c r="CNT807" s="3787"/>
      <c r="CNU807" s="3787"/>
      <c r="CNV807" s="3787"/>
      <c r="CNW807" s="3787"/>
      <c r="CNX807" s="3787"/>
      <c r="CNY807" s="3787"/>
      <c r="CNZ807" s="3787"/>
      <c r="COA807" s="3787"/>
      <c r="COB807" s="3787"/>
      <c r="COC807" s="3787"/>
      <c r="COD807" s="3787"/>
      <c r="COE807" s="3787"/>
      <c r="COF807" s="3787"/>
      <c r="COG807" s="3787"/>
      <c r="COH807" s="3787"/>
      <c r="COI807" s="3787"/>
      <c r="COJ807" s="3787"/>
      <c r="COK807" s="3787"/>
      <c r="COL807" s="3787"/>
      <c r="COM807" s="3787"/>
      <c r="CON807" s="3787"/>
      <c r="COO807" s="3787"/>
      <c r="COP807" s="3787"/>
      <c r="COQ807" s="3787"/>
      <c r="COR807" s="3787"/>
      <c r="COS807" s="3787"/>
      <c r="COT807" s="3787"/>
      <c r="COU807" s="3787"/>
      <c r="COV807" s="3787"/>
      <c r="COW807" s="3787"/>
      <c r="COX807" s="3787"/>
      <c r="COY807" s="3787"/>
      <c r="COZ807" s="3787"/>
      <c r="CPA807" s="3787"/>
      <c r="CPB807" s="3787"/>
      <c r="CPC807" s="3787"/>
      <c r="CPD807" s="3787"/>
      <c r="CPE807" s="3787"/>
      <c r="CPF807" s="3787"/>
      <c r="CPG807" s="3787"/>
      <c r="CPH807" s="3787"/>
      <c r="CPI807" s="3787"/>
      <c r="CPJ807" s="3787"/>
      <c r="CPK807" s="3787"/>
      <c r="CPL807" s="3787"/>
      <c r="CPM807" s="3787"/>
      <c r="CPN807" s="3787"/>
      <c r="CPO807" s="3787"/>
      <c r="CPP807" s="3787"/>
      <c r="CPQ807" s="3787"/>
      <c r="CPR807" s="3787"/>
      <c r="CPS807" s="3787"/>
      <c r="CPT807" s="3787"/>
      <c r="CPU807" s="3787"/>
      <c r="CPV807" s="3787"/>
      <c r="CPW807" s="3787"/>
      <c r="CPX807" s="3787"/>
      <c r="CPY807" s="3787"/>
      <c r="CPZ807" s="3787"/>
      <c r="CQA807" s="3787"/>
      <c r="CQB807" s="3787"/>
      <c r="CQC807" s="3787"/>
      <c r="CQD807" s="3787"/>
      <c r="CQE807" s="3787"/>
      <c r="CQF807" s="3787"/>
      <c r="CQG807" s="3787"/>
      <c r="CQH807" s="3787"/>
      <c r="CQI807" s="3787"/>
      <c r="CQJ807" s="3787"/>
      <c r="CQK807" s="3787"/>
      <c r="CQL807" s="3787"/>
      <c r="CQM807" s="3787"/>
      <c r="CQN807" s="3787"/>
      <c r="CQO807" s="3787"/>
      <c r="CQP807" s="3787"/>
      <c r="CQQ807" s="3787"/>
      <c r="CQR807" s="3787"/>
      <c r="CQS807" s="3787"/>
      <c r="CQT807" s="3787"/>
      <c r="CQU807" s="3787"/>
      <c r="CQV807" s="3787"/>
      <c r="CQW807" s="3787"/>
      <c r="CQX807" s="3787"/>
      <c r="CQY807" s="3787"/>
      <c r="CQZ807" s="3787"/>
      <c r="CRA807" s="3787"/>
      <c r="CRB807" s="3787"/>
      <c r="CRC807" s="3787"/>
      <c r="CRD807" s="3787"/>
      <c r="CRE807" s="3787"/>
      <c r="CRF807" s="3787"/>
      <c r="CRG807" s="3787"/>
      <c r="CRH807" s="3787"/>
      <c r="CRI807" s="3787"/>
      <c r="CRJ807" s="3787"/>
      <c r="CRK807" s="3787"/>
      <c r="CRL807" s="3787"/>
      <c r="CRM807" s="3787"/>
      <c r="CRN807" s="3787"/>
      <c r="CRO807" s="3787"/>
      <c r="CRP807" s="3787"/>
      <c r="CRQ807" s="3787"/>
      <c r="CRR807" s="3787"/>
      <c r="CRS807" s="3787"/>
      <c r="CRT807" s="3787"/>
      <c r="CRU807" s="3787"/>
      <c r="CRV807" s="3787"/>
      <c r="CRW807" s="3787"/>
      <c r="CRX807" s="3787"/>
      <c r="CRY807" s="3787"/>
      <c r="CRZ807" s="3787"/>
      <c r="CSA807" s="3787"/>
      <c r="CSB807" s="3787"/>
      <c r="CSC807" s="3787"/>
      <c r="CSD807" s="3787"/>
      <c r="CSE807" s="3787"/>
      <c r="CSF807" s="3787"/>
      <c r="CSG807" s="3787"/>
      <c r="CSH807" s="3787"/>
      <c r="CSI807" s="3787"/>
      <c r="CSJ807" s="3787"/>
      <c r="CSK807" s="3787"/>
      <c r="CSL807" s="3787"/>
      <c r="CSM807" s="3787"/>
      <c r="CSN807" s="3787"/>
      <c r="CSO807" s="3787"/>
      <c r="CSP807" s="3787"/>
      <c r="CSQ807" s="3787"/>
      <c r="CSR807" s="3787"/>
      <c r="CSS807" s="3787"/>
      <c r="CST807" s="3787"/>
      <c r="CSU807" s="3787"/>
      <c r="CSV807" s="3787"/>
      <c r="CSW807" s="3787"/>
      <c r="CSX807" s="3787"/>
      <c r="CSY807" s="3787"/>
      <c r="CSZ807" s="3787"/>
      <c r="CTA807" s="3787"/>
      <c r="CTB807" s="3787"/>
      <c r="CTC807" s="3787"/>
      <c r="CTD807" s="3787"/>
      <c r="CTE807" s="3787"/>
      <c r="CTF807" s="3787"/>
      <c r="CTG807" s="3787"/>
      <c r="CTH807" s="3787"/>
      <c r="CTI807" s="3787"/>
      <c r="CTJ807" s="3787"/>
      <c r="CTK807" s="3787"/>
      <c r="CTL807" s="3787"/>
      <c r="CTM807" s="3787"/>
      <c r="CTR807" s="3787"/>
      <c r="CTX807" s="3787"/>
      <c r="CTY807" s="3787"/>
      <c r="CTZ807" s="3787"/>
      <c r="CUD807" s="3787"/>
      <c r="CUK807" s="3787"/>
      <c r="CUL807" s="3787"/>
      <c r="CUM807" s="3787"/>
      <c r="CUN807" s="3787"/>
      <c r="CUO807" s="3787"/>
      <c r="CUP807" s="3787"/>
      <c r="CUQ807" s="3787"/>
      <c r="CUR807" s="3787"/>
      <c r="CUS807" s="3787"/>
      <c r="CUT807" s="3787"/>
      <c r="CUU807" s="3787"/>
      <c r="CUV807" s="3787"/>
      <c r="CUW807" s="3787"/>
      <c r="CUX807" s="3787"/>
      <c r="CUY807" s="3787"/>
      <c r="CUZ807" s="3787"/>
      <c r="CVA807" s="3787"/>
      <c r="CVB807" s="3787"/>
      <c r="CVC807" s="3787"/>
      <c r="CVD807" s="3787"/>
      <c r="CVE807" s="3787"/>
      <c r="CVF807" s="3787"/>
      <c r="CVG807" s="3787"/>
      <c r="CVH807" s="3787"/>
      <c r="CVI807" s="3787"/>
      <c r="CVJ807" s="3787"/>
      <c r="CVK807" s="3787"/>
      <c r="CVL807" s="3787"/>
      <c r="CVM807" s="3787"/>
      <c r="CVN807" s="3787"/>
      <c r="CVO807" s="3787"/>
      <c r="CVP807" s="3787"/>
      <c r="CVQ807" s="3787"/>
      <c r="CVR807" s="3787"/>
      <c r="CVS807" s="3787"/>
      <c r="CVT807" s="3787"/>
      <c r="CVU807" s="3787"/>
      <c r="CVV807" s="3787"/>
      <c r="CVW807" s="3787"/>
      <c r="CVX807" s="3787"/>
      <c r="CVY807" s="3787"/>
      <c r="CVZ807" s="3787"/>
      <c r="CWA807" s="3787"/>
      <c r="CWB807" s="3787"/>
      <c r="CWC807" s="3787"/>
      <c r="CWD807" s="3787"/>
      <c r="CWE807" s="3787"/>
      <c r="CWF807" s="3787"/>
      <c r="CWG807" s="3787"/>
      <c r="CWH807" s="3787"/>
      <c r="CWI807" s="3787"/>
      <c r="CWJ807" s="3787"/>
      <c r="CWK807" s="3787"/>
      <c r="CWL807" s="3787"/>
      <c r="CWM807" s="3787"/>
      <c r="CWN807" s="3787"/>
      <c r="CWO807" s="3787"/>
      <c r="CWP807" s="3787"/>
      <c r="CWQ807" s="3787"/>
      <c r="CWR807" s="3787"/>
      <c r="CWS807" s="3787"/>
      <c r="CWT807" s="3787"/>
      <c r="CWU807" s="3787"/>
      <c r="CWV807" s="3787"/>
      <c r="CWW807" s="3787"/>
      <c r="CWX807" s="3787"/>
      <c r="CWY807" s="3787"/>
      <c r="CWZ807" s="3787"/>
      <c r="CXA807" s="3787"/>
      <c r="CXB807" s="3787"/>
      <c r="CXC807" s="3787"/>
      <c r="CXD807" s="3787"/>
      <c r="CXE807" s="3787"/>
      <c r="CXF807" s="3787"/>
      <c r="CXG807" s="3787"/>
      <c r="CXH807" s="3787"/>
      <c r="CXI807" s="3787"/>
      <c r="CXJ807" s="3787"/>
      <c r="CXK807" s="3787"/>
      <c r="CXL807" s="3787"/>
      <c r="CXM807" s="3787"/>
      <c r="CXN807" s="3787"/>
      <c r="CXO807" s="3787"/>
      <c r="CXP807" s="3787"/>
      <c r="CXQ807" s="3787"/>
      <c r="CXR807" s="3787"/>
      <c r="CXS807" s="3787"/>
      <c r="CXT807" s="3787"/>
      <c r="CXU807" s="3787"/>
      <c r="CXV807" s="3787"/>
      <c r="CXW807" s="3787"/>
      <c r="CXX807" s="3787"/>
      <c r="CXY807" s="3787"/>
      <c r="CXZ807" s="3787"/>
      <c r="CYA807" s="3787"/>
      <c r="CYB807" s="3787"/>
      <c r="CYC807" s="3787"/>
      <c r="CYD807" s="3787"/>
      <c r="CYE807" s="3787"/>
      <c r="CYF807" s="3787"/>
      <c r="CYG807" s="3787"/>
      <c r="CYH807" s="3787"/>
      <c r="CYI807" s="3787"/>
      <c r="CYJ807" s="3787"/>
      <c r="CYK807" s="3787"/>
      <c r="CYL807" s="3787"/>
      <c r="CYM807" s="3787"/>
      <c r="CYN807" s="3787"/>
      <c r="CYO807" s="3787"/>
      <c r="CYP807" s="3787"/>
      <c r="CYQ807" s="3787"/>
      <c r="CYR807" s="3787"/>
      <c r="CYS807" s="3787"/>
      <c r="CYT807" s="3787"/>
      <c r="CYU807" s="3787"/>
      <c r="CYV807" s="3787"/>
      <c r="CYW807" s="3787"/>
      <c r="CYX807" s="3787"/>
      <c r="CYY807" s="3787"/>
      <c r="CYZ807" s="3787"/>
      <c r="CZA807" s="3787"/>
      <c r="CZB807" s="3787"/>
      <c r="CZC807" s="3787"/>
      <c r="CZD807" s="3787"/>
      <c r="CZE807" s="3787"/>
      <c r="CZF807" s="3787"/>
      <c r="CZG807" s="3787"/>
      <c r="CZH807" s="3787"/>
      <c r="CZI807" s="3787"/>
      <c r="CZJ807" s="3787"/>
      <c r="CZK807" s="3787"/>
      <c r="CZL807" s="3787"/>
      <c r="CZM807" s="3787"/>
      <c r="CZN807" s="3787"/>
      <c r="CZO807" s="3787"/>
      <c r="CZP807" s="3787"/>
      <c r="CZQ807" s="3787"/>
      <c r="CZR807" s="3787"/>
      <c r="CZS807" s="3787"/>
      <c r="CZT807" s="3787"/>
      <c r="CZU807" s="3787"/>
      <c r="CZV807" s="3787"/>
      <c r="CZW807" s="3787"/>
      <c r="CZX807" s="3787"/>
      <c r="CZY807" s="3787"/>
      <c r="CZZ807" s="3787"/>
      <c r="DAA807" s="3787"/>
      <c r="DAB807" s="3787"/>
      <c r="DAC807" s="3787"/>
      <c r="DAD807" s="3787"/>
      <c r="DAE807" s="3787"/>
      <c r="DAF807" s="3787"/>
      <c r="DAG807" s="3787"/>
      <c r="DAH807" s="3787"/>
      <c r="DAI807" s="3787"/>
      <c r="DAJ807" s="3787"/>
      <c r="DAK807" s="3787"/>
      <c r="DAL807" s="3787"/>
      <c r="DAM807" s="3787"/>
      <c r="DAN807" s="3787"/>
      <c r="DAO807" s="3787"/>
      <c r="DAP807" s="3787"/>
      <c r="DAQ807" s="3787"/>
      <c r="DAR807" s="3787"/>
      <c r="DAS807" s="3787"/>
      <c r="DAT807" s="3787"/>
      <c r="DAU807" s="3787"/>
      <c r="DAV807" s="3787"/>
      <c r="DAW807" s="3787"/>
      <c r="DAX807" s="3787"/>
      <c r="DAY807" s="3787"/>
      <c r="DAZ807" s="3787"/>
      <c r="DBA807" s="3787"/>
      <c r="DBB807" s="3787"/>
      <c r="DBC807" s="3787"/>
      <c r="DBD807" s="3787"/>
      <c r="DBE807" s="3787"/>
      <c r="DBF807" s="3787"/>
      <c r="DBG807" s="3787"/>
      <c r="DBH807" s="3787"/>
      <c r="DBI807" s="3787"/>
      <c r="DBJ807" s="3787"/>
      <c r="DBK807" s="3787"/>
      <c r="DBL807" s="3787"/>
      <c r="DBM807" s="3787"/>
      <c r="DBN807" s="3787"/>
      <c r="DBO807" s="3787"/>
      <c r="DBP807" s="3787"/>
      <c r="DBQ807" s="3787"/>
      <c r="DBR807" s="3787"/>
      <c r="DBS807" s="3787"/>
      <c r="DBT807" s="3787"/>
      <c r="DBU807" s="3787"/>
      <c r="DBV807" s="3787"/>
      <c r="DBW807" s="3787"/>
      <c r="DBX807" s="3787"/>
      <c r="DBY807" s="3787"/>
      <c r="DBZ807" s="3787"/>
      <c r="DCA807" s="3787"/>
      <c r="DCB807" s="3787"/>
      <c r="DCC807" s="3787"/>
      <c r="DCD807" s="3787"/>
      <c r="DCE807" s="3787"/>
      <c r="DCF807" s="3787"/>
      <c r="DCG807" s="3787"/>
      <c r="DCH807" s="3787"/>
      <c r="DCI807" s="3787"/>
      <c r="DCJ807" s="3787"/>
      <c r="DCK807" s="3787"/>
      <c r="DCL807" s="3787"/>
      <c r="DCM807" s="3787"/>
      <c r="DCN807" s="3787"/>
      <c r="DCO807" s="3787"/>
      <c r="DCP807" s="3787"/>
      <c r="DCQ807" s="3787"/>
      <c r="DCR807" s="3787"/>
      <c r="DCS807" s="3787"/>
      <c r="DCT807" s="3787"/>
      <c r="DCU807" s="3787"/>
      <c r="DCV807" s="3787"/>
      <c r="DCW807" s="3787"/>
      <c r="DCX807" s="3787"/>
      <c r="DCY807" s="3787"/>
      <c r="DCZ807" s="3787"/>
      <c r="DDA807" s="3787"/>
      <c r="DDB807" s="3787"/>
      <c r="DDC807" s="3787"/>
      <c r="DDD807" s="3787"/>
      <c r="DDE807" s="3787"/>
      <c r="DDF807" s="3787"/>
      <c r="DDG807" s="3787"/>
      <c r="DDH807" s="3787"/>
      <c r="DDI807" s="3787"/>
      <c r="DDN807" s="3787"/>
      <c r="DDT807" s="3787"/>
      <c r="DDU807" s="3787"/>
      <c r="DDV807" s="3787"/>
      <c r="DDZ807" s="3787"/>
      <c r="DEG807" s="3787"/>
      <c r="DEH807" s="3787"/>
      <c r="DEI807" s="3787"/>
      <c r="DEJ807" s="3787"/>
      <c r="DEK807" s="3787"/>
      <c r="DEL807" s="3787"/>
      <c r="DEM807" s="3787"/>
      <c r="DEN807" s="3787"/>
      <c r="DEO807" s="3787"/>
      <c r="DEP807" s="3787"/>
      <c r="DEQ807" s="3787"/>
      <c r="DER807" s="3787"/>
      <c r="DES807" s="3787"/>
      <c r="DET807" s="3787"/>
      <c r="DEU807" s="3787"/>
      <c r="DEV807" s="3787"/>
      <c r="DEW807" s="3787"/>
      <c r="DEX807" s="3787"/>
      <c r="DEY807" s="3787"/>
      <c r="DEZ807" s="3787"/>
      <c r="DFA807" s="3787"/>
      <c r="DFB807" s="3787"/>
      <c r="DFC807" s="3787"/>
      <c r="DFD807" s="3787"/>
      <c r="DFE807" s="3787"/>
      <c r="DFF807" s="3787"/>
      <c r="DFG807" s="3787"/>
      <c r="DFH807" s="3787"/>
      <c r="DFI807" s="3787"/>
      <c r="DFJ807" s="3787"/>
      <c r="DFK807" s="3787"/>
      <c r="DFL807" s="3787"/>
      <c r="DFM807" s="3787"/>
      <c r="DFN807" s="3787"/>
      <c r="DFO807" s="3787"/>
      <c r="DFP807" s="3787"/>
      <c r="DFQ807" s="3787"/>
      <c r="DFR807" s="3787"/>
      <c r="DFS807" s="3787"/>
      <c r="DFT807" s="3787"/>
      <c r="DFU807" s="3787"/>
      <c r="DFV807" s="3787"/>
      <c r="DFW807" s="3787"/>
      <c r="DFX807" s="3787"/>
      <c r="DFY807" s="3787"/>
      <c r="DFZ807" s="3787"/>
      <c r="DGA807" s="3787"/>
      <c r="DGB807" s="3787"/>
      <c r="DGC807" s="3787"/>
      <c r="DGD807" s="3787"/>
      <c r="DGE807" s="3787"/>
      <c r="DGF807" s="3787"/>
      <c r="DGG807" s="3787"/>
      <c r="DGH807" s="3787"/>
      <c r="DGI807" s="3787"/>
      <c r="DGJ807" s="3787"/>
      <c r="DGK807" s="3787"/>
      <c r="DGL807" s="3787"/>
      <c r="DGM807" s="3787"/>
      <c r="DGN807" s="3787"/>
      <c r="DGO807" s="3787"/>
      <c r="DGP807" s="3787"/>
      <c r="DGQ807" s="3787"/>
      <c r="DGR807" s="3787"/>
      <c r="DGS807" s="3787"/>
      <c r="DGT807" s="3787"/>
      <c r="DGU807" s="3787"/>
      <c r="DGV807" s="3787"/>
      <c r="DGW807" s="3787"/>
      <c r="DGX807" s="3787"/>
      <c r="DGY807" s="3787"/>
      <c r="DGZ807" s="3787"/>
      <c r="DHA807" s="3787"/>
      <c r="DHB807" s="3787"/>
      <c r="DHC807" s="3787"/>
      <c r="DHD807" s="3787"/>
      <c r="DHE807" s="3787"/>
      <c r="DHF807" s="3787"/>
      <c r="DHG807" s="3787"/>
      <c r="DHH807" s="3787"/>
      <c r="DHI807" s="3787"/>
      <c r="DHJ807" s="3787"/>
      <c r="DHK807" s="3787"/>
      <c r="DHL807" s="3787"/>
      <c r="DHM807" s="3787"/>
      <c r="DHN807" s="3787"/>
      <c r="DHO807" s="3787"/>
      <c r="DHP807" s="3787"/>
      <c r="DHQ807" s="3787"/>
      <c r="DHR807" s="3787"/>
      <c r="DHS807" s="3787"/>
      <c r="DHT807" s="3787"/>
      <c r="DHU807" s="3787"/>
      <c r="DHV807" s="3787"/>
      <c r="DHW807" s="3787"/>
      <c r="DHX807" s="3787"/>
      <c r="DHY807" s="3787"/>
      <c r="DHZ807" s="3787"/>
      <c r="DIA807" s="3787"/>
      <c r="DIB807" s="3787"/>
      <c r="DIC807" s="3787"/>
      <c r="DID807" s="3787"/>
      <c r="DIE807" s="3787"/>
      <c r="DIF807" s="3787"/>
      <c r="DIG807" s="3787"/>
      <c r="DIH807" s="3787"/>
      <c r="DII807" s="3787"/>
      <c r="DIJ807" s="3787"/>
      <c r="DIK807" s="3787"/>
      <c r="DIL807" s="3787"/>
      <c r="DIM807" s="3787"/>
      <c r="DIN807" s="3787"/>
      <c r="DIO807" s="3787"/>
      <c r="DIP807" s="3787"/>
      <c r="DIQ807" s="3787"/>
      <c r="DIR807" s="3787"/>
      <c r="DIS807" s="3787"/>
      <c r="DIT807" s="3787"/>
      <c r="DIU807" s="3787"/>
      <c r="DIV807" s="3787"/>
      <c r="DIW807" s="3787"/>
      <c r="DIX807" s="3787"/>
      <c r="DIY807" s="3787"/>
      <c r="DIZ807" s="3787"/>
      <c r="DJA807" s="3787"/>
      <c r="DJB807" s="3787"/>
      <c r="DJC807" s="3787"/>
      <c r="DJD807" s="3787"/>
      <c r="DJE807" s="3787"/>
      <c r="DJF807" s="3787"/>
      <c r="DJG807" s="3787"/>
      <c r="DJH807" s="3787"/>
      <c r="DJI807" s="3787"/>
      <c r="DJJ807" s="3787"/>
      <c r="DJK807" s="3787"/>
      <c r="DJL807" s="3787"/>
      <c r="DJM807" s="3787"/>
      <c r="DJN807" s="3787"/>
      <c r="DJO807" s="3787"/>
      <c r="DJP807" s="3787"/>
      <c r="DJQ807" s="3787"/>
      <c r="DJR807" s="3787"/>
      <c r="DJS807" s="3787"/>
      <c r="DJT807" s="3787"/>
      <c r="DJU807" s="3787"/>
      <c r="DJV807" s="3787"/>
      <c r="DJW807" s="3787"/>
      <c r="DJX807" s="3787"/>
      <c r="DJY807" s="3787"/>
      <c r="DJZ807" s="3787"/>
      <c r="DKA807" s="3787"/>
      <c r="DKB807" s="3787"/>
      <c r="DKC807" s="3787"/>
      <c r="DKD807" s="3787"/>
      <c r="DKE807" s="3787"/>
      <c r="DKF807" s="3787"/>
      <c r="DKG807" s="3787"/>
      <c r="DKH807" s="3787"/>
      <c r="DKI807" s="3787"/>
      <c r="DKJ807" s="3787"/>
      <c r="DKK807" s="3787"/>
      <c r="DKL807" s="3787"/>
      <c r="DKM807" s="3787"/>
      <c r="DKN807" s="3787"/>
      <c r="DKO807" s="3787"/>
      <c r="DKP807" s="3787"/>
      <c r="DKQ807" s="3787"/>
      <c r="DKR807" s="3787"/>
      <c r="DKS807" s="3787"/>
      <c r="DKT807" s="3787"/>
      <c r="DKU807" s="3787"/>
      <c r="DKV807" s="3787"/>
      <c r="DKW807" s="3787"/>
      <c r="DKX807" s="3787"/>
      <c r="DKY807" s="3787"/>
      <c r="DKZ807" s="3787"/>
      <c r="DLA807" s="3787"/>
      <c r="DLB807" s="3787"/>
      <c r="DLC807" s="3787"/>
      <c r="DLD807" s="3787"/>
      <c r="DLE807" s="3787"/>
      <c r="DLF807" s="3787"/>
      <c r="DLG807" s="3787"/>
      <c r="DLH807" s="3787"/>
      <c r="DLI807" s="3787"/>
      <c r="DLJ807" s="3787"/>
      <c r="DLK807" s="3787"/>
      <c r="DLL807" s="3787"/>
      <c r="DLM807" s="3787"/>
      <c r="DLN807" s="3787"/>
      <c r="DLO807" s="3787"/>
      <c r="DLP807" s="3787"/>
      <c r="DLQ807" s="3787"/>
      <c r="DLR807" s="3787"/>
      <c r="DLS807" s="3787"/>
      <c r="DLT807" s="3787"/>
      <c r="DLU807" s="3787"/>
      <c r="DLV807" s="3787"/>
      <c r="DLW807" s="3787"/>
      <c r="DLX807" s="3787"/>
      <c r="DLY807" s="3787"/>
      <c r="DLZ807" s="3787"/>
      <c r="DMA807" s="3787"/>
      <c r="DMB807" s="3787"/>
      <c r="DMC807" s="3787"/>
      <c r="DMD807" s="3787"/>
      <c r="DME807" s="3787"/>
      <c r="DMF807" s="3787"/>
      <c r="DMG807" s="3787"/>
      <c r="DMH807" s="3787"/>
      <c r="DMI807" s="3787"/>
      <c r="DMJ807" s="3787"/>
      <c r="DMK807" s="3787"/>
      <c r="DML807" s="3787"/>
      <c r="DMM807" s="3787"/>
      <c r="DMN807" s="3787"/>
      <c r="DMO807" s="3787"/>
      <c r="DMP807" s="3787"/>
      <c r="DMQ807" s="3787"/>
      <c r="DMR807" s="3787"/>
      <c r="DMS807" s="3787"/>
      <c r="DMT807" s="3787"/>
      <c r="DMU807" s="3787"/>
      <c r="DMV807" s="3787"/>
      <c r="DMW807" s="3787"/>
      <c r="DMX807" s="3787"/>
      <c r="DMY807" s="3787"/>
      <c r="DMZ807" s="3787"/>
      <c r="DNA807" s="3787"/>
      <c r="DNB807" s="3787"/>
      <c r="DNC807" s="3787"/>
      <c r="DND807" s="3787"/>
      <c r="DNE807" s="3787"/>
      <c r="DNJ807" s="3787"/>
      <c r="DNP807" s="3787"/>
      <c r="DNQ807" s="3787"/>
      <c r="DNR807" s="3787"/>
      <c r="DNV807" s="3787"/>
      <c r="DOC807" s="3787"/>
      <c r="DOD807" s="3787"/>
      <c r="DOE807" s="3787"/>
      <c r="DOF807" s="3787"/>
      <c r="DOG807" s="3787"/>
      <c r="DOH807" s="3787"/>
      <c r="DOI807" s="3787"/>
      <c r="DOJ807" s="3787"/>
      <c r="DOK807" s="3787"/>
      <c r="DOL807" s="3787"/>
      <c r="DOM807" s="3787"/>
      <c r="DON807" s="3787"/>
      <c r="DOO807" s="3787"/>
      <c r="DOP807" s="3787"/>
      <c r="DOQ807" s="3787"/>
      <c r="DOR807" s="3787"/>
      <c r="DOS807" s="3787"/>
      <c r="DOT807" s="3787"/>
      <c r="DOU807" s="3787"/>
      <c r="DOV807" s="3787"/>
      <c r="DOW807" s="3787"/>
      <c r="DOX807" s="3787"/>
      <c r="DOY807" s="3787"/>
      <c r="DOZ807" s="3787"/>
      <c r="DPA807" s="3787"/>
      <c r="DPB807" s="3787"/>
      <c r="DPC807" s="3787"/>
      <c r="DPD807" s="3787"/>
      <c r="DPE807" s="3787"/>
      <c r="DPF807" s="3787"/>
      <c r="DPG807" s="3787"/>
      <c r="DPH807" s="3787"/>
      <c r="DPI807" s="3787"/>
      <c r="DPJ807" s="3787"/>
      <c r="DPK807" s="3787"/>
      <c r="DPL807" s="3787"/>
      <c r="DPM807" s="3787"/>
      <c r="DPN807" s="3787"/>
      <c r="DPO807" s="3787"/>
      <c r="DPP807" s="3787"/>
      <c r="DPQ807" s="3787"/>
      <c r="DPR807" s="3787"/>
      <c r="DPS807" s="3787"/>
      <c r="DPT807" s="3787"/>
      <c r="DPU807" s="3787"/>
      <c r="DPV807" s="3787"/>
      <c r="DPW807" s="3787"/>
      <c r="DPX807" s="3787"/>
      <c r="DPY807" s="3787"/>
      <c r="DPZ807" s="3787"/>
      <c r="DQA807" s="3787"/>
      <c r="DQB807" s="3787"/>
      <c r="DQC807" s="3787"/>
      <c r="DQD807" s="3787"/>
      <c r="DQE807" s="3787"/>
      <c r="DQF807" s="3787"/>
      <c r="DQG807" s="3787"/>
      <c r="DQH807" s="3787"/>
      <c r="DQI807" s="3787"/>
      <c r="DQJ807" s="3787"/>
      <c r="DQK807" s="3787"/>
      <c r="DQL807" s="3787"/>
      <c r="DQM807" s="3787"/>
      <c r="DQN807" s="3787"/>
      <c r="DQO807" s="3787"/>
      <c r="DQP807" s="3787"/>
      <c r="DQQ807" s="3787"/>
      <c r="DQR807" s="3787"/>
      <c r="DQS807" s="3787"/>
      <c r="DQT807" s="3787"/>
      <c r="DQU807" s="3787"/>
      <c r="DQV807" s="3787"/>
      <c r="DQW807" s="3787"/>
      <c r="DQX807" s="3787"/>
      <c r="DQY807" s="3787"/>
      <c r="DQZ807" s="3787"/>
      <c r="DRA807" s="3787"/>
      <c r="DRB807" s="3787"/>
      <c r="DRC807" s="3787"/>
      <c r="DRD807" s="3787"/>
      <c r="DRE807" s="3787"/>
      <c r="DRF807" s="3787"/>
      <c r="DRG807" s="3787"/>
      <c r="DRH807" s="3787"/>
      <c r="DRI807" s="3787"/>
      <c r="DRJ807" s="3787"/>
      <c r="DRK807" s="3787"/>
      <c r="DRL807" s="3787"/>
      <c r="DRM807" s="3787"/>
      <c r="DRN807" s="3787"/>
      <c r="DRO807" s="3787"/>
      <c r="DRP807" s="3787"/>
      <c r="DRQ807" s="3787"/>
      <c r="DRR807" s="3787"/>
      <c r="DRS807" s="3787"/>
      <c r="DRT807" s="3787"/>
      <c r="DRU807" s="3787"/>
      <c r="DRV807" s="3787"/>
      <c r="DRW807" s="3787"/>
      <c r="DRX807" s="3787"/>
      <c r="DRY807" s="3787"/>
      <c r="DRZ807" s="3787"/>
      <c r="DSA807" s="3787"/>
      <c r="DSB807" s="3787"/>
      <c r="DSC807" s="3787"/>
      <c r="DSD807" s="3787"/>
      <c r="DSE807" s="3787"/>
      <c r="DSF807" s="3787"/>
      <c r="DSG807" s="3787"/>
      <c r="DSH807" s="3787"/>
      <c r="DSI807" s="3787"/>
      <c r="DSJ807" s="3787"/>
      <c r="DSK807" s="3787"/>
      <c r="DSL807" s="3787"/>
      <c r="DSM807" s="3787"/>
      <c r="DSN807" s="3787"/>
      <c r="DSO807" s="3787"/>
      <c r="DSP807" s="3787"/>
      <c r="DSQ807" s="3787"/>
      <c r="DSR807" s="3787"/>
      <c r="DSS807" s="3787"/>
      <c r="DST807" s="3787"/>
      <c r="DSU807" s="3787"/>
      <c r="DSV807" s="3787"/>
      <c r="DSW807" s="3787"/>
      <c r="DSX807" s="3787"/>
      <c r="DSY807" s="3787"/>
      <c r="DSZ807" s="3787"/>
      <c r="DTA807" s="3787"/>
      <c r="DTB807" s="3787"/>
      <c r="DTC807" s="3787"/>
      <c r="DTD807" s="3787"/>
      <c r="DTE807" s="3787"/>
      <c r="DTF807" s="3787"/>
      <c r="DTG807" s="3787"/>
      <c r="DTH807" s="3787"/>
      <c r="DTI807" s="3787"/>
      <c r="DTJ807" s="3787"/>
      <c r="DTK807" s="3787"/>
      <c r="DTL807" s="3787"/>
      <c r="DTM807" s="3787"/>
      <c r="DTN807" s="3787"/>
      <c r="DTO807" s="3787"/>
      <c r="DTP807" s="3787"/>
      <c r="DTQ807" s="3787"/>
      <c r="DTR807" s="3787"/>
      <c r="DTS807" s="3787"/>
      <c r="DTT807" s="3787"/>
      <c r="DTU807" s="3787"/>
      <c r="DTV807" s="3787"/>
      <c r="DTW807" s="3787"/>
      <c r="DTX807" s="3787"/>
      <c r="DTY807" s="3787"/>
      <c r="DTZ807" s="3787"/>
      <c r="DUA807" s="3787"/>
      <c r="DUB807" s="3787"/>
      <c r="DUC807" s="3787"/>
      <c r="DUD807" s="3787"/>
      <c r="DUE807" s="3787"/>
      <c r="DUF807" s="3787"/>
      <c r="DUG807" s="3787"/>
      <c r="DUH807" s="3787"/>
      <c r="DUI807" s="3787"/>
      <c r="DUJ807" s="3787"/>
      <c r="DUK807" s="3787"/>
      <c r="DUL807" s="3787"/>
      <c r="DUM807" s="3787"/>
      <c r="DUN807" s="3787"/>
      <c r="DUO807" s="3787"/>
      <c r="DUP807" s="3787"/>
      <c r="DUQ807" s="3787"/>
      <c r="DUR807" s="3787"/>
      <c r="DUS807" s="3787"/>
      <c r="DUT807" s="3787"/>
      <c r="DUU807" s="3787"/>
      <c r="DUV807" s="3787"/>
      <c r="DUW807" s="3787"/>
      <c r="DUX807" s="3787"/>
      <c r="DUY807" s="3787"/>
      <c r="DUZ807" s="3787"/>
      <c r="DVA807" s="3787"/>
      <c r="DVB807" s="3787"/>
      <c r="DVC807" s="3787"/>
      <c r="DVD807" s="3787"/>
      <c r="DVE807" s="3787"/>
      <c r="DVF807" s="3787"/>
      <c r="DVG807" s="3787"/>
      <c r="DVH807" s="3787"/>
      <c r="DVI807" s="3787"/>
      <c r="DVJ807" s="3787"/>
      <c r="DVK807" s="3787"/>
      <c r="DVL807" s="3787"/>
      <c r="DVM807" s="3787"/>
      <c r="DVN807" s="3787"/>
      <c r="DVO807" s="3787"/>
      <c r="DVP807" s="3787"/>
      <c r="DVQ807" s="3787"/>
      <c r="DVR807" s="3787"/>
      <c r="DVS807" s="3787"/>
      <c r="DVT807" s="3787"/>
      <c r="DVU807" s="3787"/>
      <c r="DVV807" s="3787"/>
      <c r="DVW807" s="3787"/>
      <c r="DVX807" s="3787"/>
      <c r="DVY807" s="3787"/>
      <c r="DVZ807" s="3787"/>
      <c r="DWA807" s="3787"/>
      <c r="DWB807" s="3787"/>
      <c r="DWC807" s="3787"/>
      <c r="DWD807" s="3787"/>
      <c r="DWE807" s="3787"/>
      <c r="DWF807" s="3787"/>
      <c r="DWG807" s="3787"/>
      <c r="DWH807" s="3787"/>
      <c r="DWI807" s="3787"/>
      <c r="DWJ807" s="3787"/>
      <c r="DWK807" s="3787"/>
      <c r="DWL807" s="3787"/>
      <c r="DWM807" s="3787"/>
      <c r="DWN807" s="3787"/>
      <c r="DWO807" s="3787"/>
      <c r="DWP807" s="3787"/>
      <c r="DWQ807" s="3787"/>
      <c r="DWR807" s="3787"/>
      <c r="DWS807" s="3787"/>
      <c r="DWT807" s="3787"/>
      <c r="DWU807" s="3787"/>
      <c r="DWV807" s="3787"/>
      <c r="DWW807" s="3787"/>
      <c r="DWX807" s="3787"/>
      <c r="DWY807" s="3787"/>
      <c r="DWZ807" s="3787"/>
      <c r="DXA807" s="3787"/>
      <c r="DXF807" s="3787"/>
      <c r="DXL807" s="3787"/>
      <c r="DXM807" s="3787"/>
      <c r="DXN807" s="3787"/>
      <c r="DXR807" s="3787"/>
      <c r="DXY807" s="3787"/>
      <c r="DXZ807" s="3787"/>
      <c r="DYA807" s="3787"/>
      <c r="DYB807" s="3787"/>
      <c r="DYC807" s="3787"/>
      <c r="DYD807" s="3787"/>
      <c r="DYE807" s="3787"/>
      <c r="DYF807" s="3787"/>
      <c r="DYG807" s="3787"/>
      <c r="DYH807" s="3787"/>
      <c r="DYI807" s="3787"/>
      <c r="DYJ807" s="3787"/>
      <c r="DYK807" s="3787"/>
      <c r="DYL807" s="3787"/>
      <c r="DYM807" s="3787"/>
      <c r="DYN807" s="3787"/>
      <c r="DYO807" s="3787"/>
      <c r="DYP807" s="3787"/>
      <c r="DYQ807" s="3787"/>
      <c r="DYR807" s="3787"/>
      <c r="DYS807" s="3787"/>
      <c r="DYT807" s="3787"/>
      <c r="DYU807" s="3787"/>
      <c r="DYV807" s="3787"/>
      <c r="DYW807" s="3787"/>
      <c r="DYX807" s="3787"/>
      <c r="DYY807" s="3787"/>
      <c r="DYZ807" s="3787"/>
      <c r="DZA807" s="3787"/>
      <c r="DZB807" s="3787"/>
      <c r="DZC807" s="3787"/>
      <c r="DZD807" s="3787"/>
      <c r="DZE807" s="3787"/>
      <c r="DZF807" s="3787"/>
      <c r="DZG807" s="3787"/>
      <c r="DZH807" s="3787"/>
      <c r="DZI807" s="3787"/>
      <c r="DZJ807" s="3787"/>
      <c r="DZK807" s="3787"/>
      <c r="DZL807" s="3787"/>
      <c r="DZM807" s="3787"/>
      <c r="DZN807" s="3787"/>
      <c r="DZO807" s="3787"/>
      <c r="DZP807" s="3787"/>
      <c r="DZQ807" s="3787"/>
      <c r="DZR807" s="3787"/>
      <c r="DZS807" s="3787"/>
      <c r="DZT807" s="3787"/>
      <c r="DZU807" s="3787"/>
      <c r="DZV807" s="3787"/>
      <c r="DZW807" s="3787"/>
      <c r="DZX807" s="3787"/>
      <c r="DZY807" s="3787"/>
      <c r="DZZ807" s="3787"/>
      <c r="EAA807" s="3787"/>
      <c r="EAB807" s="3787"/>
      <c r="EAC807" s="3787"/>
      <c r="EAD807" s="3787"/>
      <c r="EAE807" s="3787"/>
      <c r="EAF807" s="3787"/>
      <c r="EAG807" s="3787"/>
      <c r="EAH807" s="3787"/>
      <c r="EAI807" s="3787"/>
      <c r="EAJ807" s="3787"/>
      <c r="EAK807" s="3787"/>
      <c r="EAL807" s="3787"/>
      <c r="EAM807" s="3787"/>
      <c r="EAN807" s="3787"/>
      <c r="EAO807" s="3787"/>
      <c r="EAP807" s="3787"/>
      <c r="EAQ807" s="3787"/>
      <c r="EAR807" s="3787"/>
      <c r="EAS807" s="3787"/>
      <c r="EAT807" s="3787"/>
      <c r="EAU807" s="3787"/>
      <c r="EAV807" s="3787"/>
      <c r="EAW807" s="3787"/>
      <c r="EAX807" s="3787"/>
      <c r="EAY807" s="3787"/>
      <c r="EAZ807" s="3787"/>
      <c r="EBA807" s="3787"/>
      <c r="EBB807" s="3787"/>
      <c r="EBC807" s="3787"/>
      <c r="EBD807" s="3787"/>
      <c r="EBE807" s="3787"/>
      <c r="EBF807" s="3787"/>
      <c r="EBG807" s="3787"/>
      <c r="EBH807" s="3787"/>
      <c r="EBI807" s="3787"/>
      <c r="EBJ807" s="3787"/>
      <c r="EBK807" s="3787"/>
      <c r="EBL807" s="3787"/>
      <c r="EBM807" s="3787"/>
      <c r="EBN807" s="3787"/>
      <c r="EBO807" s="3787"/>
      <c r="EBP807" s="3787"/>
      <c r="EBQ807" s="3787"/>
      <c r="EBR807" s="3787"/>
      <c r="EBS807" s="3787"/>
      <c r="EBT807" s="3787"/>
      <c r="EBU807" s="3787"/>
      <c r="EBV807" s="3787"/>
      <c r="EBW807" s="3787"/>
      <c r="EBX807" s="3787"/>
      <c r="EBY807" s="3787"/>
      <c r="EBZ807" s="3787"/>
      <c r="ECA807" s="3787"/>
      <c r="ECB807" s="3787"/>
      <c r="ECC807" s="3787"/>
      <c r="ECD807" s="3787"/>
      <c r="ECE807" s="3787"/>
      <c r="ECF807" s="3787"/>
      <c r="ECG807" s="3787"/>
      <c r="ECH807" s="3787"/>
      <c r="ECI807" s="3787"/>
      <c r="ECJ807" s="3787"/>
      <c r="ECK807" s="3787"/>
      <c r="ECL807" s="3787"/>
      <c r="ECM807" s="3787"/>
      <c r="ECN807" s="3787"/>
      <c r="ECO807" s="3787"/>
      <c r="ECP807" s="3787"/>
      <c r="ECQ807" s="3787"/>
      <c r="ECR807" s="3787"/>
      <c r="ECS807" s="3787"/>
      <c r="ECT807" s="3787"/>
      <c r="ECU807" s="3787"/>
      <c r="ECV807" s="3787"/>
      <c r="ECW807" s="3787"/>
      <c r="ECX807" s="3787"/>
      <c r="ECY807" s="3787"/>
      <c r="ECZ807" s="3787"/>
      <c r="EDA807" s="3787"/>
      <c r="EDB807" s="3787"/>
      <c r="EDC807" s="3787"/>
      <c r="EDD807" s="3787"/>
      <c r="EDE807" s="3787"/>
      <c r="EDF807" s="3787"/>
      <c r="EDG807" s="3787"/>
      <c r="EDH807" s="3787"/>
      <c r="EDI807" s="3787"/>
      <c r="EDJ807" s="3787"/>
      <c r="EDK807" s="3787"/>
      <c r="EDL807" s="3787"/>
      <c r="EDM807" s="3787"/>
      <c r="EDN807" s="3787"/>
      <c r="EDO807" s="3787"/>
      <c r="EDP807" s="3787"/>
      <c r="EDQ807" s="3787"/>
      <c r="EDR807" s="3787"/>
      <c r="EDS807" s="3787"/>
      <c r="EDT807" s="3787"/>
      <c r="EDU807" s="3787"/>
      <c r="EDV807" s="3787"/>
      <c r="EDW807" s="3787"/>
      <c r="EDX807" s="3787"/>
      <c r="EDY807" s="3787"/>
      <c r="EDZ807" s="3787"/>
      <c r="EEA807" s="3787"/>
      <c r="EEB807" s="3787"/>
      <c r="EEC807" s="3787"/>
      <c r="EED807" s="3787"/>
      <c r="EEE807" s="3787"/>
      <c r="EEF807" s="3787"/>
      <c r="EEG807" s="3787"/>
      <c r="EEH807" s="3787"/>
      <c r="EEI807" s="3787"/>
      <c r="EEJ807" s="3787"/>
      <c r="EEK807" s="3787"/>
      <c r="EEL807" s="3787"/>
      <c r="EEM807" s="3787"/>
      <c r="EEN807" s="3787"/>
      <c r="EEO807" s="3787"/>
      <c r="EEP807" s="3787"/>
      <c r="EEQ807" s="3787"/>
      <c r="EER807" s="3787"/>
      <c r="EES807" s="3787"/>
      <c r="EET807" s="3787"/>
      <c r="EEU807" s="3787"/>
      <c r="EEV807" s="3787"/>
      <c r="EEW807" s="3787"/>
      <c r="EEX807" s="3787"/>
      <c r="EEY807" s="3787"/>
      <c r="EEZ807" s="3787"/>
      <c r="EFA807" s="3787"/>
      <c r="EFB807" s="3787"/>
      <c r="EFC807" s="3787"/>
      <c r="EFD807" s="3787"/>
      <c r="EFE807" s="3787"/>
      <c r="EFF807" s="3787"/>
      <c r="EFG807" s="3787"/>
      <c r="EFH807" s="3787"/>
      <c r="EFI807" s="3787"/>
      <c r="EFJ807" s="3787"/>
      <c r="EFK807" s="3787"/>
      <c r="EFL807" s="3787"/>
      <c r="EFM807" s="3787"/>
      <c r="EFN807" s="3787"/>
      <c r="EFO807" s="3787"/>
      <c r="EFP807" s="3787"/>
      <c r="EFQ807" s="3787"/>
      <c r="EFR807" s="3787"/>
      <c r="EFS807" s="3787"/>
      <c r="EFT807" s="3787"/>
      <c r="EFU807" s="3787"/>
      <c r="EFV807" s="3787"/>
      <c r="EFW807" s="3787"/>
      <c r="EFX807" s="3787"/>
      <c r="EFY807" s="3787"/>
      <c r="EFZ807" s="3787"/>
      <c r="EGA807" s="3787"/>
      <c r="EGB807" s="3787"/>
      <c r="EGC807" s="3787"/>
      <c r="EGD807" s="3787"/>
      <c r="EGE807" s="3787"/>
      <c r="EGF807" s="3787"/>
      <c r="EGG807" s="3787"/>
      <c r="EGH807" s="3787"/>
      <c r="EGI807" s="3787"/>
      <c r="EGJ807" s="3787"/>
      <c r="EGK807" s="3787"/>
      <c r="EGL807" s="3787"/>
      <c r="EGM807" s="3787"/>
      <c r="EGN807" s="3787"/>
      <c r="EGO807" s="3787"/>
      <c r="EGP807" s="3787"/>
      <c r="EGQ807" s="3787"/>
      <c r="EGR807" s="3787"/>
      <c r="EGS807" s="3787"/>
      <c r="EGT807" s="3787"/>
      <c r="EGU807" s="3787"/>
      <c r="EGV807" s="3787"/>
      <c r="EGW807" s="3787"/>
      <c r="EHB807" s="3787"/>
      <c r="EHH807" s="3787"/>
      <c r="EHI807" s="3787"/>
      <c r="EHJ807" s="3787"/>
      <c r="EHN807" s="3787"/>
      <c r="EHU807" s="3787"/>
      <c r="EHV807" s="3787"/>
      <c r="EHW807" s="3787"/>
      <c r="EHX807" s="3787"/>
      <c r="EHY807" s="3787"/>
      <c r="EHZ807" s="3787"/>
      <c r="EIA807" s="3787"/>
      <c r="EIB807" s="3787"/>
      <c r="EIC807" s="3787"/>
      <c r="EID807" s="3787"/>
      <c r="EIE807" s="3787"/>
      <c r="EIF807" s="3787"/>
      <c r="EIG807" s="3787"/>
      <c r="EIH807" s="3787"/>
      <c r="EII807" s="3787"/>
      <c r="EIJ807" s="3787"/>
      <c r="EIK807" s="3787"/>
      <c r="EIL807" s="3787"/>
      <c r="EIM807" s="3787"/>
      <c r="EIN807" s="3787"/>
      <c r="EIO807" s="3787"/>
      <c r="EIP807" s="3787"/>
      <c r="EIQ807" s="3787"/>
      <c r="EIR807" s="3787"/>
      <c r="EIS807" s="3787"/>
      <c r="EIT807" s="3787"/>
      <c r="EIU807" s="3787"/>
      <c r="EIV807" s="3787"/>
      <c r="EIW807" s="3787"/>
      <c r="EIX807" s="3787"/>
      <c r="EIY807" s="3787"/>
      <c r="EIZ807" s="3787"/>
      <c r="EJA807" s="3787"/>
      <c r="EJB807" s="3787"/>
      <c r="EJC807" s="3787"/>
      <c r="EJD807" s="3787"/>
      <c r="EJE807" s="3787"/>
      <c r="EJF807" s="3787"/>
      <c r="EJG807" s="3787"/>
      <c r="EJH807" s="3787"/>
      <c r="EJI807" s="3787"/>
      <c r="EJJ807" s="3787"/>
      <c r="EJK807" s="3787"/>
      <c r="EJL807" s="3787"/>
      <c r="EJM807" s="3787"/>
      <c r="EJN807" s="3787"/>
      <c r="EJO807" s="3787"/>
      <c r="EJP807" s="3787"/>
      <c r="EJQ807" s="3787"/>
      <c r="EJR807" s="3787"/>
      <c r="EJS807" s="3787"/>
      <c r="EJT807" s="3787"/>
      <c r="EJU807" s="3787"/>
      <c r="EJV807" s="3787"/>
      <c r="EJW807" s="3787"/>
      <c r="EJX807" s="3787"/>
      <c r="EJY807" s="3787"/>
      <c r="EJZ807" s="3787"/>
      <c r="EKA807" s="3787"/>
      <c r="EKB807" s="3787"/>
      <c r="EKC807" s="3787"/>
      <c r="EKD807" s="3787"/>
      <c r="EKE807" s="3787"/>
      <c r="EKF807" s="3787"/>
      <c r="EKG807" s="3787"/>
      <c r="EKH807" s="3787"/>
      <c r="EKI807" s="3787"/>
      <c r="EKJ807" s="3787"/>
      <c r="EKK807" s="3787"/>
      <c r="EKL807" s="3787"/>
      <c r="EKM807" s="3787"/>
      <c r="EKN807" s="3787"/>
      <c r="EKO807" s="3787"/>
      <c r="EKP807" s="3787"/>
      <c r="EKQ807" s="3787"/>
      <c r="EKR807" s="3787"/>
      <c r="EKS807" s="3787"/>
      <c r="EKT807" s="3787"/>
      <c r="EKU807" s="3787"/>
      <c r="EKV807" s="3787"/>
      <c r="EKW807" s="3787"/>
      <c r="EKX807" s="3787"/>
      <c r="EKY807" s="3787"/>
      <c r="EKZ807" s="3787"/>
      <c r="ELA807" s="3787"/>
      <c r="ELB807" s="3787"/>
      <c r="ELC807" s="3787"/>
      <c r="ELD807" s="3787"/>
      <c r="ELE807" s="3787"/>
      <c r="ELF807" s="3787"/>
      <c r="ELG807" s="3787"/>
      <c r="ELH807" s="3787"/>
      <c r="ELI807" s="3787"/>
      <c r="ELJ807" s="3787"/>
      <c r="ELK807" s="3787"/>
      <c r="ELL807" s="3787"/>
      <c r="ELM807" s="3787"/>
      <c r="ELN807" s="3787"/>
      <c r="ELO807" s="3787"/>
      <c r="ELP807" s="3787"/>
      <c r="ELQ807" s="3787"/>
      <c r="ELR807" s="3787"/>
      <c r="ELS807" s="3787"/>
      <c r="ELT807" s="3787"/>
      <c r="ELU807" s="3787"/>
      <c r="ELV807" s="3787"/>
      <c r="ELW807" s="3787"/>
      <c r="ELX807" s="3787"/>
      <c r="ELY807" s="3787"/>
      <c r="ELZ807" s="3787"/>
      <c r="EMA807" s="3787"/>
      <c r="EMB807" s="3787"/>
      <c r="EMC807" s="3787"/>
      <c r="EMD807" s="3787"/>
      <c r="EME807" s="3787"/>
      <c r="EMF807" s="3787"/>
      <c r="EMG807" s="3787"/>
      <c r="EMH807" s="3787"/>
      <c r="EMI807" s="3787"/>
      <c r="EMJ807" s="3787"/>
      <c r="EMK807" s="3787"/>
      <c r="EML807" s="3787"/>
      <c r="EMM807" s="3787"/>
      <c r="EMN807" s="3787"/>
      <c r="EMO807" s="3787"/>
      <c r="EMP807" s="3787"/>
      <c r="EMQ807" s="3787"/>
      <c r="EMR807" s="3787"/>
      <c r="EMS807" s="3787"/>
      <c r="EMT807" s="3787"/>
      <c r="EMU807" s="3787"/>
      <c r="EMV807" s="3787"/>
      <c r="EMW807" s="3787"/>
      <c r="EMX807" s="3787"/>
      <c r="EMY807" s="3787"/>
      <c r="EMZ807" s="3787"/>
      <c r="ENA807" s="3787"/>
      <c r="ENB807" s="3787"/>
      <c r="ENC807" s="3787"/>
      <c r="END807" s="3787"/>
      <c r="ENE807" s="3787"/>
      <c r="ENF807" s="3787"/>
      <c r="ENG807" s="3787"/>
      <c r="ENH807" s="3787"/>
      <c r="ENI807" s="3787"/>
      <c r="ENJ807" s="3787"/>
      <c r="ENK807" s="3787"/>
      <c r="ENL807" s="3787"/>
      <c r="ENM807" s="3787"/>
      <c r="ENN807" s="3787"/>
      <c r="ENO807" s="3787"/>
      <c r="ENP807" s="3787"/>
      <c r="ENQ807" s="3787"/>
      <c r="ENR807" s="3787"/>
      <c r="ENS807" s="3787"/>
      <c r="ENT807" s="3787"/>
      <c r="ENU807" s="3787"/>
      <c r="ENV807" s="3787"/>
      <c r="ENW807" s="3787"/>
      <c r="ENX807" s="3787"/>
      <c r="ENY807" s="3787"/>
      <c r="ENZ807" s="3787"/>
      <c r="EOA807" s="3787"/>
      <c r="EOB807" s="3787"/>
      <c r="EOC807" s="3787"/>
      <c r="EOD807" s="3787"/>
      <c r="EOE807" s="3787"/>
      <c r="EOF807" s="3787"/>
      <c r="EOG807" s="3787"/>
      <c r="EOH807" s="3787"/>
      <c r="EOI807" s="3787"/>
      <c r="EOJ807" s="3787"/>
      <c r="EOK807" s="3787"/>
      <c r="EOL807" s="3787"/>
      <c r="EOM807" s="3787"/>
      <c r="EON807" s="3787"/>
      <c r="EOO807" s="3787"/>
      <c r="EOP807" s="3787"/>
      <c r="EOQ807" s="3787"/>
      <c r="EOR807" s="3787"/>
      <c r="EOS807" s="3787"/>
      <c r="EOT807" s="3787"/>
      <c r="EOU807" s="3787"/>
      <c r="EOV807" s="3787"/>
      <c r="EOW807" s="3787"/>
      <c r="EOX807" s="3787"/>
      <c r="EOY807" s="3787"/>
      <c r="EOZ807" s="3787"/>
      <c r="EPA807" s="3787"/>
      <c r="EPB807" s="3787"/>
      <c r="EPC807" s="3787"/>
      <c r="EPD807" s="3787"/>
      <c r="EPE807" s="3787"/>
      <c r="EPF807" s="3787"/>
      <c r="EPG807" s="3787"/>
      <c r="EPH807" s="3787"/>
      <c r="EPI807" s="3787"/>
      <c r="EPJ807" s="3787"/>
      <c r="EPK807" s="3787"/>
      <c r="EPL807" s="3787"/>
      <c r="EPM807" s="3787"/>
      <c r="EPN807" s="3787"/>
      <c r="EPO807" s="3787"/>
      <c r="EPP807" s="3787"/>
      <c r="EPQ807" s="3787"/>
      <c r="EPR807" s="3787"/>
      <c r="EPS807" s="3787"/>
      <c r="EPT807" s="3787"/>
      <c r="EPU807" s="3787"/>
      <c r="EPV807" s="3787"/>
      <c r="EPW807" s="3787"/>
      <c r="EPX807" s="3787"/>
      <c r="EPY807" s="3787"/>
      <c r="EPZ807" s="3787"/>
      <c r="EQA807" s="3787"/>
      <c r="EQB807" s="3787"/>
      <c r="EQC807" s="3787"/>
      <c r="EQD807" s="3787"/>
      <c r="EQE807" s="3787"/>
      <c r="EQF807" s="3787"/>
      <c r="EQG807" s="3787"/>
      <c r="EQH807" s="3787"/>
      <c r="EQI807" s="3787"/>
      <c r="EQJ807" s="3787"/>
      <c r="EQK807" s="3787"/>
      <c r="EQL807" s="3787"/>
      <c r="EQM807" s="3787"/>
      <c r="EQN807" s="3787"/>
      <c r="EQO807" s="3787"/>
      <c r="EQP807" s="3787"/>
      <c r="EQQ807" s="3787"/>
      <c r="EQR807" s="3787"/>
      <c r="EQS807" s="3787"/>
      <c r="EQX807" s="3787"/>
      <c r="ERD807" s="3787"/>
      <c r="ERE807" s="3787"/>
      <c r="ERF807" s="3787"/>
      <c r="ERJ807" s="3787"/>
      <c r="ERQ807" s="3787"/>
      <c r="ERR807" s="3787"/>
      <c r="ERS807" s="3787"/>
      <c r="ERT807" s="3787"/>
      <c r="ERU807" s="3787"/>
      <c r="ERV807" s="3787"/>
      <c r="ERW807" s="3787"/>
      <c r="ERX807" s="3787"/>
      <c r="ERY807" s="3787"/>
      <c r="ERZ807" s="3787"/>
      <c r="ESA807" s="3787"/>
      <c r="ESB807" s="3787"/>
      <c r="ESC807" s="3787"/>
      <c r="ESD807" s="3787"/>
      <c r="ESE807" s="3787"/>
      <c r="ESF807" s="3787"/>
      <c r="ESG807" s="3787"/>
      <c r="ESH807" s="3787"/>
      <c r="ESI807" s="3787"/>
      <c r="ESJ807" s="3787"/>
      <c r="ESK807" s="3787"/>
      <c r="ESL807" s="3787"/>
      <c r="ESM807" s="3787"/>
      <c r="ESN807" s="3787"/>
      <c r="ESO807" s="3787"/>
      <c r="ESP807" s="3787"/>
      <c r="ESQ807" s="3787"/>
      <c r="ESR807" s="3787"/>
      <c r="ESS807" s="3787"/>
      <c r="EST807" s="3787"/>
      <c r="ESU807" s="3787"/>
      <c r="ESV807" s="3787"/>
      <c r="ESW807" s="3787"/>
      <c r="ESX807" s="3787"/>
      <c r="ESY807" s="3787"/>
      <c r="ESZ807" s="3787"/>
      <c r="ETA807" s="3787"/>
      <c r="ETB807" s="3787"/>
      <c r="ETC807" s="3787"/>
      <c r="ETD807" s="3787"/>
      <c r="ETE807" s="3787"/>
      <c r="ETF807" s="3787"/>
      <c r="ETG807" s="3787"/>
      <c r="ETH807" s="3787"/>
      <c r="ETI807" s="3787"/>
      <c r="ETJ807" s="3787"/>
      <c r="ETK807" s="3787"/>
      <c r="ETL807" s="3787"/>
      <c r="ETM807" s="3787"/>
      <c r="ETN807" s="3787"/>
      <c r="ETO807" s="3787"/>
      <c r="ETP807" s="3787"/>
      <c r="ETQ807" s="3787"/>
      <c r="ETR807" s="3787"/>
      <c r="ETS807" s="3787"/>
      <c r="ETT807" s="3787"/>
      <c r="ETU807" s="3787"/>
      <c r="ETV807" s="3787"/>
      <c r="ETW807" s="3787"/>
      <c r="ETX807" s="3787"/>
      <c r="ETY807" s="3787"/>
      <c r="ETZ807" s="3787"/>
      <c r="EUA807" s="3787"/>
      <c r="EUB807" s="3787"/>
      <c r="EUC807" s="3787"/>
      <c r="EUD807" s="3787"/>
      <c r="EUE807" s="3787"/>
      <c r="EUF807" s="3787"/>
      <c r="EUG807" s="3787"/>
      <c r="EUH807" s="3787"/>
      <c r="EUI807" s="3787"/>
      <c r="EUJ807" s="3787"/>
      <c r="EUK807" s="3787"/>
      <c r="EUL807" s="3787"/>
      <c r="EUM807" s="3787"/>
      <c r="EUN807" s="3787"/>
      <c r="EUO807" s="3787"/>
      <c r="EUP807" s="3787"/>
      <c r="EUQ807" s="3787"/>
      <c r="EUR807" s="3787"/>
      <c r="EUS807" s="3787"/>
      <c r="EUT807" s="3787"/>
      <c r="EUU807" s="3787"/>
      <c r="EUV807" s="3787"/>
      <c r="EUW807" s="3787"/>
      <c r="EUX807" s="3787"/>
      <c r="EUY807" s="3787"/>
      <c r="EUZ807" s="3787"/>
      <c r="EVA807" s="3787"/>
      <c r="EVB807" s="3787"/>
      <c r="EVC807" s="3787"/>
      <c r="EVD807" s="3787"/>
      <c r="EVE807" s="3787"/>
      <c r="EVF807" s="3787"/>
      <c r="EVG807" s="3787"/>
      <c r="EVH807" s="3787"/>
      <c r="EVI807" s="3787"/>
      <c r="EVJ807" s="3787"/>
      <c r="EVK807" s="3787"/>
      <c r="EVL807" s="3787"/>
      <c r="EVM807" s="3787"/>
      <c r="EVN807" s="3787"/>
      <c r="EVO807" s="3787"/>
      <c r="EVP807" s="3787"/>
      <c r="EVQ807" s="3787"/>
      <c r="EVR807" s="3787"/>
      <c r="EVS807" s="3787"/>
      <c r="EVT807" s="3787"/>
      <c r="EVU807" s="3787"/>
      <c r="EVV807" s="3787"/>
      <c r="EVW807" s="3787"/>
      <c r="EVX807" s="3787"/>
      <c r="EVY807" s="3787"/>
      <c r="EVZ807" s="3787"/>
      <c r="EWA807" s="3787"/>
      <c r="EWB807" s="3787"/>
      <c r="EWC807" s="3787"/>
      <c r="EWD807" s="3787"/>
      <c r="EWE807" s="3787"/>
      <c r="EWF807" s="3787"/>
      <c r="EWG807" s="3787"/>
      <c r="EWH807" s="3787"/>
      <c r="EWI807" s="3787"/>
      <c r="EWJ807" s="3787"/>
      <c r="EWK807" s="3787"/>
      <c r="EWL807" s="3787"/>
      <c r="EWM807" s="3787"/>
      <c r="EWN807" s="3787"/>
      <c r="EWO807" s="3787"/>
      <c r="EWP807" s="3787"/>
      <c r="EWQ807" s="3787"/>
      <c r="EWR807" s="3787"/>
      <c r="EWS807" s="3787"/>
      <c r="EWT807" s="3787"/>
      <c r="EWU807" s="3787"/>
      <c r="EWV807" s="3787"/>
      <c r="EWW807" s="3787"/>
      <c r="EWX807" s="3787"/>
      <c r="EWY807" s="3787"/>
      <c r="EWZ807" s="3787"/>
      <c r="EXA807" s="3787"/>
      <c r="EXB807" s="3787"/>
      <c r="EXC807" s="3787"/>
      <c r="EXD807" s="3787"/>
      <c r="EXE807" s="3787"/>
      <c r="EXF807" s="3787"/>
      <c r="EXG807" s="3787"/>
      <c r="EXH807" s="3787"/>
      <c r="EXI807" s="3787"/>
      <c r="EXJ807" s="3787"/>
      <c r="EXK807" s="3787"/>
      <c r="EXL807" s="3787"/>
      <c r="EXM807" s="3787"/>
      <c r="EXN807" s="3787"/>
      <c r="EXO807" s="3787"/>
      <c r="EXP807" s="3787"/>
      <c r="EXQ807" s="3787"/>
      <c r="EXR807" s="3787"/>
      <c r="EXS807" s="3787"/>
      <c r="EXT807" s="3787"/>
      <c r="EXU807" s="3787"/>
      <c r="EXV807" s="3787"/>
      <c r="EXW807" s="3787"/>
      <c r="EXX807" s="3787"/>
      <c r="EXY807" s="3787"/>
      <c r="EXZ807" s="3787"/>
      <c r="EYA807" s="3787"/>
      <c r="EYB807" s="3787"/>
      <c r="EYC807" s="3787"/>
      <c r="EYD807" s="3787"/>
      <c r="EYE807" s="3787"/>
      <c r="EYF807" s="3787"/>
      <c r="EYG807" s="3787"/>
      <c r="EYH807" s="3787"/>
      <c r="EYI807" s="3787"/>
      <c r="EYJ807" s="3787"/>
      <c r="EYK807" s="3787"/>
      <c r="EYL807" s="3787"/>
      <c r="EYM807" s="3787"/>
      <c r="EYN807" s="3787"/>
      <c r="EYO807" s="3787"/>
      <c r="EYP807" s="3787"/>
      <c r="EYQ807" s="3787"/>
      <c r="EYR807" s="3787"/>
      <c r="EYS807" s="3787"/>
      <c r="EYT807" s="3787"/>
      <c r="EYU807" s="3787"/>
      <c r="EYV807" s="3787"/>
      <c r="EYW807" s="3787"/>
      <c r="EYX807" s="3787"/>
      <c r="EYY807" s="3787"/>
      <c r="EYZ807" s="3787"/>
      <c r="EZA807" s="3787"/>
      <c r="EZB807" s="3787"/>
      <c r="EZC807" s="3787"/>
      <c r="EZD807" s="3787"/>
      <c r="EZE807" s="3787"/>
      <c r="EZF807" s="3787"/>
      <c r="EZG807" s="3787"/>
      <c r="EZH807" s="3787"/>
      <c r="EZI807" s="3787"/>
      <c r="EZJ807" s="3787"/>
      <c r="EZK807" s="3787"/>
      <c r="EZL807" s="3787"/>
      <c r="EZM807" s="3787"/>
      <c r="EZN807" s="3787"/>
      <c r="EZO807" s="3787"/>
      <c r="EZP807" s="3787"/>
      <c r="EZQ807" s="3787"/>
      <c r="EZR807" s="3787"/>
      <c r="EZS807" s="3787"/>
      <c r="EZT807" s="3787"/>
      <c r="EZU807" s="3787"/>
      <c r="EZV807" s="3787"/>
      <c r="EZW807" s="3787"/>
      <c r="EZX807" s="3787"/>
      <c r="EZY807" s="3787"/>
      <c r="EZZ807" s="3787"/>
      <c r="FAA807" s="3787"/>
      <c r="FAB807" s="3787"/>
      <c r="FAC807" s="3787"/>
      <c r="FAD807" s="3787"/>
      <c r="FAE807" s="3787"/>
      <c r="FAF807" s="3787"/>
      <c r="FAG807" s="3787"/>
      <c r="FAH807" s="3787"/>
      <c r="FAI807" s="3787"/>
      <c r="FAJ807" s="3787"/>
      <c r="FAK807" s="3787"/>
      <c r="FAL807" s="3787"/>
      <c r="FAM807" s="3787"/>
      <c r="FAN807" s="3787"/>
      <c r="FAO807" s="3787"/>
      <c r="FAT807" s="3787"/>
      <c r="FAZ807" s="3787"/>
      <c r="FBA807" s="3787"/>
      <c r="FBB807" s="3787"/>
      <c r="FBF807" s="3787"/>
      <c r="FBM807" s="3787"/>
      <c r="FBN807" s="3787"/>
      <c r="FBO807" s="3787"/>
      <c r="FBP807" s="3787"/>
      <c r="FBQ807" s="3787"/>
      <c r="FBR807" s="3787"/>
      <c r="FBS807" s="3787"/>
      <c r="FBT807" s="3787"/>
      <c r="FBU807" s="3787"/>
      <c r="FBV807" s="3787"/>
      <c r="FBW807" s="3787"/>
      <c r="FBX807" s="3787"/>
      <c r="FBY807" s="3787"/>
      <c r="FBZ807" s="3787"/>
      <c r="FCA807" s="3787"/>
      <c r="FCB807" s="3787"/>
      <c r="FCC807" s="3787"/>
      <c r="FCD807" s="3787"/>
      <c r="FCE807" s="3787"/>
      <c r="FCF807" s="3787"/>
      <c r="FCG807" s="3787"/>
      <c r="FCH807" s="3787"/>
      <c r="FCI807" s="3787"/>
      <c r="FCJ807" s="3787"/>
      <c r="FCK807" s="3787"/>
      <c r="FCL807" s="3787"/>
      <c r="FCM807" s="3787"/>
      <c r="FCN807" s="3787"/>
      <c r="FCO807" s="3787"/>
      <c r="FCP807" s="3787"/>
      <c r="FCQ807" s="3787"/>
      <c r="FCR807" s="3787"/>
      <c r="FCS807" s="3787"/>
      <c r="FCT807" s="3787"/>
      <c r="FCU807" s="3787"/>
      <c r="FCV807" s="3787"/>
      <c r="FCW807" s="3787"/>
      <c r="FCX807" s="3787"/>
      <c r="FCY807" s="3787"/>
      <c r="FCZ807" s="3787"/>
      <c r="FDA807" s="3787"/>
      <c r="FDB807" s="3787"/>
      <c r="FDC807" s="3787"/>
      <c r="FDD807" s="3787"/>
      <c r="FDE807" s="3787"/>
      <c r="FDF807" s="3787"/>
      <c r="FDG807" s="3787"/>
      <c r="FDH807" s="3787"/>
      <c r="FDI807" s="3787"/>
      <c r="FDJ807" s="3787"/>
      <c r="FDK807" s="3787"/>
      <c r="FDL807" s="3787"/>
      <c r="FDM807" s="3787"/>
      <c r="FDN807" s="3787"/>
      <c r="FDO807" s="3787"/>
      <c r="FDP807" s="3787"/>
      <c r="FDQ807" s="3787"/>
      <c r="FDR807" s="3787"/>
      <c r="FDS807" s="3787"/>
      <c r="FDT807" s="3787"/>
      <c r="FDU807" s="3787"/>
      <c r="FDV807" s="3787"/>
      <c r="FDW807" s="3787"/>
      <c r="FDX807" s="3787"/>
      <c r="FDY807" s="3787"/>
      <c r="FDZ807" s="3787"/>
      <c r="FEA807" s="3787"/>
      <c r="FEB807" s="3787"/>
      <c r="FEC807" s="3787"/>
      <c r="FED807" s="3787"/>
      <c r="FEE807" s="3787"/>
      <c r="FEF807" s="3787"/>
      <c r="FEG807" s="3787"/>
      <c r="FEH807" s="3787"/>
      <c r="FEI807" s="3787"/>
      <c r="FEJ807" s="3787"/>
      <c r="FEK807" s="3787"/>
      <c r="FEL807" s="3787"/>
      <c r="FEM807" s="3787"/>
      <c r="FEN807" s="3787"/>
      <c r="FEO807" s="3787"/>
      <c r="FEP807" s="3787"/>
      <c r="FEQ807" s="3787"/>
      <c r="FER807" s="3787"/>
      <c r="FES807" s="3787"/>
      <c r="FET807" s="3787"/>
      <c r="FEU807" s="3787"/>
      <c r="FEV807" s="3787"/>
      <c r="FEW807" s="3787"/>
      <c r="FEX807" s="3787"/>
      <c r="FEY807" s="3787"/>
      <c r="FEZ807" s="3787"/>
      <c r="FFA807" s="3787"/>
      <c r="FFB807" s="3787"/>
      <c r="FFC807" s="3787"/>
      <c r="FFD807" s="3787"/>
      <c r="FFE807" s="3787"/>
      <c r="FFF807" s="3787"/>
      <c r="FFG807" s="3787"/>
      <c r="FFH807" s="3787"/>
      <c r="FFI807" s="3787"/>
      <c r="FFJ807" s="3787"/>
      <c r="FFK807" s="3787"/>
      <c r="FFL807" s="3787"/>
      <c r="FFM807" s="3787"/>
      <c r="FFN807" s="3787"/>
      <c r="FFO807" s="3787"/>
      <c r="FFP807" s="3787"/>
      <c r="FFQ807" s="3787"/>
      <c r="FFR807" s="3787"/>
      <c r="FFS807" s="3787"/>
      <c r="FFT807" s="3787"/>
      <c r="FFU807" s="3787"/>
      <c r="FFV807" s="3787"/>
      <c r="FFW807" s="3787"/>
      <c r="FFX807" s="3787"/>
      <c r="FFY807" s="3787"/>
      <c r="FFZ807" s="3787"/>
      <c r="FGA807" s="3787"/>
      <c r="FGB807" s="3787"/>
      <c r="FGC807" s="3787"/>
      <c r="FGD807" s="3787"/>
      <c r="FGE807" s="3787"/>
      <c r="FGF807" s="3787"/>
      <c r="FGG807" s="3787"/>
      <c r="FGH807" s="3787"/>
      <c r="FGI807" s="3787"/>
      <c r="FGJ807" s="3787"/>
      <c r="FGK807" s="3787"/>
      <c r="FGL807" s="3787"/>
      <c r="FGM807" s="3787"/>
      <c r="FGN807" s="3787"/>
      <c r="FGO807" s="3787"/>
      <c r="FGP807" s="3787"/>
      <c r="FGQ807" s="3787"/>
      <c r="FGR807" s="3787"/>
      <c r="FGS807" s="3787"/>
      <c r="FGT807" s="3787"/>
      <c r="FGU807" s="3787"/>
      <c r="FGV807" s="3787"/>
      <c r="FGW807" s="3787"/>
      <c r="FGX807" s="3787"/>
      <c r="FGY807" s="3787"/>
      <c r="FGZ807" s="3787"/>
      <c r="FHA807" s="3787"/>
      <c r="FHB807" s="3787"/>
      <c r="FHC807" s="3787"/>
      <c r="FHD807" s="3787"/>
      <c r="FHE807" s="3787"/>
      <c r="FHF807" s="3787"/>
      <c r="FHG807" s="3787"/>
      <c r="FHH807" s="3787"/>
      <c r="FHI807" s="3787"/>
      <c r="FHJ807" s="3787"/>
      <c r="FHK807" s="3787"/>
      <c r="FHL807" s="3787"/>
      <c r="FHM807" s="3787"/>
      <c r="FHN807" s="3787"/>
      <c r="FHO807" s="3787"/>
      <c r="FHP807" s="3787"/>
      <c r="FHQ807" s="3787"/>
      <c r="FHR807" s="3787"/>
      <c r="FHS807" s="3787"/>
      <c r="FHT807" s="3787"/>
      <c r="FHU807" s="3787"/>
      <c r="FHV807" s="3787"/>
      <c r="FHW807" s="3787"/>
      <c r="FHX807" s="3787"/>
      <c r="FHY807" s="3787"/>
      <c r="FHZ807" s="3787"/>
      <c r="FIA807" s="3787"/>
      <c r="FIB807" s="3787"/>
      <c r="FIC807" s="3787"/>
      <c r="FID807" s="3787"/>
      <c r="FIE807" s="3787"/>
      <c r="FIF807" s="3787"/>
      <c r="FIG807" s="3787"/>
      <c r="FIH807" s="3787"/>
      <c r="FII807" s="3787"/>
      <c r="FIJ807" s="3787"/>
      <c r="FIK807" s="3787"/>
      <c r="FIL807" s="3787"/>
      <c r="FIM807" s="3787"/>
      <c r="FIN807" s="3787"/>
      <c r="FIO807" s="3787"/>
      <c r="FIP807" s="3787"/>
      <c r="FIQ807" s="3787"/>
      <c r="FIR807" s="3787"/>
      <c r="FIS807" s="3787"/>
      <c r="FIT807" s="3787"/>
      <c r="FIU807" s="3787"/>
      <c r="FIV807" s="3787"/>
      <c r="FIW807" s="3787"/>
      <c r="FIX807" s="3787"/>
      <c r="FIY807" s="3787"/>
      <c r="FIZ807" s="3787"/>
      <c r="FJA807" s="3787"/>
      <c r="FJB807" s="3787"/>
      <c r="FJC807" s="3787"/>
      <c r="FJD807" s="3787"/>
      <c r="FJE807" s="3787"/>
      <c r="FJF807" s="3787"/>
      <c r="FJG807" s="3787"/>
      <c r="FJH807" s="3787"/>
      <c r="FJI807" s="3787"/>
      <c r="FJJ807" s="3787"/>
      <c r="FJK807" s="3787"/>
      <c r="FJL807" s="3787"/>
      <c r="FJM807" s="3787"/>
      <c r="FJN807" s="3787"/>
      <c r="FJO807" s="3787"/>
      <c r="FJP807" s="3787"/>
      <c r="FJQ807" s="3787"/>
      <c r="FJR807" s="3787"/>
      <c r="FJS807" s="3787"/>
      <c r="FJT807" s="3787"/>
      <c r="FJU807" s="3787"/>
      <c r="FJV807" s="3787"/>
      <c r="FJW807" s="3787"/>
      <c r="FJX807" s="3787"/>
      <c r="FJY807" s="3787"/>
      <c r="FJZ807" s="3787"/>
      <c r="FKA807" s="3787"/>
      <c r="FKB807" s="3787"/>
      <c r="FKC807" s="3787"/>
      <c r="FKD807" s="3787"/>
      <c r="FKE807" s="3787"/>
      <c r="FKF807" s="3787"/>
      <c r="FKG807" s="3787"/>
      <c r="FKH807" s="3787"/>
      <c r="FKI807" s="3787"/>
      <c r="FKJ807" s="3787"/>
      <c r="FKK807" s="3787"/>
      <c r="FKP807" s="3787"/>
      <c r="FKV807" s="3787"/>
      <c r="FKW807" s="3787"/>
      <c r="FKX807" s="3787"/>
      <c r="FLB807" s="3787"/>
      <c r="FLI807" s="3787"/>
      <c r="FLJ807" s="3787"/>
      <c r="FLK807" s="3787"/>
      <c r="FLL807" s="3787"/>
      <c r="FLM807" s="3787"/>
      <c r="FLN807" s="3787"/>
      <c r="FLO807" s="3787"/>
      <c r="FLP807" s="3787"/>
      <c r="FLQ807" s="3787"/>
      <c r="FLR807" s="3787"/>
      <c r="FLS807" s="3787"/>
      <c r="FLT807" s="3787"/>
      <c r="FLU807" s="3787"/>
      <c r="FLV807" s="3787"/>
      <c r="FLW807" s="3787"/>
      <c r="FLX807" s="3787"/>
      <c r="FLY807" s="3787"/>
      <c r="FLZ807" s="3787"/>
      <c r="FMA807" s="3787"/>
      <c r="FMB807" s="3787"/>
      <c r="FMC807" s="3787"/>
      <c r="FMD807" s="3787"/>
      <c r="FME807" s="3787"/>
      <c r="FMF807" s="3787"/>
      <c r="FMG807" s="3787"/>
      <c r="FMH807" s="3787"/>
      <c r="FMI807" s="3787"/>
      <c r="FMJ807" s="3787"/>
      <c r="FMK807" s="3787"/>
      <c r="FML807" s="3787"/>
      <c r="FMM807" s="3787"/>
      <c r="FMN807" s="3787"/>
      <c r="FMO807" s="3787"/>
      <c r="FMP807" s="3787"/>
      <c r="FMQ807" s="3787"/>
      <c r="FMR807" s="3787"/>
      <c r="FMS807" s="3787"/>
      <c r="FMT807" s="3787"/>
      <c r="FMU807" s="3787"/>
      <c r="FMV807" s="3787"/>
      <c r="FMW807" s="3787"/>
      <c r="FMX807" s="3787"/>
      <c r="FMY807" s="3787"/>
      <c r="FMZ807" s="3787"/>
      <c r="FNA807" s="3787"/>
      <c r="FNB807" s="3787"/>
      <c r="FNC807" s="3787"/>
      <c r="FND807" s="3787"/>
      <c r="FNE807" s="3787"/>
      <c r="FNF807" s="3787"/>
      <c r="FNG807" s="3787"/>
      <c r="FNH807" s="3787"/>
      <c r="FNI807" s="3787"/>
      <c r="FNJ807" s="3787"/>
      <c r="FNK807" s="3787"/>
      <c r="FNL807" s="3787"/>
      <c r="FNM807" s="3787"/>
      <c r="FNN807" s="3787"/>
      <c r="FNO807" s="3787"/>
      <c r="FNP807" s="3787"/>
      <c r="FNQ807" s="3787"/>
      <c r="FNR807" s="3787"/>
      <c r="FNS807" s="3787"/>
      <c r="FNT807" s="3787"/>
      <c r="FNU807" s="3787"/>
      <c r="FNV807" s="3787"/>
      <c r="FNW807" s="3787"/>
      <c r="FNX807" s="3787"/>
      <c r="FNY807" s="3787"/>
      <c r="FNZ807" s="3787"/>
      <c r="FOA807" s="3787"/>
      <c r="FOB807" s="3787"/>
      <c r="FOC807" s="3787"/>
      <c r="FOD807" s="3787"/>
      <c r="FOE807" s="3787"/>
      <c r="FOF807" s="3787"/>
      <c r="FOG807" s="3787"/>
      <c r="FOH807" s="3787"/>
      <c r="FOI807" s="3787"/>
      <c r="FOJ807" s="3787"/>
      <c r="FOK807" s="3787"/>
      <c r="FOL807" s="3787"/>
      <c r="FOM807" s="3787"/>
      <c r="FON807" s="3787"/>
      <c r="FOO807" s="3787"/>
      <c r="FOP807" s="3787"/>
      <c r="FOQ807" s="3787"/>
      <c r="FOR807" s="3787"/>
      <c r="FOS807" s="3787"/>
      <c r="FOT807" s="3787"/>
      <c r="FOU807" s="3787"/>
      <c r="FOV807" s="3787"/>
      <c r="FOW807" s="3787"/>
      <c r="FOX807" s="3787"/>
      <c r="FOY807" s="3787"/>
      <c r="FOZ807" s="3787"/>
      <c r="FPA807" s="3787"/>
      <c r="FPB807" s="3787"/>
      <c r="FPC807" s="3787"/>
      <c r="FPD807" s="3787"/>
      <c r="FPE807" s="3787"/>
      <c r="FPF807" s="3787"/>
      <c r="FPG807" s="3787"/>
      <c r="FPH807" s="3787"/>
      <c r="FPI807" s="3787"/>
      <c r="FPJ807" s="3787"/>
      <c r="FPK807" s="3787"/>
      <c r="FPL807" s="3787"/>
      <c r="FPM807" s="3787"/>
      <c r="FPN807" s="3787"/>
      <c r="FPO807" s="3787"/>
      <c r="FPP807" s="3787"/>
      <c r="FPQ807" s="3787"/>
      <c r="FPR807" s="3787"/>
      <c r="FPS807" s="3787"/>
      <c r="FPT807" s="3787"/>
      <c r="FPU807" s="3787"/>
      <c r="FPV807" s="3787"/>
      <c r="FPW807" s="3787"/>
      <c r="FPX807" s="3787"/>
      <c r="FPY807" s="3787"/>
      <c r="FPZ807" s="3787"/>
      <c r="FQA807" s="3787"/>
      <c r="FQB807" s="3787"/>
      <c r="FQC807" s="3787"/>
      <c r="FQD807" s="3787"/>
      <c r="FQE807" s="3787"/>
      <c r="FQF807" s="3787"/>
      <c r="FQG807" s="3787"/>
      <c r="FQH807" s="3787"/>
      <c r="FQI807" s="3787"/>
      <c r="FQJ807" s="3787"/>
      <c r="FQK807" s="3787"/>
      <c r="FQL807" s="3787"/>
      <c r="FQM807" s="3787"/>
      <c r="FQN807" s="3787"/>
      <c r="FQO807" s="3787"/>
      <c r="FQP807" s="3787"/>
      <c r="FQQ807" s="3787"/>
      <c r="FQR807" s="3787"/>
      <c r="FQS807" s="3787"/>
      <c r="FQT807" s="3787"/>
      <c r="FQU807" s="3787"/>
      <c r="FQV807" s="3787"/>
      <c r="FQW807" s="3787"/>
      <c r="FQX807" s="3787"/>
      <c r="FQY807" s="3787"/>
      <c r="FQZ807" s="3787"/>
      <c r="FRA807" s="3787"/>
      <c r="FRB807" s="3787"/>
      <c r="FRC807" s="3787"/>
      <c r="FRD807" s="3787"/>
      <c r="FRE807" s="3787"/>
      <c r="FRF807" s="3787"/>
      <c r="FRG807" s="3787"/>
      <c r="FRH807" s="3787"/>
      <c r="FRI807" s="3787"/>
      <c r="FRJ807" s="3787"/>
      <c r="FRK807" s="3787"/>
      <c r="FRL807" s="3787"/>
      <c r="FRM807" s="3787"/>
      <c r="FRN807" s="3787"/>
      <c r="FRO807" s="3787"/>
      <c r="FRP807" s="3787"/>
      <c r="FRQ807" s="3787"/>
      <c r="FRR807" s="3787"/>
      <c r="FRS807" s="3787"/>
      <c r="FRT807" s="3787"/>
      <c r="FRU807" s="3787"/>
      <c r="FRV807" s="3787"/>
      <c r="FRW807" s="3787"/>
      <c r="FRX807" s="3787"/>
      <c r="FRY807" s="3787"/>
      <c r="FRZ807" s="3787"/>
      <c r="FSA807" s="3787"/>
      <c r="FSB807" s="3787"/>
      <c r="FSC807" s="3787"/>
      <c r="FSD807" s="3787"/>
      <c r="FSE807" s="3787"/>
      <c r="FSF807" s="3787"/>
      <c r="FSG807" s="3787"/>
      <c r="FSH807" s="3787"/>
      <c r="FSI807" s="3787"/>
      <c r="FSJ807" s="3787"/>
      <c r="FSK807" s="3787"/>
      <c r="FSL807" s="3787"/>
      <c r="FSM807" s="3787"/>
      <c r="FSN807" s="3787"/>
      <c r="FSO807" s="3787"/>
      <c r="FSP807" s="3787"/>
      <c r="FSQ807" s="3787"/>
      <c r="FSR807" s="3787"/>
      <c r="FSS807" s="3787"/>
      <c r="FST807" s="3787"/>
      <c r="FSU807" s="3787"/>
      <c r="FSV807" s="3787"/>
      <c r="FSW807" s="3787"/>
      <c r="FSX807" s="3787"/>
      <c r="FSY807" s="3787"/>
      <c r="FSZ807" s="3787"/>
      <c r="FTA807" s="3787"/>
      <c r="FTB807" s="3787"/>
      <c r="FTC807" s="3787"/>
      <c r="FTD807" s="3787"/>
      <c r="FTE807" s="3787"/>
      <c r="FTF807" s="3787"/>
      <c r="FTG807" s="3787"/>
      <c r="FTH807" s="3787"/>
      <c r="FTI807" s="3787"/>
      <c r="FTJ807" s="3787"/>
      <c r="FTK807" s="3787"/>
      <c r="FTL807" s="3787"/>
      <c r="FTM807" s="3787"/>
      <c r="FTN807" s="3787"/>
      <c r="FTO807" s="3787"/>
      <c r="FTP807" s="3787"/>
      <c r="FTQ807" s="3787"/>
      <c r="FTR807" s="3787"/>
      <c r="FTS807" s="3787"/>
      <c r="FTT807" s="3787"/>
      <c r="FTU807" s="3787"/>
      <c r="FTV807" s="3787"/>
      <c r="FTW807" s="3787"/>
      <c r="FTX807" s="3787"/>
      <c r="FTY807" s="3787"/>
      <c r="FTZ807" s="3787"/>
      <c r="FUA807" s="3787"/>
      <c r="FUB807" s="3787"/>
      <c r="FUC807" s="3787"/>
      <c r="FUD807" s="3787"/>
      <c r="FUE807" s="3787"/>
      <c r="FUF807" s="3787"/>
      <c r="FUG807" s="3787"/>
      <c r="FUL807" s="3787"/>
      <c r="FUR807" s="3787"/>
      <c r="FUS807" s="3787"/>
      <c r="FUT807" s="3787"/>
      <c r="FUX807" s="3787"/>
      <c r="FVE807" s="3787"/>
      <c r="FVF807" s="3787"/>
      <c r="FVG807" s="3787"/>
      <c r="FVH807" s="3787"/>
      <c r="FVI807" s="3787"/>
      <c r="FVJ807" s="3787"/>
      <c r="FVK807" s="3787"/>
      <c r="FVL807" s="3787"/>
      <c r="FVM807" s="3787"/>
      <c r="FVN807" s="3787"/>
      <c r="FVO807" s="3787"/>
      <c r="FVP807" s="3787"/>
      <c r="FVQ807" s="3787"/>
      <c r="FVR807" s="3787"/>
      <c r="FVS807" s="3787"/>
      <c r="FVT807" s="3787"/>
      <c r="FVU807" s="3787"/>
      <c r="FVV807" s="3787"/>
      <c r="FVW807" s="3787"/>
      <c r="FVX807" s="3787"/>
      <c r="FVY807" s="3787"/>
      <c r="FVZ807" s="3787"/>
      <c r="FWA807" s="3787"/>
      <c r="FWB807" s="3787"/>
      <c r="FWC807" s="3787"/>
      <c r="FWD807" s="3787"/>
      <c r="FWE807" s="3787"/>
      <c r="FWF807" s="3787"/>
      <c r="FWG807" s="3787"/>
      <c r="FWH807" s="3787"/>
      <c r="FWI807" s="3787"/>
      <c r="FWJ807" s="3787"/>
      <c r="FWK807" s="3787"/>
      <c r="FWL807" s="3787"/>
      <c r="FWM807" s="3787"/>
      <c r="FWN807" s="3787"/>
      <c r="FWO807" s="3787"/>
      <c r="FWP807" s="3787"/>
      <c r="FWQ807" s="3787"/>
      <c r="FWR807" s="3787"/>
      <c r="FWS807" s="3787"/>
      <c r="FWT807" s="3787"/>
      <c r="FWU807" s="3787"/>
      <c r="FWV807" s="3787"/>
      <c r="FWW807" s="3787"/>
      <c r="FWX807" s="3787"/>
      <c r="FWY807" s="3787"/>
      <c r="FWZ807" s="3787"/>
      <c r="FXA807" s="3787"/>
      <c r="FXB807" s="3787"/>
      <c r="FXC807" s="3787"/>
      <c r="FXD807" s="3787"/>
      <c r="FXE807" s="3787"/>
      <c r="FXF807" s="3787"/>
      <c r="FXG807" s="3787"/>
      <c r="FXH807" s="3787"/>
      <c r="FXI807" s="3787"/>
      <c r="FXJ807" s="3787"/>
      <c r="FXK807" s="3787"/>
      <c r="FXL807" s="3787"/>
      <c r="FXM807" s="3787"/>
      <c r="FXN807" s="3787"/>
      <c r="FXO807" s="3787"/>
      <c r="FXP807" s="3787"/>
      <c r="FXQ807" s="3787"/>
      <c r="FXR807" s="3787"/>
      <c r="FXS807" s="3787"/>
      <c r="FXT807" s="3787"/>
      <c r="FXU807" s="3787"/>
      <c r="FXV807" s="3787"/>
      <c r="FXW807" s="3787"/>
      <c r="FXX807" s="3787"/>
      <c r="FXY807" s="3787"/>
      <c r="FXZ807" s="3787"/>
      <c r="FYA807" s="3787"/>
      <c r="FYB807" s="3787"/>
      <c r="FYC807" s="3787"/>
      <c r="FYD807" s="3787"/>
      <c r="FYE807" s="3787"/>
      <c r="FYF807" s="3787"/>
      <c r="FYG807" s="3787"/>
      <c r="FYH807" s="3787"/>
      <c r="FYI807" s="3787"/>
      <c r="FYJ807" s="3787"/>
      <c r="FYK807" s="3787"/>
      <c r="FYL807" s="3787"/>
      <c r="FYM807" s="3787"/>
      <c r="FYN807" s="3787"/>
      <c r="FYO807" s="3787"/>
      <c r="FYP807" s="3787"/>
      <c r="FYQ807" s="3787"/>
      <c r="FYR807" s="3787"/>
      <c r="FYS807" s="3787"/>
      <c r="FYT807" s="3787"/>
      <c r="FYU807" s="3787"/>
      <c r="FYV807" s="3787"/>
      <c r="FYW807" s="3787"/>
      <c r="FYX807" s="3787"/>
      <c r="FYY807" s="3787"/>
      <c r="FYZ807" s="3787"/>
      <c r="FZA807" s="3787"/>
      <c r="FZB807" s="3787"/>
      <c r="FZC807" s="3787"/>
      <c r="FZD807" s="3787"/>
      <c r="FZE807" s="3787"/>
      <c r="FZF807" s="3787"/>
      <c r="FZG807" s="3787"/>
      <c r="FZH807" s="3787"/>
      <c r="FZI807" s="3787"/>
      <c r="FZJ807" s="3787"/>
      <c r="FZK807" s="3787"/>
      <c r="FZL807" s="3787"/>
      <c r="FZM807" s="3787"/>
      <c r="FZN807" s="3787"/>
      <c r="FZO807" s="3787"/>
      <c r="FZP807" s="3787"/>
      <c r="FZQ807" s="3787"/>
      <c r="FZR807" s="3787"/>
      <c r="FZS807" s="3787"/>
      <c r="FZT807" s="3787"/>
      <c r="FZU807" s="3787"/>
      <c r="FZV807" s="3787"/>
      <c r="FZW807" s="3787"/>
      <c r="FZX807" s="3787"/>
      <c r="FZY807" s="3787"/>
      <c r="FZZ807" s="3787"/>
      <c r="GAA807" s="3787"/>
      <c r="GAB807" s="3787"/>
      <c r="GAC807" s="3787"/>
      <c r="GAD807" s="3787"/>
      <c r="GAE807" s="3787"/>
      <c r="GAF807" s="3787"/>
      <c r="GAG807" s="3787"/>
      <c r="GAH807" s="3787"/>
      <c r="GAI807" s="3787"/>
      <c r="GAJ807" s="3787"/>
      <c r="GAK807" s="3787"/>
      <c r="GAL807" s="3787"/>
      <c r="GAM807" s="3787"/>
      <c r="GAN807" s="3787"/>
      <c r="GAO807" s="3787"/>
      <c r="GAP807" s="3787"/>
      <c r="GAQ807" s="3787"/>
      <c r="GAR807" s="3787"/>
      <c r="GAS807" s="3787"/>
      <c r="GAT807" s="3787"/>
      <c r="GAU807" s="3787"/>
      <c r="GAV807" s="3787"/>
      <c r="GAW807" s="3787"/>
      <c r="GAX807" s="3787"/>
      <c r="GAY807" s="3787"/>
      <c r="GAZ807" s="3787"/>
      <c r="GBA807" s="3787"/>
      <c r="GBB807" s="3787"/>
      <c r="GBC807" s="3787"/>
      <c r="GBD807" s="3787"/>
      <c r="GBE807" s="3787"/>
      <c r="GBF807" s="3787"/>
      <c r="GBG807" s="3787"/>
      <c r="GBH807" s="3787"/>
      <c r="GBI807" s="3787"/>
      <c r="GBJ807" s="3787"/>
      <c r="GBK807" s="3787"/>
      <c r="GBL807" s="3787"/>
      <c r="GBM807" s="3787"/>
      <c r="GBN807" s="3787"/>
      <c r="GBO807" s="3787"/>
      <c r="GBP807" s="3787"/>
      <c r="GBQ807" s="3787"/>
      <c r="GBR807" s="3787"/>
      <c r="GBS807" s="3787"/>
      <c r="GBT807" s="3787"/>
      <c r="GBU807" s="3787"/>
      <c r="GBV807" s="3787"/>
      <c r="GBW807" s="3787"/>
      <c r="GBX807" s="3787"/>
      <c r="GBY807" s="3787"/>
      <c r="GBZ807" s="3787"/>
      <c r="GCA807" s="3787"/>
      <c r="GCB807" s="3787"/>
      <c r="GCC807" s="3787"/>
      <c r="GCD807" s="3787"/>
      <c r="GCE807" s="3787"/>
      <c r="GCF807" s="3787"/>
      <c r="GCG807" s="3787"/>
      <c r="GCH807" s="3787"/>
      <c r="GCI807" s="3787"/>
      <c r="GCJ807" s="3787"/>
      <c r="GCK807" s="3787"/>
      <c r="GCL807" s="3787"/>
      <c r="GCM807" s="3787"/>
      <c r="GCN807" s="3787"/>
      <c r="GCO807" s="3787"/>
      <c r="GCP807" s="3787"/>
      <c r="GCQ807" s="3787"/>
      <c r="GCR807" s="3787"/>
      <c r="GCS807" s="3787"/>
      <c r="GCT807" s="3787"/>
      <c r="GCU807" s="3787"/>
      <c r="GCV807" s="3787"/>
      <c r="GCW807" s="3787"/>
      <c r="GCX807" s="3787"/>
      <c r="GCY807" s="3787"/>
      <c r="GCZ807" s="3787"/>
      <c r="GDA807" s="3787"/>
      <c r="GDB807" s="3787"/>
      <c r="GDC807" s="3787"/>
      <c r="GDD807" s="3787"/>
      <c r="GDE807" s="3787"/>
      <c r="GDF807" s="3787"/>
      <c r="GDG807" s="3787"/>
      <c r="GDH807" s="3787"/>
      <c r="GDI807" s="3787"/>
      <c r="GDJ807" s="3787"/>
      <c r="GDK807" s="3787"/>
      <c r="GDL807" s="3787"/>
      <c r="GDM807" s="3787"/>
      <c r="GDN807" s="3787"/>
      <c r="GDO807" s="3787"/>
      <c r="GDP807" s="3787"/>
      <c r="GDQ807" s="3787"/>
      <c r="GDR807" s="3787"/>
      <c r="GDS807" s="3787"/>
      <c r="GDT807" s="3787"/>
      <c r="GDU807" s="3787"/>
      <c r="GDV807" s="3787"/>
      <c r="GDW807" s="3787"/>
      <c r="GDX807" s="3787"/>
      <c r="GDY807" s="3787"/>
      <c r="GDZ807" s="3787"/>
      <c r="GEA807" s="3787"/>
      <c r="GEB807" s="3787"/>
      <c r="GEC807" s="3787"/>
      <c r="GEH807" s="3787"/>
      <c r="GEN807" s="3787"/>
      <c r="GEO807" s="3787"/>
      <c r="GEP807" s="3787"/>
      <c r="GET807" s="3787"/>
      <c r="GFA807" s="3787"/>
      <c r="GFB807" s="3787"/>
      <c r="GFC807" s="3787"/>
      <c r="GFD807" s="3787"/>
      <c r="GFE807" s="3787"/>
      <c r="GFF807" s="3787"/>
      <c r="GFG807" s="3787"/>
      <c r="GFH807" s="3787"/>
      <c r="GFI807" s="3787"/>
      <c r="GFJ807" s="3787"/>
      <c r="GFK807" s="3787"/>
      <c r="GFL807" s="3787"/>
      <c r="GFM807" s="3787"/>
      <c r="GFN807" s="3787"/>
      <c r="GFO807" s="3787"/>
      <c r="GFP807" s="3787"/>
      <c r="GFQ807" s="3787"/>
      <c r="GFR807" s="3787"/>
      <c r="GFS807" s="3787"/>
      <c r="GFT807" s="3787"/>
      <c r="GFU807" s="3787"/>
      <c r="GFV807" s="3787"/>
      <c r="GFW807" s="3787"/>
      <c r="GFX807" s="3787"/>
      <c r="GFY807" s="3787"/>
      <c r="GFZ807" s="3787"/>
      <c r="GGA807" s="3787"/>
      <c r="GGB807" s="3787"/>
      <c r="GGC807" s="3787"/>
      <c r="GGD807" s="3787"/>
      <c r="GGE807" s="3787"/>
      <c r="GGF807" s="3787"/>
      <c r="GGG807" s="3787"/>
      <c r="GGH807" s="3787"/>
      <c r="GGI807" s="3787"/>
      <c r="GGJ807" s="3787"/>
      <c r="GGK807" s="3787"/>
      <c r="GGL807" s="3787"/>
      <c r="GGM807" s="3787"/>
      <c r="GGN807" s="3787"/>
      <c r="GGO807" s="3787"/>
      <c r="GGP807" s="3787"/>
      <c r="GGQ807" s="3787"/>
      <c r="GGR807" s="3787"/>
      <c r="GGS807" s="3787"/>
      <c r="GGT807" s="3787"/>
      <c r="GGU807" s="3787"/>
      <c r="GGV807" s="3787"/>
      <c r="GGW807" s="3787"/>
      <c r="GGX807" s="3787"/>
      <c r="GGY807" s="3787"/>
      <c r="GGZ807" s="3787"/>
      <c r="GHA807" s="3787"/>
      <c r="GHB807" s="3787"/>
      <c r="GHC807" s="3787"/>
      <c r="GHD807" s="3787"/>
      <c r="GHE807" s="3787"/>
      <c r="GHF807" s="3787"/>
      <c r="GHG807" s="3787"/>
      <c r="GHH807" s="3787"/>
      <c r="GHI807" s="3787"/>
      <c r="GHJ807" s="3787"/>
      <c r="GHK807" s="3787"/>
      <c r="GHL807" s="3787"/>
      <c r="GHM807" s="3787"/>
      <c r="GHN807" s="3787"/>
      <c r="GHO807" s="3787"/>
      <c r="GHP807" s="3787"/>
      <c r="GHQ807" s="3787"/>
      <c r="GHR807" s="3787"/>
      <c r="GHS807" s="3787"/>
      <c r="GHT807" s="3787"/>
      <c r="GHU807" s="3787"/>
      <c r="GHV807" s="3787"/>
      <c r="GHW807" s="3787"/>
      <c r="GHX807" s="3787"/>
      <c r="GHY807" s="3787"/>
      <c r="GHZ807" s="3787"/>
      <c r="GIA807" s="3787"/>
      <c r="GIB807" s="3787"/>
      <c r="GIC807" s="3787"/>
      <c r="GID807" s="3787"/>
      <c r="GIE807" s="3787"/>
      <c r="GIF807" s="3787"/>
      <c r="GIG807" s="3787"/>
      <c r="GIH807" s="3787"/>
      <c r="GII807" s="3787"/>
      <c r="GIJ807" s="3787"/>
      <c r="GIK807" s="3787"/>
      <c r="GIL807" s="3787"/>
      <c r="GIM807" s="3787"/>
      <c r="GIN807" s="3787"/>
      <c r="GIO807" s="3787"/>
      <c r="GIP807" s="3787"/>
      <c r="GIQ807" s="3787"/>
      <c r="GIR807" s="3787"/>
      <c r="GIS807" s="3787"/>
      <c r="GIT807" s="3787"/>
      <c r="GIU807" s="3787"/>
      <c r="GIV807" s="3787"/>
      <c r="GIW807" s="3787"/>
      <c r="GIX807" s="3787"/>
      <c r="GIY807" s="3787"/>
      <c r="GIZ807" s="3787"/>
      <c r="GJA807" s="3787"/>
      <c r="GJB807" s="3787"/>
      <c r="GJC807" s="3787"/>
      <c r="GJD807" s="3787"/>
      <c r="GJE807" s="3787"/>
      <c r="GJF807" s="3787"/>
      <c r="GJG807" s="3787"/>
      <c r="GJH807" s="3787"/>
      <c r="GJI807" s="3787"/>
      <c r="GJJ807" s="3787"/>
      <c r="GJK807" s="3787"/>
      <c r="GJL807" s="3787"/>
      <c r="GJM807" s="3787"/>
      <c r="GJN807" s="3787"/>
      <c r="GJO807" s="3787"/>
      <c r="GJP807" s="3787"/>
      <c r="GJQ807" s="3787"/>
      <c r="GJR807" s="3787"/>
      <c r="GJS807" s="3787"/>
      <c r="GJT807" s="3787"/>
      <c r="GJU807" s="3787"/>
      <c r="GJV807" s="3787"/>
      <c r="GJW807" s="3787"/>
      <c r="GJX807" s="3787"/>
      <c r="GJY807" s="3787"/>
      <c r="GJZ807" s="3787"/>
      <c r="GKA807" s="3787"/>
      <c r="GKB807" s="3787"/>
      <c r="GKC807" s="3787"/>
      <c r="GKD807" s="3787"/>
      <c r="GKE807" s="3787"/>
      <c r="GKF807" s="3787"/>
      <c r="GKG807" s="3787"/>
      <c r="GKH807" s="3787"/>
      <c r="GKI807" s="3787"/>
      <c r="GKJ807" s="3787"/>
      <c r="GKK807" s="3787"/>
      <c r="GKL807" s="3787"/>
      <c r="GKM807" s="3787"/>
      <c r="GKN807" s="3787"/>
      <c r="GKO807" s="3787"/>
      <c r="GKP807" s="3787"/>
      <c r="GKQ807" s="3787"/>
      <c r="GKR807" s="3787"/>
      <c r="GKS807" s="3787"/>
      <c r="GKT807" s="3787"/>
      <c r="GKU807" s="3787"/>
      <c r="GKV807" s="3787"/>
      <c r="GKW807" s="3787"/>
      <c r="GKX807" s="3787"/>
      <c r="GKY807" s="3787"/>
      <c r="GKZ807" s="3787"/>
      <c r="GLA807" s="3787"/>
      <c r="GLB807" s="3787"/>
      <c r="GLC807" s="3787"/>
      <c r="GLD807" s="3787"/>
      <c r="GLE807" s="3787"/>
      <c r="GLF807" s="3787"/>
      <c r="GLG807" s="3787"/>
      <c r="GLH807" s="3787"/>
      <c r="GLI807" s="3787"/>
      <c r="GLJ807" s="3787"/>
      <c r="GLK807" s="3787"/>
      <c r="GLL807" s="3787"/>
      <c r="GLM807" s="3787"/>
      <c r="GLN807" s="3787"/>
      <c r="GLO807" s="3787"/>
      <c r="GLP807" s="3787"/>
      <c r="GLQ807" s="3787"/>
      <c r="GLR807" s="3787"/>
      <c r="GLS807" s="3787"/>
      <c r="GLT807" s="3787"/>
      <c r="GLU807" s="3787"/>
      <c r="GLV807" s="3787"/>
      <c r="GLW807" s="3787"/>
      <c r="GLX807" s="3787"/>
      <c r="GLY807" s="3787"/>
      <c r="GLZ807" s="3787"/>
      <c r="GMA807" s="3787"/>
      <c r="GMB807" s="3787"/>
      <c r="GMC807" s="3787"/>
      <c r="GMD807" s="3787"/>
      <c r="GME807" s="3787"/>
      <c r="GMF807" s="3787"/>
      <c r="GMG807" s="3787"/>
      <c r="GMH807" s="3787"/>
      <c r="GMI807" s="3787"/>
      <c r="GMJ807" s="3787"/>
      <c r="GMK807" s="3787"/>
      <c r="GML807" s="3787"/>
      <c r="GMM807" s="3787"/>
      <c r="GMN807" s="3787"/>
      <c r="GMO807" s="3787"/>
      <c r="GMP807" s="3787"/>
      <c r="GMQ807" s="3787"/>
      <c r="GMR807" s="3787"/>
      <c r="GMS807" s="3787"/>
      <c r="GMT807" s="3787"/>
      <c r="GMU807" s="3787"/>
      <c r="GMV807" s="3787"/>
      <c r="GMW807" s="3787"/>
      <c r="GMX807" s="3787"/>
      <c r="GMY807" s="3787"/>
      <c r="GMZ807" s="3787"/>
      <c r="GNA807" s="3787"/>
      <c r="GNB807" s="3787"/>
      <c r="GNC807" s="3787"/>
      <c r="GND807" s="3787"/>
      <c r="GNE807" s="3787"/>
      <c r="GNF807" s="3787"/>
      <c r="GNG807" s="3787"/>
      <c r="GNH807" s="3787"/>
      <c r="GNI807" s="3787"/>
      <c r="GNJ807" s="3787"/>
      <c r="GNK807" s="3787"/>
      <c r="GNL807" s="3787"/>
      <c r="GNM807" s="3787"/>
      <c r="GNN807" s="3787"/>
      <c r="GNO807" s="3787"/>
      <c r="GNP807" s="3787"/>
      <c r="GNQ807" s="3787"/>
      <c r="GNR807" s="3787"/>
      <c r="GNS807" s="3787"/>
      <c r="GNT807" s="3787"/>
      <c r="GNU807" s="3787"/>
      <c r="GNV807" s="3787"/>
      <c r="GNW807" s="3787"/>
      <c r="GNX807" s="3787"/>
      <c r="GNY807" s="3787"/>
      <c r="GOD807" s="3787"/>
      <c r="GOJ807" s="3787"/>
      <c r="GOK807" s="3787"/>
      <c r="GOL807" s="3787"/>
      <c r="GOP807" s="3787"/>
      <c r="GOW807" s="3787"/>
      <c r="GOX807" s="3787"/>
      <c r="GOY807" s="3787"/>
      <c r="GOZ807" s="3787"/>
      <c r="GPA807" s="3787"/>
      <c r="GPB807" s="3787"/>
      <c r="GPC807" s="3787"/>
      <c r="GPD807" s="3787"/>
      <c r="GPE807" s="3787"/>
      <c r="GPF807" s="3787"/>
      <c r="GPG807" s="3787"/>
      <c r="GPH807" s="3787"/>
      <c r="GPI807" s="3787"/>
      <c r="GPJ807" s="3787"/>
      <c r="GPK807" s="3787"/>
      <c r="GPL807" s="3787"/>
      <c r="GPM807" s="3787"/>
      <c r="GPN807" s="3787"/>
      <c r="GPO807" s="3787"/>
      <c r="GPP807" s="3787"/>
      <c r="GPQ807" s="3787"/>
      <c r="GPR807" s="3787"/>
      <c r="GPS807" s="3787"/>
      <c r="GPT807" s="3787"/>
      <c r="GPU807" s="3787"/>
      <c r="GPV807" s="3787"/>
      <c r="GPW807" s="3787"/>
      <c r="GPX807" s="3787"/>
      <c r="GPY807" s="3787"/>
      <c r="GPZ807" s="3787"/>
      <c r="GQA807" s="3787"/>
      <c r="GQB807" s="3787"/>
      <c r="GQC807" s="3787"/>
      <c r="GQD807" s="3787"/>
      <c r="GQE807" s="3787"/>
      <c r="GQF807" s="3787"/>
      <c r="GQG807" s="3787"/>
      <c r="GQH807" s="3787"/>
      <c r="GQI807" s="3787"/>
      <c r="GQJ807" s="3787"/>
      <c r="GQK807" s="3787"/>
      <c r="GQL807" s="3787"/>
      <c r="GQM807" s="3787"/>
      <c r="GQN807" s="3787"/>
      <c r="GQO807" s="3787"/>
      <c r="GQP807" s="3787"/>
      <c r="GQQ807" s="3787"/>
      <c r="GQR807" s="3787"/>
      <c r="GQS807" s="3787"/>
      <c r="GQT807" s="3787"/>
      <c r="GQU807" s="3787"/>
      <c r="GQV807" s="3787"/>
      <c r="GQW807" s="3787"/>
      <c r="GQX807" s="3787"/>
      <c r="GQY807" s="3787"/>
      <c r="GQZ807" s="3787"/>
      <c r="GRA807" s="3787"/>
      <c r="GRB807" s="3787"/>
      <c r="GRC807" s="3787"/>
      <c r="GRD807" s="3787"/>
      <c r="GRE807" s="3787"/>
      <c r="GRF807" s="3787"/>
      <c r="GRG807" s="3787"/>
      <c r="GRH807" s="3787"/>
      <c r="GRI807" s="3787"/>
      <c r="GRJ807" s="3787"/>
      <c r="GRK807" s="3787"/>
      <c r="GRL807" s="3787"/>
      <c r="GRM807" s="3787"/>
      <c r="GRN807" s="3787"/>
      <c r="GRO807" s="3787"/>
      <c r="GRP807" s="3787"/>
      <c r="GRQ807" s="3787"/>
      <c r="GRR807" s="3787"/>
      <c r="GRS807" s="3787"/>
      <c r="GRT807" s="3787"/>
      <c r="GRU807" s="3787"/>
      <c r="GRV807" s="3787"/>
      <c r="GRW807" s="3787"/>
      <c r="GRX807" s="3787"/>
      <c r="GRY807" s="3787"/>
      <c r="GRZ807" s="3787"/>
      <c r="GSA807" s="3787"/>
      <c r="GSB807" s="3787"/>
      <c r="GSC807" s="3787"/>
      <c r="GSD807" s="3787"/>
      <c r="GSE807" s="3787"/>
      <c r="GSF807" s="3787"/>
      <c r="GSG807" s="3787"/>
      <c r="GSH807" s="3787"/>
      <c r="GSI807" s="3787"/>
      <c r="GSJ807" s="3787"/>
      <c r="GSK807" s="3787"/>
      <c r="GSL807" s="3787"/>
      <c r="GSM807" s="3787"/>
      <c r="GSN807" s="3787"/>
      <c r="GSO807" s="3787"/>
      <c r="GSP807" s="3787"/>
      <c r="GSQ807" s="3787"/>
      <c r="GSR807" s="3787"/>
      <c r="GSS807" s="3787"/>
      <c r="GST807" s="3787"/>
      <c r="GSU807" s="3787"/>
      <c r="GSV807" s="3787"/>
      <c r="GSW807" s="3787"/>
      <c r="GSX807" s="3787"/>
      <c r="GSY807" s="3787"/>
      <c r="GSZ807" s="3787"/>
      <c r="GTA807" s="3787"/>
      <c r="GTB807" s="3787"/>
      <c r="GTC807" s="3787"/>
      <c r="GTD807" s="3787"/>
      <c r="GTE807" s="3787"/>
      <c r="GTF807" s="3787"/>
      <c r="GTG807" s="3787"/>
      <c r="GTH807" s="3787"/>
      <c r="GTI807" s="3787"/>
      <c r="GTJ807" s="3787"/>
      <c r="GTK807" s="3787"/>
      <c r="GTL807" s="3787"/>
      <c r="GTM807" s="3787"/>
      <c r="GTN807" s="3787"/>
      <c r="GTO807" s="3787"/>
      <c r="GTP807" s="3787"/>
      <c r="GTQ807" s="3787"/>
      <c r="GTR807" s="3787"/>
      <c r="GTS807" s="3787"/>
      <c r="GTT807" s="3787"/>
      <c r="GTU807" s="3787"/>
      <c r="GTV807" s="3787"/>
      <c r="GTW807" s="3787"/>
      <c r="GTX807" s="3787"/>
      <c r="GTY807" s="3787"/>
      <c r="GTZ807" s="3787"/>
      <c r="GUA807" s="3787"/>
      <c r="GUB807" s="3787"/>
      <c r="GUC807" s="3787"/>
      <c r="GUD807" s="3787"/>
      <c r="GUE807" s="3787"/>
      <c r="GUF807" s="3787"/>
      <c r="GUG807" s="3787"/>
      <c r="GUH807" s="3787"/>
      <c r="GUI807" s="3787"/>
      <c r="GUJ807" s="3787"/>
      <c r="GUK807" s="3787"/>
      <c r="GUL807" s="3787"/>
      <c r="GUM807" s="3787"/>
      <c r="GUN807" s="3787"/>
      <c r="GUO807" s="3787"/>
      <c r="GUP807" s="3787"/>
      <c r="GUQ807" s="3787"/>
      <c r="GUR807" s="3787"/>
      <c r="GUS807" s="3787"/>
      <c r="GUT807" s="3787"/>
      <c r="GUU807" s="3787"/>
      <c r="GUV807" s="3787"/>
      <c r="GUW807" s="3787"/>
      <c r="GUX807" s="3787"/>
      <c r="GUY807" s="3787"/>
      <c r="GUZ807" s="3787"/>
      <c r="GVA807" s="3787"/>
      <c r="GVB807" s="3787"/>
      <c r="GVC807" s="3787"/>
      <c r="GVD807" s="3787"/>
      <c r="GVE807" s="3787"/>
      <c r="GVF807" s="3787"/>
      <c r="GVG807" s="3787"/>
      <c r="GVH807" s="3787"/>
      <c r="GVI807" s="3787"/>
      <c r="GVJ807" s="3787"/>
      <c r="GVK807" s="3787"/>
      <c r="GVL807" s="3787"/>
      <c r="GVM807" s="3787"/>
      <c r="GVN807" s="3787"/>
      <c r="GVO807" s="3787"/>
      <c r="GVP807" s="3787"/>
      <c r="GVQ807" s="3787"/>
      <c r="GVR807" s="3787"/>
      <c r="GVS807" s="3787"/>
      <c r="GVT807" s="3787"/>
      <c r="GVU807" s="3787"/>
      <c r="GVV807" s="3787"/>
      <c r="GVW807" s="3787"/>
      <c r="GVX807" s="3787"/>
      <c r="GVY807" s="3787"/>
      <c r="GVZ807" s="3787"/>
      <c r="GWA807" s="3787"/>
      <c r="GWB807" s="3787"/>
      <c r="GWC807" s="3787"/>
      <c r="GWD807" s="3787"/>
      <c r="GWE807" s="3787"/>
      <c r="GWF807" s="3787"/>
      <c r="GWG807" s="3787"/>
      <c r="GWH807" s="3787"/>
      <c r="GWI807" s="3787"/>
      <c r="GWJ807" s="3787"/>
      <c r="GWK807" s="3787"/>
      <c r="GWL807" s="3787"/>
      <c r="GWM807" s="3787"/>
      <c r="GWN807" s="3787"/>
      <c r="GWO807" s="3787"/>
      <c r="GWP807" s="3787"/>
      <c r="GWQ807" s="3787"/>
      <c r="GWR807" s="3787"/>
      <c r="GWS807" s="3787"/>
      <c r="GWT807" s="3787"/>
      <c r="GWU807" s="3787"/>
      <c r="GWV807" s="3787"/>
      <c r="GWW807" s="3787"/>
      <c r="GWX807" s="3787"/>
      <c r="GWY807" s="3787"/>
      <c r="GWZ807" s="3787"/>
      <c r="GXA807" s="3787"/>
      <c r="GXB807" s="3787"/>
      <c r="GXC807" s="3787"/>
      <c r="GXD807" s="3787"/>
      <c r="GXE807" s="3787"/>
      <c r="GXF807" s="3787"/>
      <c r="GXG807" s="3787"/>
      <c r="GXH807" s="3787"/>
      <c r="GXI807" s="3787"/>
      <c r="GXJ807" s="3787"/>
      <c r="GXK807" s="3787"/>
      <c r="GXL807" s="3787"/>
      <c r="GXM807" s="3787"/>
      <c r="GXN807" s="3787"/>
      <c r="GXO807" s="3787"/>
      <c r="GXP807" s="3787"/>
      <c r="GXQ807" s="3787"/>
      <c r="GXR807" s="3787"/>
      <c r="GXS807" s="3787"/>
      <c r="GXT807" s="3787"/>
      <c r="GXU807" s="3787"/>
      <c r="GXZ807" s="3787"/>
      <c r="GYF807" s="3787"/>
      <c r="GYG807" s="3787"/>
      <c r="GYH807" s="3787"/>
      <c r="GYL807" s="3787"/>
      <c r="GYS807" s="3787"/>
      <c r="GYT807" s="3787"/>
      <c r="GYU807" s="3787"/>
      <c r="GYV807" s="3787"/>
      <c r="GYW807" s="3787"/>
      <c r="GYX807" s="3787"/>
      <c r="GYY807" s="3787"/>
      <c r="GYZ807" s="3787"/>
      <c r="GZA807" s="3787"/>
      <c r="GZB807" s="3787"/>
      <c r="GZC807" s="3787"/>
      <c r="GZD807" s="3787"/>
      <c r="GZE807" s="3787"/>
      <c r="GZF807" s="3787"/>
      <c r="GZG807" s="3787"/>
      <c r="GZH807" s="3787"/>
      <c r="GZI807" s="3787"/>
      <c r="GZJ807" s="3787"/>
      <c r="GZK807" s="3787"/>
      <c r="GZL807" s="3787"/>
      <c r="GZM807" s="3787"/>
      <c r="GZN807" s="3787"/>
      <c r="GZO807" s="3787"/>
      <c r="GZP807" s="3787"/>
      <c r="GZQ807" s="3787"/>
      <c r="GZR807" s="3787"/>
      <c r="GZS807" s="3787"/>
      <c r="GZT807" s="3787"/>
      <c r="GZU807" s="3787"/>
      <c r="GZV807" s="3787"/>
      <c r="GZW807" s="3787"/>
      <c r="GZX807" s="3787"/>
      <c r="GZY807" s="3787"/>
      <c r="GZZ807" s="3787"/>
      <c r="HAA807" s="3787"/>
      <c r="HAB807" s="3787"/>
      <c r="HAC807" s="3787"/>
      <c r="HAD807" s="3787"/>
      <c r="HAE807" s="3787"/>
      <c r="HAF807" s="3787"/>
      <c r="HAG807" s="3787"/>
      <c r="HAH807" s="3787"/>
      <c r="HAI807" s="3787"/>
      <c r="HAJ807" s="3787"/>
      <c r="HAK807" s="3787"/>
      <c r="HAL807" s="3787"/>
      <c r="HAM807" s="3787"/>
      <c r="HAN807" s="3787"/>
      <c r="HAO807" s="3787"/>
      <c r="HAP807" s="3787"/>
      <c r="HAQ807" s="3787"/>
      <c r="HAR807" s="3787"/>
      <c r="HAS807" s="3787"/>
      <c r="HAT807" s="3787"/>
      <c r="HAU807" s="3787"/>
      <c r="HAV807" s="3787"/>
      <c r="HAW807" s="3787"/>
      <c r="HAX807" s="3787"/>
      <c r="HAY807" s="3787"/>
      <c r="HAZ807" s="3787"/>
      <c r="HBA807" s="3787"/>
      <c r="HBB807" s="3787"/>
      <c r="HBC807" s="3787"/>
      <c r="HBD807" s="3787"/>
      <c r="HBE807" s="3787"/>
      <c r="HBF807" s="3787"/>
      <c r="HBG807" s="3787"/>
      <c r="HBH807" s="3787"/>
      <c r="HBI807" s="3787"/>
      <c r="HBJ807" s="3787"/>
      <c r="HBK807" s="3787"/>
      <c r="HBL807" s="3787"/>
      <c r="HBM807" s="3787"/>
      <c r="HBN807" s="3787"/>
      <c r="HBO807" s="3787"/>
      <c r="HBP807" s="3787"/>
      <c r="HBQ807" s="3787"/>
      <c r="HBR807" s="3787"/>
      <c r="HBS807" s="3787"/>
      <c r="HBT807" s="3787"/>
      <c r="HBU807" s="3787"/>
      <c r="HBV807" s="3787"/>
      <c r="HBW807" s="3787"/>
      <c r="HBX807" s="3787"/>
      <c r="HBY807" s="3787"/>
      <c r="HBZ807" s="3787"/>
      <c r="HCA807" s="3787"/>
      <c r="HCB807" s="3787"/>
      <c r="HCC807" s="3787"/>
      <c r="HCD807" s="3787"/>
      <c r="HCE807" s="3787"/>
      <c r="HCF807" s="3787"/>
      <c r="HCG807" s="3787"/>
      <c r="HCH807" s="3787"/>
      <c r="HCI807" s="3787"/>
      <c r="HCJ807" s="3787"/>
      <c r="HCK807" s="3787"/>
      <c r="HCL807" s="3787"/>
      <c r="HCM807" s="3787"/>
      <c r="HCN807" s="3787"/>
      <c r="HCO807" s="3787"/>
      <c r="HCP807" s="3787"/>
      <c r="HCQ807" s="3787"/>
      <c r="HCR807" s="3787"/>
      <c r="HCS807" s="3787"/>
      <c r="HCT807" s="3787"/>
      <c r="HCU807" s="3787"/>
      <c r="HCV807" s="3787"/>
      <c r="HCW807" s="3787"/>
      <c r="HCX807" s="3787"/>
      <c r="HCY807" s="3787"/>
      <c r="HCZ807" s="3787"/>
      <c r="HDA807" s="3787"/>
      <c r="HDB807" s="3787"/>
      <c r="HDC807" s="3787"/>
      <c r="HDD807" s="3787"/>
      <c r="HDE807" s="3787"/>
      <c r="HDF807" s="3787"/>
      <c r="HDG807" s="3787"/>
      <c r="HDH807" s="3787"/>
      <c r="HDI807" s="3787"/>
      <c r="HDJ807" s="3787"/>
      <c r="HDK807" s="3787"/>
      <c r="HDL807" s="3787"/>
      <c r="HDM807" s="3787"/>
      <c r="HDN807" s="3787"/>
      <c r="HDO807" s="3787"/>
      <c r="HDP807" s="3787"/>
      <c r="HDQ807" s="3787"/>
      <c r="HDR807" s="3787"/>
      <c r="HDS807" s="3787"/>
      <c r="HDT807" s="3787"/>
      <c r="HDU807" s="3787"/>
      <c r="HDV807" s="3787"/>
      <c r="HDW807" s="3787"/>
      <c r="HDX807" s="3787"/>
      <c r="HDY807" s="3787"/>
      <c r="HDZ807" s="3787"/>
      <c r="HEA807" s="3787"/>
      <c r="HEB807" s="3787"/>
      <c r="HEC807" s="3787"/>
      <c r="HED807" s="3787"/>
      <c r="HEE807" s="3787"/>
      <c r="HEF807" s="3787"/>
      <c r="HEG807" s="3787"/>
      <c r="HEH807" s="3787"/>
      <c r="HEI807" s="3787"/>
      <c r="HEJ807" s="3787"/>
      <c r="HEK807" s="3787"/>
      <c r="HEL807" s="3787"/>
      <c r="HEM807" s="3787"/>
      <c r="HEN807" s="3787"/>
      <c r="HEO807" s="3787"/>
      <c r="HEP807" s="3787"/>
      <c r="HEQ807" s="3787"/>
      <c r="HER807" s="3787"/>
      <c r="HES807" s="3787"/>
      <c r="HET807" s="3787"/>
      <c r="HEU807" s="3787"/>
      <c r="HEV807" s="3787"/>
      <c r="HEW807" s="3787"/>
      <c r="HEX807" s="3787"/>
      <c r="HEY807" s="3787"/>
      <c r="HEZ807" s="3787"/>
      <c r="HFA807" s="3787"/>
      <c r="HFB807" s="3787"/>
      <c r="HFC807" s="3787"/>
      <c r="HFD807" s="3787"/>
      <c r="HFE807" s="3787"/>
      <c r="HFF807" s="3787"/>
      <c r="HFG807" s="3787"/>
      <c r="HFH807" s="3787"/>
      <c r="HFI807" s="3787"/>
      <c r="HFJ807" s="3787"/>
      <c r="HFK807" s="3787"/>
      <c r="HFL807" s="3787"/>
      <c r="HFM807" s="3787"/>
      <c r="HFN807" s="3787"/>
      <c r="HFO807" s="3787"/>
      <c r="HFP807" s="3787"/>
      <c r="HFQ807" s="3787"/>
      <c r="HFR807" s="3787"/>
      <c r="HFS807" s="3787"/>
      <c r="HFT807" s="3787"/>
      <c r="HFU807" s="3787"/>
      <c r="HFV807" s="3787"/>
      <c r="HFW807" s="3787"/>
      <c r="HFX807" s="3787"/>
      <c r="HFY807" s="3787"/>
      <c r="HFZ807" s="3787"/>
      <c r="HGA807" s="3787"/>
      <c r="HGB807" s="3787"/>
      <c r="HGC807" s="3787"/>
      <c r="HGD807" s="3787"/>
      <c r="HGE807" s="3787"/>
      <c r="HGF807" s="3787"/>
      <c r="HGG807" s="3787"/>
      <c r="HGH807" s="3787"/>
      <c r="HGI807" s="3787"/>
      <c r="HGJ807" s="3787"/>
      <c r="HGK807" s="3787"/>
      <c r="HGL807" s="3787"/>
      <c r="HGM807" s="3787"/>
      <c r="HGN807" s="3787"/>
      <c r="HGO807" s="3787"/>
      <c r="HGP807" s="3787"/>
      <c r="HGQ807" s="3787"/>
      <c r="HGR807" s="3787"/>
      <c r="HGS807" s="3787"/>
      <c r="HGT807" s="3787"/>
      <c r="HGU807" s="3787"/>
      <c r="HGV807" s="3787"/>
      <c r="HGW807" s="3787"/>
      <c r="HGX807" s="3787"/>
      <c r="HGY807" s="3787"/>
      <c r="HGZ807" s="3787"/>
      <c r="HHA807" s="3787"/>
      <c r="HHB807" s="3787"/>
      <c r="HHC807" s="3787"/>
      <c r="HHD807" s="3787"/>
      <c r="HHE807" s="3787"/>
      <c r="HHF807" s="3787"/>
      <c r="HHG807" s="3787"/>
      <c r="HHH807" s="3787"/>
      <c r="HHI807" s="3787"/>
      <c r="HHJ807" s="3787"/>
      <c r="HHK807" s="3787"/>
      <c r="HHL807" s="3787"/>
      <c r="HHM807" s="3787"/>
      <c r="HHN807" s="3787"/>
      <c r="HHO807" s="3787"/>
      <c r="HHP807" s="3787"/>
      <c r="HHQ807" s="3787"/>
      <c r="HHV807" s="3787"/>
      <c r="HIB807" s="3787"/>
      <c r="HIC807" s="3787"/>
      <c r="HID807" s="3787"/>
      <c r="HIH807" s="3787"/>
      <c r="HIO807" s="3787"/>
      <c r="HIP807" s="3787"/>
      <c r="HIQ807" s="3787"/>
      <c r="HIR807" s="3787"/>
      <c r="HIS807" s="3787"/>
      <c r="HIT807" s="3787"/>
      <c r="HIU807" s="3787"/>
      <c r="HIV807" s="3787"/>
      <c r="HIW807" s="3787"/>
      <c r="HIX807" s="3787"/>
      <c r="HIY807" s="3787"/>
      <c r="HIZ807" s="3787"/>
      <c r="HJA807" s="3787"/>
      <c r="HJB807" s="3787"/>
      <c r="HJC807" s="3787"/>
      <c r="HJD807" s="3787"/>
      <c r="HJE807" s="3787"/>
      <c r="HJF807" s="3787"/>
      <c r="HJG807" s="3787"/>
      <c r="HJH807" s="3787"/>
      <c r="HJI807" s="3787"/>
      <c r="HJJ807" s="3787"/>
      <c r="HJK807" s="3787"/>
      <c r="HJL807" s="3787"/>
      <c r="HJM807" s="3787"/>
      <c r="HJN807" s="3787"/>
      <c r="HJO807" s="3787"/>
      <c r="HJP807" s="3787"/>
      <c r="HJQ807" s="3787"/>
      <c r="HJR807" s="3787"/>
      <c r="HJS807" s="3787"/>
      <c r="HJT807" s="3787"/>
      <c r="HJU807" s="3787"/>
      <c r="HJV807" s="3787"/>
      <c r="HJW807" s="3787"/>
      <c r="HJX807" s="3787"/>
      <c r="HJY807" s="3787"/>
      <c r="HJZ807" s="3787"/>
      <c r="HKA807" s="3787"/>
      <c r="HKB807" s="3787"/>
      <c r="HKC807" s="3787"/>
      <c r="HKD807" s="3787"/>
      <c r="HKE807" s="3787"/>
      <c r="HKF807" s="3787"/>
      <c r="HKG807" s="3787"/>
      <c r="HKH807" s="3787"/>
      <c r="HKI807" s="3787"/>
      <c r="HKJ807" s="3787"/>
      <c r="HKK807" s="3787"/>
      <c r="HKL807" s="3787"/>
      <c r="HKM807" s="3787"/>
      <c r="HKN807" s="3787"/>
      <c r="HKO807" s="3787"/>
      <c r="HKP807" s="3787"/>
      <c r="HKQ807" s="3787"/>
      <c r="HKR807" s="3787"/>
      <c r="HKS807" s="3787"/>
      <c r="HKT807" s="3787"/>
      <c r="HKU807" s="3787"/>
      <c r="HKV807" s="3787"/>
      <c r="HKW807" s="3787"/>
      <c r="HKX807" s="3787"/>
      <c r="HKY807" s="3787"/>
      <c r="HKZ807" s="3787"/>
      <c r="HLA807" s="3787"/>
      <c r="HLB807" s="3787"/>
      <c r="HLC807" s="3787"/>
      <c r="HLD807" s="3787"/>
      <c r="HLE807" s="3787"/>
      <c r="HLF807" s="3787"/>
      <c r="HLG807" s="3787"/>
      <c r="HLH807" s="3787"/>
      <c r="HLI807" s="3787"/>
      <c r="HLJ807" s="3787"/>
      <c r="HLK807" s="3787"/>
      <c r="HLL807" s="3787"/>
      <c r="HLM807" s="3787"/>
      <c r="HLN807" s="3787"/>
      <c r="HLO807" s="3787"/>
      <c r="HLP807" s="3787"/>
      <c r="HLQ807" s="3787"/>
      <c r="HLR807" s="3787"/>
      <c r="HLS807" s="3787"/>
      <c r="HLT807" s="3787"/>
      <c r="HLU807" s="3787"/>
      <c r="HLV807" s="3787"/>
      <c r="HLW807" s="3787"/>
      <c r="HLX807" s="3787"/>
      <c r="HLY807" s="3787"/>
      <c r="HLZ807" s="3787"/>
      <c r="HMA807" s="3787"/>
      <c r="HMB807" s="3787"/>
      <c r="HMC807" s="3787"/>
      <c r="HMD807" s="3787"/>
      <c r="HME807" s="3787"/>
      <c r="HMF807" s="3787"/>
      <c r="HMG807" s="3787"/>
      <c r="HMH807" s="3787"/>
      <c r="HMI807" s="3787"/>
      <c r="HMJ807" s="3787"/>
      <c r="HMK807" s="3787"/>
      <c r="HML807" s="3787"/>
      <c r="HMM807" s="3787"/>
      <c r="HMN807" s="3787"/>
      <c r="HMO807" s="3787"/>
      <c r="HMP807" s="3787"/>
      <c r="HMQ807" s="3787"/>
      <c r="HMR807" s="3787"/>
      <c r="HMS807" s="3787"/>
      <c r="HMT807" s="3787"/>
      <c r="HMU807" s="3787"/>
      <c r="HMV807" s="3787"/>
      <c r="HMW807" s="3787"/>
      <c r="HMX807" s="3787"/>
      <c r="HMY807" s="3787"/>
      <c r="HMZ807" s="3787"/>
      <c r="HNA807" s="3787"/>
      <c r="HNB807" s="3787"/>
      <c r="HNC807" s="3787"/>
      <c r="HND807" s="3787"/>
      <c r="HNE807" s="3787"/>
      <c r="HNF807" s="3787"/>
      <c r="HNG807" s="3787"/>
      <c r="HNH807" s="3787"/>
      <c r="HNI807" s="3787"/>
      <c r="HNJ807" s="3787"/>
      <c r="HNK807" s="3787"/>
      <c r="HNL807" s="3787"/>
      <c r="HNM807" s="3787"/>
      <c r="HNN807" s="3787"/>
      <c r="HNO807" s="3787"/>
      <c r="HNP807" s="3787"/>
      <c r="HNQ807" s="3787"/>
      <c r="HNR807" s="3787"/>
      <c r="HNS807" s="3787"/>
      <c r="HNT807" s="3787"/>
      <c r="HNU807" s="3787"/>
      <c r="HNV807" s="3787"/>
      <c r="HNW807" s="3787"/>
      <c r="HNX807" s="3787"/>
      <c r="HNY807" s="3787"/>
      <c r="HNZ807" s="3787"/>
      <c r="HOA807" s="3787"/>
      <c r="HOB807" s="3787"/>
      <c r="HOC807" s="3787"/>
      <c r="HOD807" s="3787"/>
      <c r="HOE807" s="3787"/>
      <c r="HOF807" s="3787"/>
      <c r="HOG807" s="3787"/>
      <c r="HOH807" s="3787"/>
      <c r="HOI807" s="3787"/>
      <c r="HOJ807" s="3787"/>
      <c r="HOK807" s="3787"/>
      <c r="HOL807" s="3787"/>
      <c r="HOM807" s="3787"/>
      <c r="HON807" s="3787"/>
      <c r="HOO807" s="3787"/>
      <c r="HOP807" s="3787"/>
      <c r="HOQ807" s="3787"/>
      <c r="HOR807" s="3787"/>
      <c r="HOS807" s="3787"/>
      <c r="HOT807" s="3787"/>
      <c r="HOU807" s="3787"/>
      <c r="HOV807" s="3787"/>
      <c r="HOW807" s="3787"/>
      <c r="HOX807" s="3787"/>
      <c r="HOY807" s="3787"/>
      <c r="HOZ807" s="3787"/>
      <c r="HPA807" s="3787"/>
      <c r="HPB807" s="3787"/>
      <c r="HPC807" s="3787"/>
      <c r="HPD807" s="3787"/>
      <c r="HPE807" s="3787"/>
      <c r="HPF807" s="3787"/>
      <c r="HPG807" s="3787"/>
      <c r="HPH807" s="3787"/>
      <c r="HPI807" s="3787"/>
      <c r="HPJ807" s="3787"/>
      <c r="HPK807" s="3787"/>
      <c r="HPL807" s="3787"/>
      <c r="HPM807" s="3787"/>
      <c r="HPN807" s="3787"/>
      <c r="HPO807" s="3787"/>
      <c r="HPP807" s="3787"/>
      <c r="HPQ807" s="3787"/>
      <c r="HPR807" s="3787"/>
      <c r="HPS807" s="3787"/>
      <c r="HPT807" s="3787"/>
      <c r="HPU807" s="3787"/>
      <c r="HPV807" s="3787"/>
      <c r="HPW807" s="3787"/>
      <c r="HPX807" s="3787"/>
      <c r="HPY807" s="3787"/>
      <c r="HPZ807" s="3787"/>
      <c r="HQA807" s="3787"/>
      <c r="HQB807" s="3787"/>
      <c r="HQC807" s="3787"/>
      <c r="HQD807" s="3787"/>
      <c r="HQE807" s="3787"/>
      <c r="HQF807" s="3787"/>
      <c r="HQG807" s="3787"/>
      <c r="HQH807" s="3787"/>
      <c r="HQI807" s="3787"/>
      <c r="HQJ807" s="3787"/>
      <c r="HQK807" s="3787"/>
      <c r="HQL807" s="3787"/>
      <c r="HQM807" s="3787"/>
      <c r="HQN807" s="3787"/>
      <c r="HQO807" s="3787"/>
      <c r="HQP807" s="3787"/>
      <c r="HQQ807" s="3787"/>
      <c r="HQR807" s="3787"/>
      <c r="HQS807" s="3787"/>
      <c r="HQT807" s="3787"/>
      <c r="HQU807" s="3787"/>
      <c r="HQV807" s="3787"/>
      <c r="HQW807" s="3787"/>
      <c r="HQX807" s="3787"/>
      <c r="HQY807" s="3787"/>
      <c r="HQZ807" s="3787"/>
      <c r="HRA807" s="3787"/>
      <c r="HRB807" s="3787"/>
      <c r="HRC807" s="3787"/>
      <c r="HRD807" s="3787"/>
      <c r="HRE807" s="3787"/>
      <c r="HRF807" s="3787"/>
      <c r="HRG807" s="3787"/>
      <c r="HRH807" s="3787"/>
      <c r="HRI807" s="3787"/>
      <c r="HRJ807" s="3787"/>
      <c r="HRK807" s="3787"/>
      <c r="HRL807" s="3787"/>
      <c r="HRM807" s="3787"/>
      <c r="HRR807" s="3787"/>
      <c r="HRX807" s="3787"/>
      <c r="HRY807" s="3787"/>
      <c r="HRZ807" s="3787"/>
      <c r="HSD807" s="3787"/>
      <c r="HSK807" s="3787"/>
      <c r="HSL807" s="3787"/>
      <c r="HSM807" s="3787"/>
      <c r="HSN807" s="3787"/>
      <c r="HSO807" s="3787"/>
      <c r="HSP807" s="3787"/>
      <c r="HSQ807" s="3787"/>
      <c r="HSR807" s="3787"/>
      <c r="HSS807" s="3787"/>
      <c r="HST807" s="3787"/>
      <c r="HSU807" s="3787"/>
      <c r="HSV807" s="3787"/>
      <c r="HSW807" s="3787"/>
      <c r="HSX807" s="3787"/>
      <c r="HSY807" s="3787"/>
      <c r="HSZ807" s="3787"/>
      <c r="HTA807" s="3787"/>
      <c r="HTB807" s="3787"/>
      <c r="HTC807" s="3787"/>
      <c r="HTD807" s="3787"/>
      <c r="HTE807" s="3787"/>
      <c r="HTF807" s="3787"/>
      <c r="HTG807" s="3787"/>
      <c r="HTH807" s="3787"/>
      <c r="HTI807" s="3787"/>
      <c r="HTJ807" s="3787"/>
      <c r="HTK807" s="3787"/>
      <c r="HTL807" s="3787"/>
      <c r="HTM807" s="3787"/>
      <c r="HTN807" s="3787"/>
      <c r="HTO807" s="3787"/>
      <c r="HTP807" s="3787"/>
      <c r="HTQ807" s="3787"/>
      <c r="HTR807" s="3787"/>
      <c r="HTS807" s="3787"/>
      <c r="HTT807" s="3787"/>
      <c r="HTU807" s="3787"/>
      <c r="HTV807" s="3787"/>
      <c r="HTW807" s="3787"/>
      <c r="HTX807" s="3787"/>
      <c r="HTY807" s="3787"/>
      <c r="HTZ807" s="3787"/>
      <c r="HUA807" s="3787"/>
      <c r="HUB807" s="3787"/>
      <c r="HUC807" s="3787"/>
      <c r="HUD807" s="3787"/>
      <c r="HUE807" s="3787"/>
      <c r="HUF807" s="3787"/>
      <c r="HUG807" s="3787"/>
      <c r="HUH807" s="3787"/>
      <c r="HUI807" s="3787"/>
      <c r="HUJ807" s="3787"/>
      <c r="HUK807" s="3787"/>
      <c r="HUL807" s="3787"/>
      <c r="HUM807" s="3787"/>
      <c r="HUN807" s="3787"/>
      <c r="HUO807" s="3787"/>
      <c r="HUP807" s="3787"/>
      <c r="HUQ807" s="3787"/>
      <c r="HUR807" s="3787"/>
      <c r="HUS807" s="3787"/>
      <c r="HUT807" s="3787"/>
      <c r="HUU807" s="3787"/>
      <c r="HUV807" s="3787"/>
      <c r="HUW807" s="3787"/>
      <c r="HUX807" s="3787"/>
      <c r="HUY807" s="3787"/>
      <c r="HUZ807" s="3787"/>
      <c r="HVA807" s="3787"/>
      <c r="HVB807" s="3787"/>
      <c r="HVC807" s="3787"/>
      <c r="HVD807" s="3787"/>
      <c r="HVE807" s="3787"/>
      <c r="HVF807" s="3787"/>
      <c r="HVG807" s="3787"/>
      <c r="HVH807" s="3787"/>
      <c r="HVI807" s="3787"/>
      <c r="HVJ807" s="3787"/>
      <c r="HVK807" s="3787"/>
      <c r="HVL807" s="3787"/>
      <c r="HVM807" s="3787"/>
      <c r="HVN807" s="3787"/>
      <c r="HVO807" s="3787"/>
      <c r="HVP807" s="3787"/>
      <c r="HVQ807" s="3787"/>
      <c r="HVR807" s="3787"/>
      <c r="HVS807" s="3787"/>
      <c r="HVT807" s="3787"/>
      <c r="HVU807" s="3787"/>
      <c r="HVV807" s="3787"/>
      <c r="HVW807" s="3787"/>
      <c r="HVX807" s="3787"/>
      <c r="HVY807" s="3787"/>
      <c r="HVZ807" s="3787"/>
      <c r="HWA807" s="3787"/>
      <c r="HWB807" s="3787"/>
      <c r="HWC807" s="3787"/>
      <c r="HWD807" s="3787"/>
      <c r="HWE807" s="3787"/>
      <c r="HWF807" s="3787"/>
      <c r="HWG807" s="3787"/>
      <c r="HWH807" s="3787"/>
      <c r="HWI807" s="3787"/>
      <c r="HWJ807" s="3787"/>
      <c r="HWK807" s="3787"/>
      <c r="HWL807" s="3787"/>
      <c r="HWM807" s="3787"/>
      <c r="HWN807" s="3787"/>
      <c r="HWO807" s="3787"/>
      <c r="HWP807" s="3787"/>
      <c r="HWQ807" s="3787"/>
      <c r="HWR807" s="3787"/>
      <c r="HWS807" s="3787"/>
      <c r="HWT807" s="3787"/>
      <c r="HWU807" s="3787"/>
      <c r="HWV807" s="3787"/>
      <c r="HWW807" s="3787"/>
      <c r="HWX807" s="3787"/>
      <c r="HWY807" s="3787"/>
      <c r="HWZ807" s="3787"/>
      <c r="HXA807" s="3787"/>
      <c r="HXB807" s="3787"/>
      <c r="HXC807" s="3787"/>
      <c r="HXD807" s="3787"/>
      <c r="HXE807" s="3787"/>
      <c r="HXF807" s="3787"/>
      <c r="HXG807" s="3787"/>
      <c r="HXH807" s="3787"/>
      <c r="HXI807" s="3787"/>
      <c r="HXJ807" s="3787"/>
      <c r="HXK807" s="3787"/>
      <c r="HXL807" s="3787"/>
      <c r="HXM807" s="3787"/>
      <c r="HXN807" s="3787"/>
      <c r="HXO807" s="3787"/>
      <c r="HXP807" s="3787"/>
      <c r="HXQ807" s="3787"/>
      <c r="HXR807" s="3787"/>
      <c r="HXS807" s="3787"/>
      <c r="HXT807" s="3787"/>
      <c r="HXU807" s="3787"/>
      <c r="HXV807" s="3787"/>
      <c r="HXW807" s="3787"/>
      <c r="HXX807" s="3787"/>
      <c r="HXY807" s="3787"/>
      <c r="HXZ807" s="3787"/>
      <c r="HYA807" s="3787"/>
      <c r="HYB807" s="3787"/>
      <c r="HYC807" s="3787"/>
      <c r="HYD807" s="3787"/>
      <c r="HYE807" s="3787"/>
      <c r="HYF807" s="3787"/>
      <c r="HYG807" s="3787"/>
      <c r="HYH807" s="3787"/>
      <c r="HYI807" s="3787"/>
      <c r="HYJ807" s="3787"/>
      <c r="HYK807" s="3787"/>
      <c r="HYL807" s="3787"/>
      <c r="HYM807" s="3787"/>
      <c r="HYN807" s="3787"/>
      <c r="HYO807" s="3787"/>
      <c r="HYP807" s="3787"/>
      <c r="HYQ807" s="3787"/>
      <c r="HYR807" s="3787"/>
      <c r="HYS807" s="3787"/>
      <c r="HYT807" s="3787"/>
      <c r="HYU807" s="3787"/>
      <c r="HYV807" s="3787"/>
      <c r="HYW807" s="3787"/>
      <c r="HYX807" s="3787"/>
      <c r="HYY807" s="3787"/>
      <c r="HYZ807" s="3787"/>
      <c r="HZA807" s="3787"/>
      <c r="HZB807" s="3787"/>
      <c r="HZC807" s="3787"/>
      <c r="HZD807" s="3787"/>
      <c r="HZE807" s="3787"/>
      <c r="HZF807" s="3787"/>
      <c r="HZG807" s="3787"/>
      <c r="HZH807" s="3787"/>
      <c r="HZI807" s="3787"/>
      <c r="HZJ807" s="3787"/>
      <c r="HZK807" s="3787"/>
      <c r="HZL807" s="3787"/>
      <c r="HZM807" s="3787"/>
      <c r="HZN807" s="3787"/>
      <c r="HZO807" s="3787"/>
      <c r="HZP807" s="3787"/>
      <c r="HZQ807" s="3787"/>
      <c r="HZR807" s="3787"/>
      <c r="HZS807" s="3787"/>
      <c r="HZT807" s="3787"/>
      <c r="HZU807" s="3787"/>
      <c r="HZV807" s="3787"/>
      <c r="HZW807" s="3787"/>
      <c r="HZX807" s="3787"/>
      <c r="HZY807" s="3787"/>
      <c r="HZZ807" s="3787"/>
      <c r="IAA807" s="3787"/>
      <c r="IAB807" s="3787"/>
      <c r="IAC807" s="3787"/>
      <c r="IAD807" s="3787"/>
      <c r="IAE807" s="3787"/>
      <c r="IAF807" s="3787"/>
      <c r="IAG807" s="3787"/>
      <c r="IAH807" s="3787"/>
      <c r="IAI807" s="3787"/>
      <c r="IAJ807" s="3787"/>
      <c r="IAK807" s="3787"/>
      <c r="IAL807" s="3787"/>
      <c r="IAM807" s="3787"/>
      <c r="IAN807" s="3787"/>
      <c r="IAO807" s="3787"/>
      <c r="IAP807" s="3787"/>
      <c r="IAQ807" s="3787"/>
      <c r="IAR807" s="3787"/>
      <c r="IAS807" s="3787"/>
      <c r="IAT807" s="3787"/>
      <c r="IAU807" s="3787"/>
      <c r="IAV807" s="3787"/>
      <c r="IAW807" s="3787"/>
      <c r="IAX807" s="3787"/>
      <c r="IAY807" s="3787"/>
      <c r="IAZ807" s="3787"/>
      <c r="IBA807" s="3787"/>
      <c r="IBB807" s="3787"/>
      <c r="IBC807" s="3787"/>
      <c r="IBD807" s="3787"/>
      <c r="IBE807" s="3787"/>
      <c r="IBF807" s="3787"/>
      <c r="IBG807" s="3787"/>
      <c r="IBH807" s="3787"/>
      <c r="IBI807" s="3787"/>
      <c r="IBN807" s="3787"/>
      <c r="IBT807" s="3787"/>
      <c r="IBU807" s="3787"/>
      <c r="IBV807" s="3787"/>
      <c r="IBZ807" s="3787"/>
      <c r="ICG807" s="3787"/>
      <c r="ICH807" s="3787"/>
      <c r="ICI807" s="3787"/>
      <c r="ICJ807" s="3787"/>
      <c r="ICK807" s="3787"/>
      <c r="ICL807" s="3787"/>
      <c r="ICM807" s="3787"/>
      <c r="ICN807" s="3787"/>
      <c r="ICO807" s="3787"/>
      <c r="ICP807" s="3787"/>
      <c r="ICQ807" s="3787"/>
      <c r="ICR807" s="3787"/>
      <c r="ICS807" s="3787"/>
      <c r="ICT807" s="3787"/>
      <c r="ICU807" s="3787"/>
      <c r="ICV807" s="3787"/>
      <c r="ICW807" s="3787"/>
      <c r="ICX807" s="3787"/>
      <c r="ICY807" s="3787"/>
      <c r="ICZ807" s="3787"/>
      <c r="IDA807" s="3787"/>
      <c r="IDB807" s="3787"/>
      <c r="IDC807" s="3787"/>
      <c r="IDD807" s="3787"/>
      <c r="IDE807" s="3787"/>
      <c r="IDF807" s="3787"/>
      <c r="IDG807" s="3787"/>
      <c r="IDH807" s="3787"/>
      <c r="IDI807" s="3787"/>
      <c r="IDJ807" s="3787"/>
      <c r="IDK807" s="3787"/>
      <c r="IDL807" s="3787"/>
      <c r="IDM807" s="3787"/>
      <c r="IDN807" s="3787"/>
      <c r="IDO807" s="3787"/>
      <c r="IDP807" s="3787"/>
      <c r="IDQ807" s="3787"/>
      <c r="IDR807" s="3787"/>
      <c r="IDS807" s="3787"/>
      <c r="IDT807" s="3787"/>
      <c r="IDU807" s="3787"/>
      <c r="IDV807" s="3787"/>
      <c r="IDW807" s="3787"/>
      <c r="IDX807" s="3787"/>
      <c r="IDY807" s="3787"/>
      <c r="IDZ807" s="3787"/>
      <c r="IEA807" s="3787"/>
      <c r="IEB807" s="3787"/>
      <c r="IEC807" s="3787"/>
      <c r="IED807" s="3787"/>
      <c r="IEE807" s="3787"/>
      <c r="IEF807" s="3787"/>
      <c r="IEG807" s="3787"/>
      <c r="IEH807" s="3787"/>
      <c r="IEI807" s="3787"/>
      <c r="IEJ807" s="3787"/>
      <c r="IEK807" s="3787"/>
      <c r="IEL807" s="3787"/>
      <c r="IEM807" s="3787"/>
      <c r="IEN807" s="3787"/>
      <c r="IEO807" s="3787"/>
      <c r="IEP807" s="3787"/>
      <c r="IEQ807" s="3787"/>
      <c r="IER807" s="3787"/>
      <c r="IES807" s="3787"/>
      <c r="IET807" s="3787"/>
      <c r="IEU807" s="3787"/>
      <c r="IEV807" s="3787"/>
      <c r="IEW807" s="3787"/>
      <c r="IEX807" s="3787"/>
      <c r="IEY807" s="3787"/>
      <c r="IEZ807" s="3787"/>
      <c r="IFA807" s="3787"/>
      <c r="IFB807" s="3787"/>
      <c r="IFC807" s="3787"/>
      <c r="IFD807" s="3787"/>
      <c r="IFE807" s="3787"/>
      <c r="IFF807" s="3787"/>
      <c r="IFG807" s="3787"/>
      <c r="IFH807" s="3787"/>
      <c r="IFI807" s="3787"/>
      <c r="IFJ807" s="3787"/>
      <c r="IFK807" s="3787"/>
      <c r="IFL807" s="3787"/>
      <c r="IFM807" s="3787"/>
      <c r="IFN807" s="3787"/>
      <c r="IFO807" s="3787"/>
      <c r="IFP807" s="3787"/>
      <c r="IFQ807" s="3787"/>
      <c r="IFR807" s="3787"/>
      <c r="IFS807" s="3787"/>
      <c r="IFT807" s="3787"/>
      <c r="IFU807" s="3787"/>
      <c r="IFV807" s="3787"/>
      <c r="IFW807" s="3787"/>
      <c r="IFX807" s="3787"/>
      <c r="IFY807" s="3787"/>
      <c r="IFZ807" s="3787"/>
      <c r="IGA807" s="3787"/>
      <c r="IGB807" s="3787"/>
      <c r="IGC807" s="3787"/>
      <c r="IGD807" s="3787"/>
      <c r="IGE807" s="3787"/>
      <c r="IGF807" s="3787"/>
      <c r="IGG807" s="3787"/>
      <c r="IGH807" s="3787"/>
      <c r="IGI807" s="3787"/>
      <c r="IGJ807" s="3787"/>
      <c r="IGK807" s="3787"/>
      <c r="IGL807" s="3787"/>
      <c r="IGM807" s="3787"/>
      <c r="IGN807" s="3787"/>
      <c r="IGO807" s="3787"/>
      <c r="IGP807" s="3787"/>
      <c r="IGQ807" s="3787"/>
      <c r="IGR807" s="3787"/>
      <c r="IGS807" s="3787"/>
      <c r="IGT807" s="3787"/>
      <c r="IGU807" s="3787"/>
      <c r="IGV807" s="3787"/>
      <c r="IGW807" s="3787"/>
      <c r="IGX807" s="3787"/>
      <c r="IGY807" s="3787"/>
      <c r="IGZ807" s="3787"/>
      <c r="IHA807" s="3787"/>
      <c r="IHB807" s="3787"/>
      <c r="IHC807" s="3787"/>
      <c r="IHD807" s="3787"/>
      <c r="IHE807" s="3787"/>
      <c r="IHF807" s="3787"/>
      <c r="IHG807" s="3787"/>
      <c r="IHH807" s="3787"/>
      <c r="IHI807" s="3787"/>
      <c r="IHJ807" s="3787"/>
      <c r="IHK807" s="3787"/>
      <c r="IHL807" s="3787"/>
      <c r="IHM807" s="3787"/>
      <c r="IHN807" s="3787"/>
      <c r="IHO807" s="3787"/>
      <c r="IHP807" s="3787"/>
      <c r="IHQ807" s="3787"/>
      <c r="IHR807" s="3787"/>
      <c r="IHS807" s="3787"/>
      <c r="IHT807" s="3787"/>
      <c r="IHU807" s="3787"/>
      <c r="IHV807" s="3787"/>
      <c r="IHW807" s="3787"/>
      <c r="IHX807" s="3787"/>
      <c r="IHY807" s="3787"/>
      <c r="IHZ807" s="3787"/>
      <c r="IIA807" s="3787"/>
      <c r="IIB807" s="3787"/>
      <c r="IIC807" s="3787"/>
      <c r="IID807" s="3787"/>
      <c r="IIE807" s="3787"/>
      <c r="IIF807" s="3787"/>
      <c r="IIG807" s="3787"/>
      <c r="IIH807" s="3787"/>
      <c r="III807" s="3787"/>
      <c r="IIJ807" s="3787"/>
      <c r="IIK807" s="3787"/>
      <c r="IIL807" s="3787"/>
      <c r="IIM807" s="3787"/>
      <c r="IIN807" s="3787"/>
      <c r="IIO807" s="3787"/>
      <c r="IIP807" s="3787"/>
      <c r="IIQ807" s="3787"/>
      <c r="IIR807" s="3787"/>
      <c r="IIS807" s="3787"/>
      <c r="IIT807" s="3787"/>
      <c r="IIU807" s="3787"/>
      <c r="IIV807" s="3787"/>
      <c r="IIW807" s="3787"/>
      <c r="IIX807" s="3787"/>
      <c r="IIY807" s="3787"/>
      <c r="IIZ807" s="3787"/>
      <c r="IJA807" s="3787"/>
      <c r="IJB807" s="3787"/>
      <c r="IJC807" s="3787"/>
      <c r="IJD807" s="3787"/>
      <c r="IJE807" s="3787"/>
      <c r="IJF807" s="3787"/>
      <c r="IJG807" s="3787"/>
      <c r="IJH807" s="3787"/>
      <c r="IJI807" s="3787"/>
      <c r="IJJ807" s="3787"/>
      <c r="IJK807" s="3787"/>
      <c r="IJL807" s="3787"/>
      <c r="IJM807" s="3787"/>
      <c r="IJN807" s="3787"/>
      <c r="IJO807" s="3787"/>
      <c r="IJP807" s="3787"/>
      <c r="IJQ807" s="3787"/>
      <c r="IJR807" s="3787"/>
      <c r="IJS807" s="3787"/>
      <c r="IJT807" s="3787"/>
      <c r="IJU807" s="3787"/>
      <c r="IJV807" s="3787"/>
      <c r="IJW807" s="3787"/>
      <c r="IJX807" s="3787"/>
      <c r="IJY807" s="3787"/>
      <c r="IJZ807" s="3787"/>
      <c r="IKA807" s="3787"/>
      <c r="IKB807" s="3787"/>
      <c r="IKC807" s="3787"/>
      <c r="IKD807" s="3787"/>
      <c r="IKE807" s="3787"/>
      <c r="IKF807" s="3787"/>
      <c r="IKG807" s="3787"/>
      <c r="IKH807" s="3787"/>
      <c r="IKI807" s="3787"/>
      <c r="IKJ807" s="3787"/>
      <c r="IKK807" s="3787"/>
      <c r="IKL807" s="3787"/>
      <c r="IKM807" s="3787"/>
      <c r="IKN807" s="3787"/>
      <c r="IKO807" s="3787"/>
      <c r="IKP807" s="3787"/>
      <c r="IKQ807" s="3787"/>
      <c r="IKR807" s="3787"/>
      <c r="IKS807" s="3787"/>
      <c r="IKT807" s="3787"/>
      <c r="IKU807" s="3787"/>
      <c r="IKV807" s="3787"/>
      <c r="IKW807" s="3787"/>
      <c r="IKX807" s="3787"/>
      <c r="IKY807" s="3787"/>
      <c r="IKZ807" s="3787"/>
      <c r="ILA807" s="3787"/>
      <c r="ILB807" s="3787"/>
      <c r="ILC807" s="3787"/>
      <c r="ILD807" s="3787"/>
      <c r="ILE807" s="3787"/>
      <c r="ILJ807" s="3787"/>
      <c r="ILP807" s="3787"/>
      <c r="ILQ807" s="3787"/>
      <c r="ILR807" s="3787"/>
      <c r="ILV807" s="3787"/>
      <c r="IMC807" s="3787"/>
      <c r="IMD807" s="3787"/>
      <c r="IME807" s="3787"/>
      <c r="IMF807" s="3787"/>
      <c r="IMG807" s="3787"/>
      <c r="IMH807" s="3787"/>
      <c r="IMI807" s="3787"/>
      <c r="IMJ807" s="3787"/>
      <c r="IMK807" s="3787"/>
      <c r="IML807" s="3787"/>
      <c r="IMM807" s="3787"/>
      <c r="IMN807" s="3787"/>
      <c r="IMO807" s="3787"/>
      <c r="IMP807" s="3787"/>
      <c r="IMQ807" s="3787"/>
      <c r="IMR807" s="3787"/>
      <c r="IMS807" s="3787"/>
      <c r="IMT807" s="3787"/>
      <c r="IMU807" s="3787"/>
      <c r="IMV807" s="3787"/>
      <c r="IMW807" s="3787"/>
      <c r="IMX807" s="3787"/>
      <c r="IMY807" s="3787"/>
      <c r="IMZ807" s="3787"/>
      <c r="INA807" s="3787"/>
      <c r="INB807" s="3787"/>
      <c r="INC807" s="3787"/>
      <c r="IND807" s="3787"/>
      <c r="INE807" s="3787"/>
      <c r="INF807" s="3787"/>
      <c r="ING807" s="3787"/>
      <c r="INH807" s="3787"/>
      <c r="INI807" s="3787"/>
      <c r="INJ807" s="3787"/>
      <c r="INK807" s="3787"/>
      <c r="INL807" s="3787"/>
      <c r="INM807" s="3787"/>
      <c r="INN807" s="3787"/>
      <c r="INO807" s="3787"/>
      <c r="INP807" s="3787"/>
      <c r="INQ807" s="3787"/>
      <c r="INR807" s="3787"/>
      <c r="INS807" s="3787"/>
      <c r="INT807" s="3787"/>
      <c r="INU807" s="3787"/>
      <c r="INV807" s="3787"/>
      <c r="INW807" s="3787"/>
      <c r="INX807" s="3787"/>
      <c r="INY807" s="3787"/>
      <c r="INZ807" s="3787"/>
      <c r="IOA807" s="3787"/>
      <c r="IOB807" s="3787"/>
      <c r="IOC807" s="3787"/>
      <c r="IOD807" s="3787"/>
      <c r="IOE807" s="3787"/>
      <c r="IOF807" s="3787"/>
      <c r="IOG807" s="3787"/>
      <c r="IOH807" s="3787"/>
      <c r="IOI807" s="3787"/>
      <c r="IOJ807" s="3787"/>
      <c r="IOK807" s="3787"/>
      <c r="IOL807" s="3787"/>
      <c r="IOM807" s="3787"/>
      <c r="ION807" s="3787"/>
      <c r="IOO807" s="3787"/>
      <c r="IOP807" s="3787"/>
      <c r="IOQ807" s="3787"/>
      <c r="IOR807" s="3787"/>
      <c r="IOS807" s="3787"/>
      <c r="IOT807" s="3787"/>
      <c r="IOU807" s="3787"/>
      <c r="IOV807" s="3787"/>
      <c r="IOW807" s="3787"/>
      <c r="IOX807" s="3787"/>
      <c r="IOY807" s="3787"/>
      <c r="IOZ807" s="3787"/>
      <c r="IPA807" s="3787"/>
      <c r="IPB807" s="3787"/>
      <c r="IPC807" s="3787"/>
      <c r="IPD807" s="3787"/>
      <c r="IPE807" s="3787"/>
      <c r="IPF807" s="3787"/>
      <c r="IPG807" s="3787"/>
      <c r="IPH807" s="3787"/>
      <c r="IPI807" s="3787"/>
      <c r="IPJ807" s="3787"/>
      <c r="IPK807" s="3787"/>
      <c r="IPL807" s="3787"/>
      <c r="IPM807" s="3787"/>
      <c r="IPN807" s="3787"/>
      <c r="IPO807" s="3787"/>
      <c r="IPP807" s="3787"/>
      <c r="IPQ807" s="3787"/>
      <c r="IPR807" s="3787"/>
      <c r="IPS807" s="3787"/>
      <c r="IPT807" s="3787"/>
      <c r="IPU807" s="3787"/>
      <c r="IPV807" s="3787"/>
      <c r="IPW807" s="3787"/>
      <c r="IPX807" s="3787"/>
      <c r="IPY807" s="3787"/>
      <c r="IPZ807" s="3787"/>
      <c r="IQA807" s="3787"/>
      <c r="IQB807" s="3787"/>
      <c r="IQC807" s="3787"/>
      <c r="IQD807" s="3787"/>
      <c r="IQE807" s="3787"/>
      <c r="IQF807" s="3787"/>
      <c r="IQG807" s="3787"/>
      <c r="IQH807" s="3787"/>
      <c r="IQI807" s="3787"/>
      <c r="IQJ807" s="3787"/>
      <c r="IQK807" s="3787"/>
      <c r="IQL807" s="3787"/>
      <c r="IQM807" s="3787"/>
      <c r="IQN807" s="3787"/>
      <c r="IQO807" s="3787"/>
      <c r="IQP807" s="3787"/>
      <c r="IQQ807" s="3787"/>
      <c r="IQR807" s="3787"/>
      <c r="IQS807" s="3787"/>
      <c r="IQT807" s="3787"/>
      <c r="IQU807" s="3787"/>
      <c r="IQV807" s="3787"/>
      <c r="IQW807" s="3787"/>
      <c r="IQX807" s="3787"/>
      <c r="IQY807" s="3787"/>
      <c r="IQZ807" s="3787"/>
      <c r="IRA807" s="3787"/>
      <c r="IRB807" s="3787"/>
      <c r="IRC807" s="3787"/>
      <c r="IRD807" s="3787"/>
      <c r="IRE807" s="3787"/>
      <c r="IRF807" s="3787"/>
      <c r="IRG807" s="3787"/>
      <c r="IRH807" s="3787"/>
      <c r="IRI807" s="3787"/>
      <c r="IRJ807" s="3787"/>
      <c r="IRK807" s="3787"/>
      <c r="IRL807" s="3787"/>
      <c r="IRM807" s="3787"/>
      <c r="IRN807" s="3787"/>
      <c r="IRO807" s="3787"/>
      <c r="IRP807" s="3787"/>
      <c r="IRQ807" s="3787"/>
      <c r="IRR807" s="3787"/>
      <c r="IRS807" s="3787"/>
      <c r="IRT807" s="3787"/>
      <c r="IRU807" s="3787"/>
      <c r="IRV807" s="3787"/>
      <c r="IRW807" s="3787"/>
      <c r="IRX807" s="3787"/>
      <c r="IRY807" s="3787"/>
      <c r="IRZ807" s="3787"/>
      <c r="ISA807" s="3787"/>
      <c r="ISB807" s="3787"/>
      <c r="ISC807" s="3787"/>
      <c r="ISD807" s="3787"/>
      <c r="ISE807" s="3787"/>
      <c r="ISF807" s="3787"/>
      <c r="ISG807" s="3787"/>
      <c r="ISH807" s="3787"/>
      <c r="ISI807" s="3787"/>
      <c r="ISJ807" s="3787"/>
      <c r="ISK807" s="3787"/>
      <c r="ISL807" s="3787"/>
      <c r="ISM807" s="3787"/>
      <c r="ISN807" s="3787"/>
      <c r="ISO807" s="3787"/>
      <c r="ISP807" s="3787"/>
      <c r="ISQ807" s="3787"/>
      <c r="ISR807" s="3787"/>
      <c r="ISS807" s="3787"/>
      <c r="IST807" s="3787"/>
      <c r="ISU807" s="3787"/>
      <c r="ISV807" s="3787"/>
      <c r="ISW807" s="3787"/>
      <c r="ISX807" s="3787"/>
      <c r="ISY807" s="3787"/>
      <c r="ISZ807" s="3787"/>
      <c r="ITA807" s="3787"/>
      <c r="ITB807" s="3787"/>
      <c r="ITC807" s="3787"/>
      <c r="ITD807" s="3787"/>
      <c r="ITE807" s="3787"/>
      <c r="ITF807" s="3787"/>
      <c r="ITG807" s="3787"/>
      <c r="ITH807" s="3787"/>
      <c r="ITI807" s="3787"/>
      <c r="ITJ807" s="3787"/>
      <c r="ITK807" s="3787"/>
      <c r="ITL807" s="3787"/>
      <c r="ITM807" s="3787"/>
      <c r="ITN807" s="3787"/>
      <c r="ITO807" s="3787"/>
      <c r="ITP807" s="3787"/>
      <c r="ITQ807" s="3787"/>
      <c r="ITR807" s="3787"/>
      <c r="ITS807" s="3787"/>
      <c r="ITT807" s="3787"/>
      <c r="ITU807" s="3787"/>
      <c r="ITV807" s="3787"/>
      <c r="ITW807" s="3787"/>
      <c r="ITX807" s="3787"/>
      <c r="ITY807" s="3787"/>
      <c r="ITZ807" s="3787"/>
      <c r="IUA807" s="3787"/>
      <c r="IUB807" s="3787"/>
      <c r="IUC807" s="3787"/>
      <c r="IUD807" s="3787"/>
      <c r="IUE807" s="3787"/>
      <c r="IUF807" s="3787"/>
      <c r="IUG807" s="3787"/>
      <c r="IUH807" s="3787"/>
      <c r="IUI807" s="3787"/>
      <c r="IUJ807" s="3787"/>
      <c r="IUK807" s="3787"/>
      <c r="IUL807" s="3787"/>
      <c r="IUM807" s="3787"/>
      <c r="IUN807" s="3787"/>
      <c r="IUO807" s="3787"/>
      <c r="IUP807" s="3787"/>
      <c r="IUQ807" s="3787"/>
      <c r="IUR807" s="3787"/>
      <c r="IUS807" s="3787"/>
      <c r="IUT807" s="3787"/>
      <c r="IUU807" s="3787"/>
      <c r="IUV807" s="3787"/>
      <c r="IUW807" s="3787"/>
      <c r="IUX807" s="3787"/>
      <c r="IUY807" s="3787"/>
      <c r="IUZ807" s="3787"/>
      <c r="IVA807" s="3787"/>
      <c r="IVF807" s="3787"/>
      <c r="IVL807" s="3787"/>
      <c r="IVM807" s="3787"/>
      <c r="IVN807" s="3787"/>
      <c r="IVR807" s="3787"/>
      <c r="IVY807" s="3787"/>
      <c r="IVZ807" s="3787"/>
      <c r="IWA807" s="3787"/>
      <c r="IWB807" s="3787"/>
      <c r="IWC807" s="3787"/>
      <c r="IWD807" s="3787"/>
      <c r="IWE807" s="3787"/>
      <c r="IWF807" s="3787"/>
      <c r="IWG807" s="3787"/>
      <c r="IWH807" s="3787"/>
      <c r="IWI807" s="3787"/>
      <c r="IWJ807" s="3787"/>
      <c r="IWK807" s="3787"/>
      <c r="IWL807" s="3787"/>
      <c r="IWM807" s="3787"/>
      <c r="IWN807" s="3787"/>
      <c r="IWO807" s="3787"/>
      <c r="IWP807" s="3787"/>
      <c r="IWQ807" s="3787"/>
      <c r="IWR807" s="3787"/>
      <c r="IWS807" s="3787"/>
      <c r="IWT807" s="3787"/>
      <c r="IWU807" s="3787"/>
      <c r="IWV807" s="3787"/>
      <c r="IWW807" s="3787"/>
      <c r="IWX807" s="3787"/>
      <c r="IWY807" s="3787"/>
      <c r="IWZ807" s="3787"/>
      <c r="IXA807" s="3787"/>
      <c r="IXB807" s="3787"/>
      <c r="IXC807" s="3787"/>
      <c r="IXD807" s="3787"/>
      <c r="IXE807" s="3787"/>
      <c r="IXF807" s="3787"/>
      <c r="IXG807" s="3787"/>
      <c r="IXH807" s="3787"/>
      <c r="IXI807" s="3787"/>
      <c r="IXJ807" s="3787"/>
      <c r="IXK807" s="3787"/>
      <c r="IXL807" s="3787"/>
      <c r="IXM807" s="3787"/>
      <c r="IXN807" s="3787"/>
      <c r="IXO807" s="3787"/>
      <c r="IXP807" s="3787"/>
      <c r="IXQ807" s="3787"/>
      <c r="IXR807" s="3787"/>
      <c r="IXS807" s="3787"/>
      <c r="IXT807" s="3787"/>
      <c r="IXU807" s="3787"/>
      <c r="IXV807" s="3787"/>
      <c r="IXW807" s="3787"/>
      <c r="IXX807" s="3787"/>
      <c r="IXY807" s="3787"/>
      <c r="IXZ807" s="3787"/>
      <c r="IYA807" s="3787"/>
      <c r="IYB807" s="3787"/>
      <c r="IYC807" s="3787"/>
      <c r="IYD807" s="3787"/>
      <c r="IYE807" s="3787"/>
      <c r="IYF807" s="3787"/>
      <c r="IYG807" s="3787"/>
      <c r="IYH807" s="3787"/>
      <c r="IYI807" s="3787"/>
      <c r="IYJ807" s="3787"/>
      <c r="IYK807" s="3787"/>
      <c r="IYL807" s="3787"/>
      <c r="IYM807" s="3787"/>
      <c r="IYN807" s="3787"/>
      <c r="IYO807" s="3787"/>
      <c r="IYP807" s="3787"/>
      <c r="IYQ807" s="3787"/>
      <c r="IYR807" s="3787"/>
      <c r="IYS807" s="3787"/>
      <c r="IYT807" s="3787"/>
      <c r="IYU807" s="3787"/>
      <c r="IYV807" s="3787"/>
      <c r="IYW807" s="3787"/>
      <c r="IYX807" s="3787"/>
      <c r="IYY807" s="3787"/>
      <c r="IYZ807" s="3787"/>
      <c r="IZA807" s="3787"/>
      <c r="IZB807" s="3787"/>
      <c r="IZC807" s="3787"/>
      <c r="IZD807" s="3787"/>
      <c r="IZE807" s="3787"/>
      <c r="IZF807" s="3787"/>
      <c r="IZG807" s="3787"/>
      <c r="IZH807" s="3787"/>
      <c r="IZI807" s="3787"/>
      <c r="IZJ807" s="3787"/>
      <c r="IZK807" s="3787"/>
      <c r="IZL807" s="3787"/>
      <c r="IZM807" s="3787"/>
      <c r="IZN807" s="3787"/>
      <c r="IZO807" s="3787"/>
      <c r="IZP807" s="3787"/>
      <c r="IZQ807" s="3787"/>
      <c r="IZR807" s="3787"/>
      <c r="IZS807" s="3787"/>
      <c r="IZT807" s="3787"/>
      <c r="IZU807" s="3787"/>
      <c r="IZV807" s="3787"/>
      <c r="IZW807" s="3787"/>
      <c r="IZX807" s="3787"/>
      <c r="IZY807" s="3787"/>
      <c r="IZZ807" s="3787"/>
      <c r="JAA807" s="3787"/>
      <c r="JAB807" s="3787"/>
      <c r="JAC807" s="3787"/>
      <c r="JAD807" s="3787"/>
      <c r="JAE807" s="3787"/>
      <c r="JAF807" s="3787"/>
      <c r="JAG807" s="3787"/>
      <c r="JAH807" s="3787"/>
      <c r="JAI807" s="3787"/>
      <c r="JAJ807" s="3787"/>
      <c r="JAK807" s="3787"/>
      <c r="JAL807" s="3787"/>
      <c r="JAM807" s="3787"/>
      <c r="JAN807" s="3787"/>
      <c r="JAO807" s="3787"/>
      <c r="JAP807" s="3787"/>
      <c r="JAQ807" s="3787"/>
      <c r="JAR807" s="3787"/>
      <c r="JAS807" s="3787"/>
      <c r="JAT807" s="3787"/>
      <c r="JAU807" s="3787"/>
      <c r="JAV807" s="3787"/>
      <c r="JAW807" s="3787"/>
      <c r="JAX807" s="3787"/>
      <c r="JAY807" s="3787"/>
      <c r="JAZ807" s="3787"/>
      <c r="JBA807" s="3787"/>
      <c r="JBB807" s="3787"/>
      <c r="JBC807" s="3787"/>
      <c r="JBD807" s="3787"/>
      <c r="JBE807" s="3787"/>
      <c r="JBF807" s="3787"/>
      <c r="JBG807" s="3787"/>
      <c r="JBH807" s="3787"/>
      <c r="JBI807" s="3787"/>
      <c r="JBJ807" s="3787"/>
      <c r="JBK807" s="3787"/>
      <c r="JBL807" s="3787"/>
      <c r="JBM807" s="3787"/>
      <c r="JBN807" s="3787"/>
      <c r="JBO807" s="3787"/>
      <c r="JBP807" s="3787"/>
      <c r="JBQ807" s="3787"/>
      <c r="JBR807" s="3787"/>
      <c r="JBS807" s="3787"/>
      <c r="JBT807" s="3787"/>
      <c r="JBU807" s="3787"/>
      <c r="JBV807" s="3787"/>
      <c r="JBW807" s="3787"/>
      <c r="JBX807" s="3787"/>
      <c r="JBY807" s="3787"/>
      <c r="JBZ807" s="3787"/>
      <c r="JCA807" s="3787"/>
      <c r="JCB807" s="3787"/>
      <c r="JCC807" s="3787"/>
      <c r="JCD807" s="3787"/>
      <c r="JCE807" s="3787"/>
      <c r="JCF807" s="3787"/>
      <c r="JCG807" s="3787"/>
      <c r="JCH807" s="3787"/>
      <c r="JCI807" s="3787"/>
      <c r="JCJ807" s="3787"/>
      <c r="JCK807" s="3787"/>
      <c r="JCL807" s="3787"/>
      <c r="JCM807" s="3787"/>
      <c r="JCN807" s="3787"/>
      <c r="JCO807" s="3787"/>
      <c r="JCP807" s="3787"/>
      <c r="JCQ807" s="3787"/>
      <c r="JCR807" s="3787"/>
      <c r="JCS807" s="3787"/>
      <c r="JCT807" s="3787"/>
      <c r="JCU807" s="3787"/>
      <c r="JCV807" s="3787"/>
      <c r="JCW807" s="3787"/>
      <c r="JCX807" s="3787"/>
      <c r="JCY807" s="3787"/>
      <c r="JCZ807" s="3787"/>
      <c r="JDA807" s="3787"/>
      <c r="JDB807" s="3787"/>
      <c r="JDC807" s="3787"/>
      <c r="JDD807" s="3787"/>
      <c r="JDE807" s="3787"/>
      <c r="JDF807" s="3787"/>
      <c r="JDG807" s="3787"/>
      <c r="JDH807" s="3787"/>
      <c r="JDI807" s="3787"/>
      <c r="JDJ807" s="3787"/>
      <c r="JDK807" s="3787"/>
      <c r="JDL807" s="3787"/>
      <c r="JDM807" s="3787"/>
      <c r="JDN807" s="3787"/>
      <c r="JDO807" s="3787"/>
      <c r="JDP807" s="3787"/>
      <c r="JDQ807" s="3787"/>
      <c r="JDR807" s="3787"/>
      <c r="JDS807" s="3787"/>
      <c r="JDT807" s="3787"/>
      <c r="JDU807" s="3787"/>
      <c r="JDV807" s="3787"/>
      <c r="JDW807" s="3787"/>
      <c r="JDX807" s="3787"/>
      <c r="JDY807" s="3787"/>
      <c r="JDZ807" s="3787"/>
      <c r="JEA807" s="3787"/>
      <c r="JEB807" s="3787"/>
      <c r="JEC807" s="3787"/>
      <c r="JED807" s="3787"/>
      <c r="JEE807" s="3787"/>
      <c r="JEF807" s="3787"/>
      <c r="JEG807" s="3787"/>
      <c r="JEH807" s="3787"/>
      <c r="JEI807" s="3787"/>
      <c r="JEJ807" s="3787"/>
      <c r="JEK807" s="3787"/>
      <c r="JEL807" s="3787"/>
      <c r="JEM807" s="3787"/>
      <c r="JEN807" s="3787"/>
      <c r="JEO807" s="3787"/>
      <c r="JEP807" s="3787"/>
      <c r="JEQ807" s="3787"/>
      <c r="JER807" s="3787"/>
      <c r="JES807" s="3787"/>
      <c r="JET807" s="3787"/>
      <c r="JEU807" s="3787"/>
      <c r="JEV807" s="3787"/>
      <c r="JEW807" s="3787"/>
      <c r="JFB807" s="3787"/>
      <c r="JFH807" s="3787"/>
      <c r="JFI807" s="3787"/>
      <c r="JFJ807" s="3787"/>
      <c r="JFN807" s="3787"/>
      <c r="JFU807" s="3787"/>
      <c r="JFV807" s="3787"/>
      <c r="JFW807" s="3787"/>
      <c r="JFX807" s="3787"/>
      <c r="JFY807" s="3787"/>
      <c r="JFZ807" s="3787"/>
      <c r="JGA807" s="3787"/>
      <c r="JGB807" s="3787"/>
      <c r="JGC807" s="3787"/>
      <c r="JGD807" s="3787"/>
      <c r="JGE807" s="3787"/>
      <c r="JGF807" s="3787"/>
      <c r="JGG807" s="3787"/>
      <c r="JGH807" s="3787"/>
      <c r="JGI807" s="3787"/>
      <c r="JGJ807" s="3787"/>
      <c r="JGK807" s="3787"/>
      <c r="JGL807" s="3787"/>
      <c r="JGM807" s="3787"/>
      <c r="JGN807" s="3787"/>
      <c r="JGO807" s="3787"/>
      <c r="JGP807" s="3787"/>
      <c r="JGQ807" s="3787"/>
      <c r="JGR807" s="3787"/>
      <c r="JGS807" s="3787"/>
      <c r="JGT807" s="3787"/>
      <c r="JGU807" s="3787"/>
      <c r="JGV807" s="3787"/>
      <c r="JGW807" s="3787"/>
      <c r="JGX807" s="3787"/>
      <c r="JGY807" s="3787"/>
      <c r="JGZ807" s="3787"/>
      <c r="JHA807" s="3787"/>
      <c r="JHB807" s="3787"/>
      <c r="JHC807" s="3787"/>
      <c r="JHD807" s="3787"/>
      <c r="JHE807" s="3787"/>
      <c r="JHF807" s="3787"/>
      <c r="JHG807" s="3787"/>
      <c r="JHH807" s="3787"/>
      <c r="JHI807" s="3787"/>
      <c r="JHJ807" s="3787"/>
      <c r="JHK807" s="3787"/>
      <c r="JHL807" s="3787"/>
      <c r="JHM807" s="3787"/>
      <c r="JHN807" s="3787"/>
      <c r="JHO807" s="3787"/>
      <c r="JHP807" s="3787"/>
      <c r="JHQ807" s="3787"/>
      <c r="JHR807" s="3787"/>
      <c r="JHS807" s="3787"/>
      <c r="JHT807" s="3787"/>
      <c r="JHU807" s="3787"/>
      <c r="JHV807" s="3787"/>
      <c r="JHW807" s="3787"/>
      <c r="JHX807" s="3787"/>
      <c r="JHY807" s="3787"/>
      <c r="JHZ807" s="3787"/>
      <c r="JIA807" s="3787"/>
      <c r="JIB807" s="3787"/>
      <c r="JIC807" s="3787"/>
      <c r="JID807" s="3787"/>
      <c r="JIE807" s="3787"/>
      <c r="JIF807" s="3787"/>
      <c r="JIG807" s="3787"/>
      <c r="JIH807" s="3787"/>
      <c r="JII807" s="3787"/>
      <c r="JIJ807" s="3787"/>
      <c r="JIK807" s="3787"/>
      <c r="JIL807" s="3787"/>
      <c r="JIM807" s="3787"/>
      <c r="JIN807" s="3787"/>
      <c r="JIO807" s="3787"/>
      <c r="JIP807" s="3787"/>
      <c r="JIQ807" s="3787"/>
      <c r="JIR807" s="3787"/>
      <c r="JIS807" s="3787"/>
      <c r="JIT807" s="3787"/>
      <c r="JIU807" s="3787"/>
      <c r="JIV807" s="3787"/>
      <c r="JIW807" s="3787"/>
      <c r="JIX807" s="3787"/>
      <c r="JIY807" s="3787"/>
      <c r="JIZ807" s="3787"/>
      <c r="JJA807" s="3787"/>
      <c r="JJB807" s="3787"/>
      <c r="JJC807" s="3787"/>
      <c r="JJD807" s="3787"/>
      <c r="JJE807" s="3787"/>
      <c r="JJF807" s="3787"/>
      <c r="JJG807" s="3787"/>
      <c r="JJH807" s="3787"/>
      <c r="JJI807" s="3787"/>
      <c r="JJJ807" s="3787"/>
      <c r="JJK807" s="3787"/>
      <c r="JJL807" s="3787"/>
      <c r="JJM807" s="3787"/>
      <c r="JJN807" s="3787"/>
      <c r="JJO807" s="3787"/>
      <c r="JJP807" s="3787"/>
      <c r="JJQ807" s="3787"/>
      <c r="JJR807" s="3787"/>
      <c r="JJS807" s="3787"/>
      <c r="JJT807" s="3787"/>
      <c r="JJU807" s="3787"/>
      <c r="JJV807" s="3787"/>
      <c r="JJW807" s="3787"/>
      <c r="JJX807" s="3787"/>
      <c r="JJY807" s="3787"/>
      <c r="JJZ807" s="3787"/>
      <c r="JKA807" s="3787"/>
      <c r="JKB807" s="3787"/>
      <c r="JKC807" s="3787"/>
      <c r="JKD807" s="3787"/>
      <c r="JKE807" s="3787"/>
      <c r="JKF807" s="3787"/>
      <c r="JKG807" s="3787"/>
      <c r="JKH807" s="3787"/>
      <c r="JKI807" s="3787"/>
      <c r="JKJ807" s="3787"/>
      <c r="JKK807" s="3787"/>
      <c r="JKL807" s="3787"/>
      <c r="JKM807" s="3787"/>
      <c r="JKN807" s="3787"/>
      <c r="JKO807" s="3787"/>
      <c r="JKP807" s="3787"/>
      <c r="JKQ807" s="3787"/>
      <c r="JKR807" s="3787"/>
      <c r="JKS807" s="3787"/>
      <c r="JKT807" s="3787"/>
      <c r="JKU807" s="3787"/>
      <c r="JKV807" s="3787"/>
      <c r="JKW807" s="3787"/>
      <c r="JKX807" s="3787"/>
      <c r="JKY807" s="3787"/>
      <c r="JKZ807" s="3787"/>
      <c r="JLA807" s="3787"/>
      <c r="JLB807" s="3787"/>
      <c r="JLC807" s="3787"/>
      <c r="JLD807" s="3787"/>
      <c r="JLE807" s="3787"/>
      <c r="JLF807" s="3787"/>
      <c r="JLG807" s="3787"/>
      <c r="JLH807" s="3787"/>
      <c r="JLI807" s="3787"/>
      <c r="JLJ807" s="3787"/>
      <c r="JLK807" s="3787"/>
      <c r="JLL807" s="3787"/>
      <c r="JLM807" s="3787"/>
      <c r="JLN807" s="3787"/>
      <c r="JLO807" s="3787"/>
      <c r="JLP807" s="3787"/>
      <c r="JLQ807" s="3787"/>
      <c r="JLR807" s="3787"/>
      <c r="JLS807" s="3787"/>
      <c r="JLT807" s="3787"/>
      <c r="JLU807" s="3787"/>
      <c r="JLV807" s="3787"/>
      <c r="JLW807" s="3787"/>
      <c r="JLX807" s="3787"/>
      <c r="JLY807" s="3787"/>
      <c r="JLZ807" s="3787"/>
      <c r="JMA807" s="3787"/>
      <c r="JMB807" s="3787"/>
      <c r="JMC807" s="3787"/>
      <c r="JMD807" s="3787"/>
      <c r="JME807" s="3787"/>
      <c r="JMF807" s="3787"/>
      <c r="JMG807" s="3787"/>
      <c r="JMH807" s="3787"/>
      <c r="JMI807" s="3787"/>
      <c r="JMJ807" s="3787"/>
      <c r="JMK807" s="3787"/>
      <c r="JML807" s="3787"/>
      <c r="JMM807" s="3787"/>
      <c r="JMN807" s="3787"/>
      <c r="JMO807" s="3787"/>
      <c r="JMP807" s="3787"/>
      <c r="JMQ807" s="3787"/>
      <c r="JMR807" s="3787"/>
      <c r="JMS807" s="3787"/>
      <c r="JMT807" s="3787"/>
      <c r="JMU807" s="3787"/>
      <c r="JMV807" s="3787"/>
      <c r="JMW807" s="3787"/>
      <c r="JMX807" s="3787"/>
      <c r="JMY807" s="3787"/>
      <c r="JMZ807" s="3787"/>
      <c r="JNA807" s="3787"/>
      <c r="JNB807" s="3787"/>
      <c r="JNC807" s="3787"/>
      <c r="JND807" s="3787"/>
      <c r="JNE807" s="3787"/>
      <c r="JNF807" s="3787"/>
      <c r="JNG807" s="3787"/>
      <c r="JNH807" s="3787"/>
      <c r="JNI807" s="3787"/>
      <c r="JNJ807" s="3787"/>
      <c r="JNK807" s="3787"/>
      <c r="JNL807" s="3787"/>
      <c r="JNM807" s="3787"/>
      <c r="JNN807" s="3787"/>
      <c r="JNO807" s="3787"/>
      <c r="JNP807" s="3787"/>
      <c r="JNQ807" s="3787"/>
      <c r="JNR807" s="3787"/>
      <c r="JNS807" s="3787"/>
      <c r="JNT807" s="3787"/>
      <c r="JNU807" s="3787"/>
      <c r="JNV807" s="3787"/>
      <c r="JNW807" s="3787"/>
      <c r="JNX807" s="3787"/>
      <c r="JNY807" s="3787"/>
      <c r="JNZ807" s="3787"/>
      <c r="JOA807" s="3787"/>
      <c r="JOB807" s="3787"/>
      <c r="JOC807" s="3787"/>
      <c r="JOD807" s="3787"/>
      <c r="JOE807" s="3787"/>
      <c r="JOF807" s="3787"/>
      <c r="JOG807" s="3787"/>
      <c r="JOH807" s="3787"/>
      <c r="JOI807" s="3787"/>
      <c r="JOJ807" s="3787"/>
      <c r="JOK807" s="3787"/>
      <c r="JOL807" s="3787"/>
      <c r="JOM807" s="3787"/>
      <c r="JON807" s="3787"/>
      <c r="JOO807" s="3787"/>
      <c r="JOP807" s="3787"/>
      <c r="JOQ807" s="3787"/>
      <c r="JOR807" s="3787"/>
      <c r="JOS807" s="3787"/>
      <c r="JOX807" s="3787"/>
      <c r="JPD807" s="3787"/>
      <c r="JPE807" s="3787"/>
      <c r="JPF807" s="3787"/>
      <c r="JPJ807" s="3787"/>
      <c r="JPQ807" s="3787"/>
      <c r="JPR807" s="3787"/>
      <c r="JPS807" s="3787"/>
      <c r="JPT807" s="3787"/>
      <c r="JPU807" s="3787"/>
      <c r="JPV807" s="3787"/>
      <c r="JPW807" s="3787"/>
      <c r="JPX807" s="3787"/>
      <c r="JPY807" s="3787"/>
      <c r="JPZ807" s="3787"/>
      <c r="JQA807" s="3787"/>
      <c r="JQB807" s="3787"/>
      <c r="JQC807" s="3787"/>
      <c r="JQD807" s="3787"/>
      <c r="JQE807" s="3787"/>
      <c r="JQF807" s="3787"/>
      <c r="JQG807" s="3787"/>
      <c r="JQH807" s="3787"/>
      <c r="JQI807" s="3787"/>
      <c r="JQJ807" s="3787"/>
      <c r="JQK807" s="3787"/>
      <c r="JQL807" s="3787"/>
      <c r="JQM807" s="3787"/>
      <c r="JQN807" s="3787"/>
      <c r="JQO807" s="3787"/>
      <c r="JQP807" s="3787"/>
      <c r="JQQ807" s="3787"/>
      <c r="JQR807" s="3787"/>
      <c r="JQS807" s="3787"/>
      <c r="JQT807" s="3787"/>
      <c r="JQU807" s="3787"/>
      <c r="JQV807" s="3787"/>
      <c r="JQW807" s="3787"/>
      <c r="JQX807" s="3787"/>
      <c r="JQY807" s="3787"/>
      <c r="JQZ807" s="3787"/>
      <c r="JRA807" s="3787"/>
      <c r="JRB807" s="3787"/>
      <c r="JRC807" s="3787"/>
      <c r="JRD807" s="3787"/>
      <c r="JRE807" s="3787"/>
      <c r="JRF807" s="3787"/>
      <c r="JRG807" s="3787"/>
      <c r="JRH807" s="3787"/>
      <c r="JRI807" s="3787"/>
      <c r="JRJ807" s="3787"/>
      <c r="JRK807" s="3787"/>
      <c r="JRL807" s="3787"/>
      <c r="JRM807" s="3787"/>
      <c r="JRN807" s="3787"/>
      <c r="JRO807" s="3787"/>
      <c r="JRP807" s="3787"/>
      <c r="JRQ807" s="3787"/>
      <c r="JRR807" s="3787"/>
      <c r="JRS807" s="3787"/>
      <c r="JRT807" s="3787"/>
      <c r="JRU807" s="3787"/>
      <c r="JRV807" s="3787"/>
      <c r="JRW807" s="3787"/>
      <c r="JRX807" s="3787"/>
      <c r="JRY807" s="3787"/>
      <c r="JRZ807" s="3787"/>
      <c r="JSA807" s="3787"/>
      <c r="JSB807" s="3787"/>
      <c r="JSC807" s="3787"/>
      <c r="JSD807" s="3787"/>
      <c r="JSE807" s="3787"/>
      <c r="JSF807" s="3787"/>
      <c r="JSG807" s="3787"/>
      <c r="JSH807" s="3787"/>
      <c r="JSI807" s="3787"/>
      <c r="JSJ807" s="3787"/>
      <c r="JSK807" s="3787"/>
      <c r="JSL807" s="3787"/>
      <c r="JSM807" s="3787"/>
      <c r="JSN807" s="3787"/>
      <c r="JSO807" s="3787"/>
      <c r="JSP807" s="3787"/>
      <c r="JSQ807" s="3787"/>
      <c r="JSR807" s="3787"/>
      <c r="JSS807" s="3787"/>
      <c r="JST807" s="3787"/>
      <c r="JSU807" s="3787"/>
      <c r="JSV807" s="3787"/>
      <c r="JSW807" s="3787"/>
      <c r="JSX807" s="3787"/>
      <c r="JSY807" s="3787"/>
      <c r="JSZ807" s="3787"/>
      <c r="JTA807" s="3787"/>
      <c r="JTB807" s="3787"/>
      <c r="JTC807" s="3787"/>
      <c r="JTD807" s="3787"/>
      <c r="JTE807" s="3787"/>
      <c r="JTF807" s="3787"/>
      <c r="JTG807" s="3787"/>
      <c r="JTH807" s="3787"/>
      <c r="JTI807" s="3787"/>
      <c r="JTJ807" s="3787"/>
      <c r="JTK807" s="3787"/>
      <c r="JTL807" s="3787"/>
      <c r="JTM807" s="3787"/>
      <c r="JTN807" s="3787"/>
      <c r="JTO807" s="3787"/>
      <c r="JTP807" s="3787"/>
      <c r="JTQ807" s="3787"/>
      <c r="JTR807" s="3787"/>
      <c r="JTS807" s="3787"/>
      <c r="JTT807" s="3787"/>
      <c r="JTU807" s="3787"/>
      <c r="JTV807" s="3787"/>
      <c r="JTW807" s="3787"/>
      <c r="JTX807" s="3787"/>
      <c r="JTY807" s="3787"/>
      <c r="JTZ807" s="3787"/>
      <c r="JUA807" s="3787"/>
      <c r="JUB807" s="3787"/>
      <c r="JUC807" s="3787"/>
      <c r="JUD807" s="3787"/>
      <c r="JUE807" s="3787"/>
      <c r="JUF807" s="3787"/>
      <c r="JUG807" s="3787"/>
      <c r="JUH807" s="3787"/>
      <c r="JUI807" s="3787"/>
      <c r="JUJ807" s="3787"/>
      <c r="JUK807" s="3787"/>
      <c r="JUL807" s="3787"/>
      <c r="JUM807" s="3787"/>
      <c r="JUN807" s="3787"/>
      <c r="JUO807" s="3787"/>
      <c r="JUP807" s="3787"/>
      <c r="JUQ807" s="3787"/>
      <c r="JUR807" s="3787"/>
      <c r="JUS807" s="3787"/>
      <c r="JUT807" s="3787"/>
      <c r="JUU807" s="3787"/>
      <c r="JUV807" s="3787"/>
      <c r="JUW807" s="3787"/>
      <c r="JUX807" s="3787"/>
      <c r="JUY807" s="3787"/>
      <c r="JUZ807" s="3787"/>
      <c r="JVA807" s="3787"/>
      <c r="JVB807" s="3787"/>
      <c r="JVC807" s="3787"/>
      <c r="JVD807" s="3787"/>
      <c r="JVE807" s="3787"/>
      <c r="JVF807" s="3787"/>
      <c r="JVG807" s="3787"/>
      <c r="JVH807" s="3787"/>
      <c r="JVI807" s="3787"/>
      <c r="JVJ807" s="3787"/>
      <c r="JVK807" s="3787"/>
      <c r="JVL807" s="3787"/>
      <c r="JVM807" s="3787"/>
      <c r="JVN807" s="3787"/>
      <c r="JVO807" s="3787"/>
      <c r="JVP807" s="3787"/>
      <c r="JVQ807" s="3787"/>
      <c r="JVR807" s="3787"/>
      <c r="JVS807" s="3787"/>
      <c r="JVT807" s="3787"/>
      <c r="JVU807" s="3787"/>
      <c r="JVV807" s="3787"/>
      <c r="JVW807" s="3787"/>
      <c r="JVX807" s="3787"/>
      <c r="JVY807" s="3787"/>
      <c r="JVZ807" s="3787"/>
      <c r="JWA807" s="3787"/>
      <c r="JWB807" s="3787"/>
      <c r="JWC807" s="3787"/>
      <c r="JWD807" s="3787"/>
      <c r="JWE807" s="3787"/>
      <c r="JWF807" s="3787"/>
      <c r="JWG807" s="3787"/>
      <c r="JWH807" s="3787"/>
      <c r="JWI807" s="3787"/>
      <c r="JWJ807" s="3787"/>
      <c r="JWK807" s="3787"/>
      <c r="JWL807" s="3787"/>
      <c r="JWM807" s="3787"/>
      <c r="JWN807" s="3787"/>
      <c r="JWO807" s="3787"/>
      <c r="JWP807" s="3787"/>
      <c r="JWQ807" s="3787"/>
      <c r="JWR807" s="3787"/>
      <c r="JWS807" s="3787"/>
      <c r="JWT807" s="3787"/>
      <c r="JWU807" s="3787"/>
      <c r="JWV807" s="3787"/>
      <c r="JWW807" s="3787"/>
      <c r="JWX807" s="3787"/>
      <c r="JWY807" s="3787"/>
      <c r="JWZ807" s="3787"/>
      <c r="JXA807" s="3787"/>
      <c r="JXB807" s="3787"/>
      <c r="JXC807" s="3787"/>
      <c r="JXD807" s="3787"/>
      <c r="JXE807" s="3787"/>
      <c r="JXF807" s="3787"/>
      <c r="JXG807" s="3787"/>
      <c r="JXH807" s="3787"/>
      <c r="JXI807" s="3787"/>
      <c r="JXJ807" s="3787"/>
      <c r="JXK807" s="3787"/>
      <c r="JXL807" s="3787"/>
      <c r="JXM807" s="3787"/>
      <c r="JXN807" s="3787"/>
      <c r="JXO807" s="3787"/>
      <c r="JXP807" s="3787"/>
      <c r="JXQ807" s="3787"/>
      <c r="JXR807" s="3787"/>
      <c r="JXS807" s="3787"/>
      <c r="JXT807" s="3787"/>
      <c r="JXU807" s="3787"/>
      <c r="JXV807" s="3787"/>
      <c r="JXW807" s="3787"/>
      <c r="JXX807" s="3787"/>
      <c r="JXY807" s="3787"/>
      <c r="JXZ807" s="3787"/>
      <c r="JYA807" s="3787"/>
      <c r="JYB807" s="3787"/>
      <c r="JYC807" s="3787"/>
      <c r="JYD807" s="3787"/>
      <c r="JYE807" s="3787"/>
      <c r="JYF807" s="3787"/>
      <c r="JYG807" s="3787"/>
      <c r="JYH807" s="3787"/>
      <c r="JYI807" s="3787"/>
      <c r="JYJ807" s="3787"/>
      <c r="JYK807" s="3787"/>
      <c r="JYL807" s="3787"/>
      <c r="JYM807" s="3787"/>
      <c r="JYN807" s="3787"/>
      <c r="JYO807" s="3787"/>
      <c r="JYT807" s="3787"/>
      <c r="JYZ807" s="3787"/>
      <c r="JZA807" s="3787"/>
      <c r="JZB807" s="3787"/>
      <c r="JZF807" s="3787"/>
      <c r="JZM807" s="3787"/>
      <c r="JZN807" s="3787"/>
      <c r="JZO807" s="3787"/>
      <c r="JZP807" s="3787"/>
      <c r="JZQ807" s="3787"/>
      <c r="JZR807" s="3787"/>
      <c r="JZS807" s="3787"/>
      <c r="JZT807" s="3787"/>
      <c r="JZU807" s="3787"/>
      <c r="JZV807" s="3787"/>
      <c r="JZW807" s="3787"/>
      <c r="JZX807" s="3787"/>
      <c r="JZY807" s="3787"/>
      <c r="JZZ807" s="3787"/>
      <c r="KAA807" s="3787"/>
      <c r="KAB807" s="3787"/>
      <c r="KAC807" s="3787"/>
      <c r="KAD807" s="3787"/>
      <c r="KAE807" s="3787"/>
      <c r="KAF807" s="3787"/>
      <c r="KAG807" s="3787"/>
      <c r="KAH807" s="3787"/>
      <c r="KAI807" s="3787"/>
      <c r="KAJ807" s="3787"/>
      <c r="KAK807" s="3787"/>
      <c r="KAL807" s="3787"/>
      <c r="KAM807" s="3787"/>
      <c r="KAN807" s="3787"/>
      <c r="KAO807" s="3787"/>
      <c r="KAP807" s="3787"/>
      <c r="KAQ807" s="3787"/>
      <c r="KAR807" s="3787"/>
      <c r="KAS807" s="3787"/>
      <c r="KAT807" s="3787"/>
      <c r="KAU807" s="3787"/>
      <c r="KAV807" s="3787"/>
      <c r="KAW807" s="3787"/>
      <c r="KAX807" s="3787"/>
      <c r="KAY807" s="3787"/>
      <c r="KAZ807" s="3787"/>
      <c r="KBA807" s="3787"/>
      <c r="KBB807" s="3787"/>
      <c r="KBC807" s="3787"/>
      <c r="KBD807" s="3787"/>
      <c r="KBE807" s="3787"/>
      <c r="KBF807" s="3787"/>
      <c r="KBG807" s="3787"/>
      <c r="KBH807" s="3787"/>
      <c r="KBI807" s="3787"/>
      <c r="KBJ807" s="3787"/>
      <c r="KBK807" s="3787"/>
      <c r="KBL807" s="3787"/>
      <c r="KBM807" s="3787"/>
      <c r="KBN807" s="3787"/>
      <c r="KBO807" s="3787"/>
      <c r="KBP807" s="3787"/>
      <c r="KBQ807" s="3787"/>
      <c r="KBR807" s="3787"/>
      <c r="KBS807" s="3787"/>
      <c r="KBT807" s="3787"/>
      <c r="KBU807" s="3787"/>
      <c r="KBV807" s="3787"/>
      <c r="KBW807" s="3787"/>
      <c r="KBX807" s="3787"/>
      <c r="KBY807" s="3787"/>
      <c r="KBZ807" s="3787"/>
      <c r="KCA807" s="3787"/>
      <c r="KCB807" s="3787"/>
      <c r="KCC807" s="3787"/>
      <c r="KCD807" s="3787"/>
      <c r="KCE807" s="3787"/>
      <c r="KCF807" s="3787"/>
      <c r="KCG807" s="3787"/>
      <c r="KCH807" s="3787"/>
      <c r="KCI807" s="3787"/>
      <c r="KCJ807" s="3787"/>
      <c r="KCK807" s="3787"/>
      <c r="KCL807" s="3787"/>
      <c r="KCM807" s="3787"/>
      <c r="KCN807" s="3787"/>
      <c r="KCO807" s="3787"/>
      <c r="KCP807" s="3787"/>
      <c r="KCQ807" s="3787"/>
      <c r="KCR807" s="3787"/>
      <c r="KCS807" s="3787"/>
      <c r="KCT807" s="3787"/>
      <c r="KCU807" s="3787"/>
      <c r="KCV807" s="3787"/>
      <c r="KCW807" s="3787"/>
      <c r="KCX807" s="3787"/>
      <c r="KCY807" s="3787"/>
      <c r="KCZ807" s="3787"/>
      <c r="KDA807" s="3787"/>
      <c r="KDB807" s="3787"/>
      <c r="KDC807" s="3787"/>
      <c r="KDD807" s="3787"/>
      <c r="KDE807" s="3787"/>
      <c r="KDF807" s="3787"/>
      <c r="KDG807" s="3787"/>
      <c r="KDH807" s="3787"/>
      <c r="KDI807" s="3787"/>
      <c r="KDJ807" s="3787"/>
      <c r="KDK807" s="3787"/>
      <c r="KDL807" s="3787"/>
      <c r="KDM807" s="3787"/>
      <c r="KDN807" s="3787"/>
      <c r="KDO807" s="3787"/>
      <c r="KDP807" s="3787"/>
      <c r="KDQ807" s="3787"/>
      <c r="KDR807" s="3787"/>
      <c r="KDS807" s="3787"/>
      <c r="KDT807" s="3787"/>
      <c r="KDU807" s="3787"/>
      <c r="KDV807" s="3787"/>
      <c r="KDW807" s="3787"/>
      <c r="KDX807" s="3787"/>
      <c r="KDY807" s="3787"/>
      <c r="KDZ807" s="3787"/>
      <c r="KEA807" s="3787"/>
      <c r="KEB807" s="3787"/>
      <c r="KEC807" s="3787"/>
      <c r="KED807" s="3787"/>
      <c r="KEE807" s="3787"/>
      <c r="KEF807" s="3787"/>
      <c r="KEG807" s="3787"/>
      <c r="KEH807" s="3787"/>
      <c r="KEI807" s="3787"/>
      <c r="KEJ807" s="3787"/>
      <c r="KEK807" s="3787"/>
      <c r="KEL807" s="3787"/>
      <c r="KEM807" s="3787"/>
      <c r="KEN807" s="3787"/>
      <c r="KEO807" s="3787"/>
      <c r="KEP807" s="3787"/>
      <c r="KEQ807" s="3787"/>
      <c r="KER807" s="3787"/>
      <c r="KES807" s="3787"/>
      <c r="KET807" s="3787"/>
      <c r="KEU807" s="3787"/>
      <c r="KEV807" s="3787"/>
      <c r="KEW807" s="3787"/>
      <c r="KEX807" s="3787"/>
      <c r="KEY807" s="3787"/>
      <c r="KEZ807" s="3787"/>
      <c r="KFA807" s="3787"/>
      <c r="KFB807" s="3787"/>
      <c r="KFC807" s="3787"/>
      <c r="KFD807" s="3787"/>
      <c r="KFE807" s="3787"/>
      <c r="KFF807" s="3787"/>
      <c r="KFG807" s="3787"/>
      <c r="KFH807" s="3787"/>
      <c r="KFI807" s="3787"/>
      <c r="KFJ807" s="3787"/>
      <c r="KFK807" s="3787"/>
      <c r="KFL807" s="3787"/>
      <c r="KFM807" s="3787"/>
      <c r="KFN807" s="3787"/>
      <c r="KFO807" s="3787"/>
      <c r="KFP807" s="3787"/>
      <c r="KFQ807" s="3787"/>
      <c r="KFR807" s="3787"/>
      <c r="KFS807" s="3787"/>
      <c r="KFT807" s="3787"/>
      <c r="KFU807" s="3787"/>
      <c r="KFV807" s="3787"/>
      <c r="KFW807" s="3787"/>
      <c r="KFX807" s="3787"/>
      <c r="KFY807" s="3787"/>
      <c r="KFZ807" s="3787"/>
      <c r="KGA807" s="3787"/>
      <c r="KGB807" s="3787"/>
      <c r="KGC807" s="3787"/>
      <c r="KGD807" s="3787"/>
      <c r="KGE807" s="3787"/>
      <c r="KGF807" s="3787"/>
      <c r="KGG807" s="3787"/>
      <c r="KGH807" s="3787"/>
      <c r="KGI807" s="3787"/>
      <c r="KGJ807" s="3787"/>
      <c r="KGK807" s="3787"/>
      <c r="KGL807" s="3787"/>
      <c r="KGM807" s="3787"/>
      <c r="KGN807" s="3787"/>
      <c r="KGO807" s="3787"/>
      <c r="KGP807" s="3787"/>
      <c r="KGQ807" s="3787"/>
      <c r="KGR807" s="3787"/>
      <c r="KGS807" s="3787"/>
      <c r="KGT807" s="3787"/>
      <c r="KGU807" s="3787"/>
      <c r="KGV807" s="3787"/>
      <c r="KGW807" s="3787"/>
      <c r="KGX807" s="3787"/>
      <c r="KGY807" s="3787"/>
      <c r="KGZ807" s="3787"/>
      <c r="KHA807" s="3787"/>
      <c r="KHB807" s="3787"/>
      <c r="KHC807" s="3787"/>
      <c r="KHD807" s="3787"/>
      <c r="KHE807" s="3787"/>
      <c r="KHF807" s="3787"/>
      <c r="KHG807" s="3787"/>
      <c r="KHH807" s="3787"/>
      <c r="KHI807" s="3787"/>
      <c r="KHJ807" s="3787"/>
      <c r="KHK807" s="3787"/>
      <c r="KHL807" s="3787"/>
      <c r="KHM807" s="3787"/>
      <c r="KHN807" s="3787"/>
      <c r="KHO807" s="3787"/>
      <c r="KHP807" s="3787"/>
      <c r="KHQ807" s="3787"/>
      <c r="KHR807" s="3787"/>
      <c r="KHS807" s="3787"/>
      <c r="KHT807" s="3787"/>
      <c r="KHU807" s="3787"/>
      <c r="KHV807" s="3787"/>
      <c r="KHW807" s="3787"/>
      <c r="KHX807" s="3787"/>
      <c r="KHY807" s="3787"/>
      <c r="KHZ807" s="3787"/>
      <c r="KIA807" s="3787"/>
      <c r="KIB807" s="3787"/>
      <c r="KIC807" s="3787"/>
      <c r="KID807" s="3787"/>
      <c r="KIE807" s="3787"/>
      <c r="KIF807" s="3787"/>
      <c r="KIG807" s="3787"/>
      <c r="KIH807" s="3787"/>
      <c r="KII807" s="3787"/>
      <c r="KIJ807" s="3787"/>
      <c r="KIK807" s="3787"/>
      <c r="KIP807" s="3787"/>
      <c r="KIV807" s="3787"/>
      <c r="KIW807" s="3787"/>
      <c r="KIX807" s="3787"/>
      <c r="KJB807" s="3787"/>
      <c r="KJI807" s="3787"/>
      <c r="KJJ807" s="3787"/>
      <c r="KJK807" s="3787"/>
      <c r="KJL807" s="3787"/>
      <c r="KJM807" s="3787"/>
      <c r="KJN807" s="3787"/>
      <c r="KJO807" s="3787"/>
      <c r="KJP807" s="3787"/>
      <c r="KJQ807" s="3787"/>
      <c r="KJR807" s="3787"/>
      <c r="KJS807" s="3787"/>
      <c r="KJT807" s="3787"/>
      <c r="KJU807" s="3787"/>
      <c r="KJV807" s="3787"/>
      <c r="KJW807" s="3787"/>
      <c r="KJX807" s="3787"/>
      <c r="KJY807" s="3787"/>
      <c r="KJZ807" s="3787"/>
      <c r="KKA807" s="3787"/>
      <c r="KKB807" s="3787"/>
      <c r="KKC807" s="3787"/>
      <c r="KKD807" s="3787"/>
      <c r="KKE807" s="3787"/>
      <c r="KKF807" s="3787"/>
      <c r="KKG807" s="3787"/>
      <c r="KKH807" s="3787"/>
      <c r="KKI807" s="3787"/>
      <c r="KKJ807" s="3787"/>
      <c r="KKK807" s="3787"/>
      <c r="KKL807" s="3787"/>
      <c r="KKM807" s="3787"/>
      <c r="KKN807" s="3787"/>
      <c r="KKO807" s="3787"/>
      <c r="KKP807" s="3787"/>
      <c r="KKQ807" s="3787"/>
      <c r="KKR807" s="3787"/>
      <c r="KKS807" s="3787"/>
      <c r="KKT807" s="3787"/>
      <c r="KKU807" s="3787"/>
      <c r="KKV807" s="3787"/>
      <c r="KKW807" s="3787"/>
      <c r="KKX807" s="3787"/>
      <c r="KKY807" s="3787"/>
      <c r="KKZ807" s="3787"/>
      <c r="KLA807" s="3787"/>
      <c r="KLB807" s="3787"/>
      <c r="KLC807" s="3787"/>
      <c r="KLD807" s="3787"/>
      <c r="KLE807" s="3787"/>
      <c r="KLF807" s="3787"/>
      <c r="KLG807" s="3787"/>
      <c r="KLH807" s="3787"/>
      <c r="KLI807" s="3787"/>
      <c r="KLJ807" s="3787"/>
      <c r="KLK807" s="3787"/>
      <c r="KLL807" s="3787"/>
      <c r="KLM807" s="3787"/>
      <c r="KLN807" s="3787"/>
      <c r="KLO807" s="3787"/>
      <c r="KLP807" s="3787"/>
      <c r="KLQ807" s="3787"/>
      <c r="KLR807" s="3787"/>
      <c r="KLS807" s="3787"/>
      <c r="KLT807" s="3787"/>
      <c r="KLU807" s="3787"/>
      <c r="KLV807" s="3787"/>
      <c r="KLW807" s="3787"/>
      <c r="KLX807" s="3787"/>
      <c r="KLY807" s="3787"/>
      <c r="KLZ807" s="3787"/>
      <c r="KMA807" s="3787"/>
      <c r="KMB807" s="3787"/>
      <c r="KMC807" s="3787"/>
      <c r="KMD807" s="3787"/>
      <c r="KME807" s="3787"/>
      <c r="KMF807" s="3787"/>
      <c r="KMG807" s="3787"/>
      <c r="KMH807" s="3787"/>
      <c r="KMI807" s="3787"/>
      <c r="KMJ807" s="3787"/>
      <c r="KMK807" s="3787"/>
      <c r="KML807" s="3787"/>
      <c r="KMM807" s="3787"/>
      <c r="KMN807" s="3787"/>
      <c r="KMO807" s="3787"/>
      <c r="KMP807" s="3787"/>
      <c r="KMQ807" s="3787"/>
      <c r="KMR807" s="3787"/>
      <c r="KMS807" s="3787"/>
      <c r="KMT807" s="3787"/>
      <c r="KMU807" s="3787"/>
      <c r="KMV807" s="3787"/>
      <c r="KMW807" s="3787"/>
      <c r="KMX807" s="3787"/>
      <c r="KMY807" s="3787"/>
      <c r="KMZ807" s="3787"/>
      <c r="KNA807" s="3787"/>
      <c r="KNB807" s="3787"/>
      <c r="KNC807" s="3787"/>
      <c r="KND807" s="3787"/>
      <c r="KNE807" s="3787"/>
      <c r="KNF807" s="3787"/>
      <c r="KNG807" s="3787"/>
      <c r="KNH807" s="3787"/>
      <c r="KNI807" s="3787"/>
      <c r="KNJ807" s="3787"/>
      <c r="KNK807" s="3787"/>
      <c r="KNL807" s="3787"/>
      <c r="KNM807" s="3787"/>
      <c r="KNN807" s="3787"/>
      <c r="KNO807" s="3787"/>
      <c r="KNP807" s="3787"/>
      <c r="KNQ807" s="3787"/>
      <c r="KNR807" s="3787"/>
      <c r="KNS807" s="3787"/>
      <c r="KNT807" s="3787"/>
      <c r="KNU807" s="3787"/>
      <c r="KNV807" s="3787"/>
      <c r="KNW807" s="3787"/>
      <c r="KNX807" s="3787"/>
      <c r="KNY807" s="3787"/>
      <c r="KNZ807" s="3787"/>
      <c r="KOA807" s="3787"/>
      <c r="KOB807" s="3787"/>
      <c r="KOC807" s="3787"/>
      <c r="KOD807" s="3787"/>
      <c r="KOE807" s="3787"/>
      <c r="KOF807" s="3787"/>
      <c r="KOG807" s="3787"/>
      <c r="KOH807" s="3787"/>
      <c r="KOI807" s="3787"/>
      <c r="KOJ807" s="3787"/>
      <c r="KOK807" s="3787"/>
      <c r="KOL807" s="3787"/>
      <c r="KOM807" s="3787"/>
      <c r="KON807" s="3787"/>
      <c r="KOO807" s="3787"/>
      <c r="KOP807" s="3787"/>
      <c r="KOQ807" s="3787"/>
      <c r="KOR807" s="3787"/>
      <c r="KOS807" s="3787"/>
      <c r="KOT807" s="3787"/>
      <c r="KOU807" s="3787"/>
      <c r="KOV807" s="3787"/>
      <c r="KOW807" s="3787"/>
      <c r="KOX807" s="3787"/>
      <c r="KOY807" s="3787"/>
      <c r="KOZ807" s="3787"/>
      <c r="KPA807" s="3787"/>
      <c r="KPB807" s="3787"/>
      <c r="KPC807" s="3787"/>
      <c r="KPD807" s="3787"/>
      <c r="KPE807" s="3787"/>
      <c r="KPF807" s="3787"/>
      <c r="KPG807" s="3787"/>
      <c r="KPH807" s="3787"/>
      <c r="KPI807" s="3787"/>
      <c r="KPJ807" s="3787"/>
      <c r="KPK807" s="3787"/>
      <c r="KPL807" s="3787"/>
      <c r="KPM807" s="3787"/>
      <c r="KPN807" s="3787"/>
      <c r="KPO807" s="3787"/>
      <c r="KPP807" s="3787"/>
      <c r="KPQ807" s="3787"/>
      <c r="KPR807" s="3787"/>
      <c r="KPS807" s="3787"/>
      <c r="KPT807" s="3787"/>
      <c r="KPU807" s="3787"/>
      <c r="KPV807" s="3787"/>
      <c r="KPW807" s="3787"/>
      <c r="KPX807" s="3787"/>
      <c r="KPY807" s="3787"/>
      <c r="KPZ807" s="3787"/>
      <c r="KQA807" s="3787"/>
      <c r="KQB807" s="3787"/>
      <c r="KQC807" s="3787"/>
      <c r="KQD807" s="3787"/>
      <c r="KQE807" s="3787"/>
      <c r="KQF807" s="3787"/>
      <c r="KQG807" s="3787"/>
      <c r="KQH807" s="3787"/>
      <c r="KQI807" s="3787"/>
      <c r="KQJ807" s="3787"/>
      <c r="KQK807" s="3787"/>
      <c r="KQL807" s="3787"/>
      <c r="KQM807" s="3787"/>
      <c r="KQN807" s="3787"/>
      <c r="KQO807" s="3787"/>
      <c r="KQP807" s="3787"/>
      <c r="KQQ807" s="3787"/>
      <c r="KQR807" s="3787"/>
      <c r="KQS807" s="3787"/>
      <c r="KQT807" s="3787"/>
      <c r="KQU807" s="3787"/>
      <c r="KQV807" s="3787"/>
      <c r="KQW807" s="3787"/>
      <c r="KQX807" s="3787"/>
      <c r="KQY807" s="3787"/>
      <c r="KQZ807" s="3787"/>
      <c r="KRA807" s="3787"/>
      <c r="KRB807" s="3787"/>
      <c r="KRC807" s="3787"/>
      <c r="KRD807" s="3787"/>
      <c r="KRE807" s="3787"/>
      <c r="KRF807" s="3787"/>
      <c r="KRG807" s="3787"/>
      <c r="KRH807" s="3787"/>
      <c r="KRI807" s="3787"/>
      <c r="KRJ807" s="3787"/>
      <c r="KRK807" s="3787"/>
      <c r="KRL807" s="3787"/>
      <c r="KRM807" s="3787"/>
      <c r="KRN807" s="3787"/>
      <c r="KRO807" s="3787"/>
      <c r="KRP807" s="3787"/>
      <c r="KRQ807" s="3787"/>
      <c r="KRR807" s="3787"/>
      <c r="KRS807" s="3787"/>
      <c r="KRT807" s="3787"/>
      <c r="KRU807" s="3787"/>
      <c r="KRV807" s="3787"/>
      <c r="KRW807" s="3787"/>
      <c r="KRX807" s="3787"/>
      <c r="KRY807" s="3787"/>
      <c r="KRZ807" s="3787"/>
      <c r="KSA807" s="3787"/>
      <c r="KSB807" s="3787"/>
      <c r="KSC807" s="3787"/>
      <c r="KSD807" s="3787"/>
      <c r="KSE807" s="3787"/>
      <c r="KSF807" s="3787"/>
      <c r="KSG807" s="3787"/>
      <c r="KSL807" s="3787"/>
      <c r="KSR807" s="3787"/>
      <c r="KSS807" s="3787"/>
      <c r="KST807" s="3787"/>
      <c r="KSX807" s="3787"/>
      <c r="KTE807" s="3787"/>
      <c r="KTF807" s="3787"/>
      <c r="KTG807" s="3787"/>
      <c r="KTH807" s="3787"/>
      <c r="KTI807" s="3787"/>
      <c r="KTJ807" s="3787"/>
      <c r="KTK807" s="3787"/>
      <c r="KTL807" s="3787"/>
      <c r="KTM807" s="3787"/>
      <c r="KTN807" s="3787"/>
      <c r="KTO807" s="3787"/>
      <c r="KTP807" s="3787"/>
      <c r="KTQ807" s="3787"/>
      <c r="KTR807" s="3787"/>
      <c r="KTS807" s="3787"/>
      <c r="KTT807" s="3787"/>
      <c r="KTU807" s="3787"/>
      <c r="KTV807" s="3787"/>
      <c r="KTW807" s="3787"/>
      <c r="KTX807" s="3787"/>
      <c r="KTY807" s="3787"/>
      <c r="KTZ807" s="3787"/>
      <c r="KUA807" s="3787"/>
      <c r="KUB807" s="3787"/>
      <c r="KUC807" s="3787"/>
      <c r="KUD807" s="3787"/>
      <c r="KUE807" s="3787"/>
      <c r="KUF807" s="3787"/>
      <c r="KUG807" s="3787"/>
      <c r="KUH807" s="3787"/>
      <c r="KUI807" s="3787"/>
      <c r="KUJ807" s="3787"/>
      <c r="KUK807" s="3787"/>
      <c r="KUL807" s="3787"/>
      <c r="KUM807" s="3787"/>
      <c r="KUN807" s="3787"/>
      <c r="KUO807" s="3787"/>
      <c r="KUP807" s="3787"/>
      <c r="KUQ807" s="3787"/>
      <c r="KUR807" s="3787"/>
      <c r="KUS807" s="3787"/>
      <c r="KUT807" s="3787"/>
      <c r="KUU807" s="3787"/>
      <c r="KUV807" s="3787"/>
      <c r="KUW807" s="3787"/>
      <c r="KUX807" s="3787"/>
      <c r="KUY807" s="3787"/>
      <c r="KUZ807" s="3787"/>
      <c r="KVA807" s="3787"/>
      <c r="KVB807" s="3787"/>
      <c r="KVC807" s="3787"/>
      <c r="KVD807" s="3787"/>
      <c r="KVE807" s="3787"/>
      <c r="KVF807" s="3787"/>
      <c r="KVG807" s="3787"/>
      <c r="KVH807" s="3787"/>
      <c r="KVI807" s="3787"/>
      <c r="KVJ807" s="3787"/>
      <c r="KVK807" s="3787"/>
      <c r="KVL807" s="3787"/>
      <c r="KVM807" s="3787"/>
      <c r="KVN807" s="3787"/>
      <c r="KVO807" s="3787"/>
      <c r="KVP807" s="3787"/>
      <c r="KVQ807" s="3787"/>
      <c r="KVR807" s="3787"/>
      <c r="KVS807" s="3787"/>
      <c r="KVT807" s="3787"/>
      <c r="KVU807" s="3787"/>
      <c r="KVV807" s="3787"/>
      <c r="KVW807" s="3787"/>
      <c r="KVX807" s="3787"/>
      <c r="KVY807" s="3787"/>
      <c r="KVZ807" s="3787"/>
      <c r="KWA807" s="3787"/>
      <c r="KWB807" s="3787"/>
      <c r="KWC807" s="3787"/>
      <c r="KWD807" s="3787"/>
      <c r="KWE807" s="3787"/>
      <c r="KWF807" s="3787"/>
      <c r="KWG807" s="3787"/>
      <c r="KWH807" s="3787"/>
      <c r="KWI807" s="3787"/>
      <c r="KWJ807" s="3787"/>
      <c r="KWK807" s="3787"/>
      <c r="KWL807" s="3787"/>
      <c r="KWM807" s="3787"/>
      <c r="KWN807" s="3787"/>
      <c r="KWO807" s="3787"/>
      <c r="KWP807" s="3787"/>
      <c r="KWQ807" s="3787"/>
      <c r="KWR807" s="3787"/>
      <c r="KWS807" s="3787"/>
      <c r="KWT807" s="3787"/>
      <c r="KWU807" s="3787"/>
      <c r="KWV807" s="3787"/>
      <c r="KWW807" s="3787"/>
      <c r="KWX807" s="3787"/>
      <c r="KWY807" s="3787"/>
      <c r="KWZ807" s="3787"/>
      <c r="KXA807" s="3787"/>
      <c r="KXB807" s="3787"/>
      <c r="KXC807" s="3787"/>
      <c r="KXD807" s="3787"/>
      <c r="KXE807" s="3787"/>
      <c r="KXF807" s="3787"/>
      <c r="KXG807" s="3787"/>
      <c r="KXH807" s="3787"/>
      <c r="KXI807" s="3787"/>
      <c r="KXJ807" s="3787"/>
      <c r="KXK807" s="3787"/>
      <c r="KXL807" s="3787"/>
      <c r="KXM807" s="3787"/>
      <c r="KXN807" s="3787"/>
      <c r="KXO807" s="3787"/>
      <c r="KXP807" s="3787"/>
      <c r="KXQ807" s="3787"/>
      <c r="KXR807" s="3787"/>
      <c r="KXS807" s="3787"/>
      <c r="KXT807" s="3787"/>
      <c r="KXU807" s="3787"/>
      <c r="KXV807" s="3787"/>
      <c r="KXW807" s="3787"/>
      <c r="KXX807" s="3787"/>
      <c r="KXY807" s="3787"/>
      <c r="KXZ807" s="3787"/>
      <c r="KYA807" s="3787"/>
      <c r="KYB807" s="3787"/>
      <c r="KYC807" s="3787"/>
      <c r="KYD807" s="3787"/>
      <c r="KYE807" s="3787"/>
      <c r="KYF807" s="3787"/>
      <c r="KYG807" s="3787"/>
      <c r="KYH807" s="3787"/>
      <c r="KYI807" s="3787"/>
      <c r="KYJ807" s="3787"/>
      <c r="KYK807" s="3787"/>
      <c r="KYL807" s="3787"/>
      <c r="KYM807" s="3787"/>
      <c r="KYN807" s="3787"/>
      <c r="KYO807" s="3787"/>
      <c r="KYP807" s="3787"/>
      <c r="KYQ807" s="3787"/>
      <c r="KYR807" s="3787"/>
      <c r="KYS807" s="3787"/>
      <c r="KYT807" s="3787"/>
      <c r="KYU807" s="3787"/>
      <c r="KYV807" s="3787"/>
      <c r="KYW807" s="3787"/>
      <c r="KYX807" s="3787"/>
      <c r="KYY807" s="3787"/>
      <c r="KYZ807" s="3787"/>
      <c r="KZA807" s="3787"/>
      <c r="KZB807" s="3787"/>
      <c r="KZC807" s="3787"/>
      <c r="KZD807" s="3787"/>
      <c r="KZE807" s="3787"/>
      <c r="KZF807" s="3787"/>
      <c r="KZG807" s="3787"/>
      <c r="KZH807" s="3787"/>
      <c r="KZI807" s="3787"/>
      <c r="KZJ807" s="3787"/>
      <c r="KZK807" s="3787"/>
      <c r="KZL807" s="3787"/>
      <c r="KZM807" s="3787"/>
      <c r="KZN807" s="3787"/>
      <c r="KZO807" s="3787"/>
      <c r="KZP807" s="3787"/>
      <c r="KZQ807" s="3787"/>
      <c r="KZR807" s="3787"/>
      <c r="KZS807" s="3787"/>
      <c r="KZT807" s="3787"/>
      <c r="KZU807" s="3787"/>
      <c r="KZV807" s="3787"/>
      <c r="KZW807" s="3787"/>
      <c r="KZX807" s="3787"/>
      <c r="KZY807" s="3787"/>
      <c r="KZZ807" s="3787"/>
      <c r="LAA807" s="3787"/>
      <c r="LAB807" s="3787"/>
      <c r="LAC807" s="3787"/>
      <c r="LAD807" s="3787"/>
      <c r="LAE807" s="3787"/>
      <c r="LAF807" s="3787"/>
      <c r="LAG807" s="3787"/>
      <c r="LAH807" s="3787"/>
      <c r="LAI807" s="3787"/>
      <c r="LAJ807" s="3787"/>
      <c r="LAK807" s="3787"/>
      <c r="LAL807" s="3787"/>
      <c r="LAM807" s="3787"/>
      <c r="LAN807" s="3787"/>
      <c r="LAO807" s="3787"/>
      <c r="LAP807" s="3787"/>
      <c r="LAQ807" s="3787"/>
      <c r="LAR807" s="3787"/>
      <c r="LAS807" s="3787"/>
      <c r="LAT807" s="3787"/>
      <c r="LAU807" s="3787"/>
      <c r="LAV807" s="3787"/>
      <c r="LAW807" s="3787"/>
      <c r="LAX807" s="3787"/>
      <c r="LAY807" s="3787"/>
      <c r="LAZ807" s="3787"/>
      <c r="LBA807" s="3787"/>
      <c r="LBB807" s="3787"/>
      <c r="LBC807" s="3787"/>
      <c r="LBD807" s="3787"/>
      <c r="LBE807" s="3787"/>
      <c r="LBF807" s="3787"/>
      <c r="LBG807" s="3787"/>
      <c r="LBH807" s="3787"/>
      <c r="LBI807" s="3787"/>
      <c r="LBJ807" s="3787"/>
      <c r="LBK807" s="3787"/>
      <c r="LBL807" s="3787"/>
      <c r="LBM807" s="3787"/>
      <c r="LBN807" s="3787"/>
      <c r="LBO807" s="3787"/>
      <c r="LBP807" s="3787"/>
      <c r="LBQ807" s="3787"/>
      <c r="LBR807" s="3787"/>
      <c r="LBS807" s="3787"/>
      <c r="LBT807" s="3787"/>
      <c r="LBU807" s="3787"/>
      <c r="LBV807" s="3787"/>
      <c r="LBW807" s="3787"/>
      <c r="LBX807" s="3787"/>
      <c r="LBY807" s="3787"/>
      <c r="LBZ807" s="3787"/>
      <c r="LCA807" s="3787"/>
      <c r="LCB807" s="3787"/>
      <c r="LCC807" s="3787"/>
      <c r="LCH807" s="3787"/>
      <c r="LCN807" s="3787"/>
      <c r="LCO807" s="3787"/>
      <c r="LCP807" s="3787"/>
      <c r="LCT807" s="3787"/>
      <c r="LDA807" s="3787"/>
      <c r="LDB807" s="3787"/>
      <c r="LDC807" s="3787"/>
      <c r="LDD807" s="3787"/>
      <c r="LDE807" s="3787"/>
      <c r="LDF807" s="3787"/>
      <c r="LDG807" s="3787"/>
      <c r="LDH807" s="3787"/>
      <c r="LDI807" s="3787"/>
      <c r="LDJ807" s="3787"/>
      <c r="LDK807" s="3787"/>
      <c r="LDL807" s="3787"/>
      <c r="LDM807" s="3787"/>
      <c r="LDN807" s="3787"/>
      <c r="LDO807" s="3787"/>
      <c r="LDP807" s="3787"/>
      <c r="LDQ807" s="3787"/>
      <c r="LDR807" s="3787"/>
      <c r="LDS807" s="3787"/>
      <c r="LDT807" s="3787"/>
      <c r="LDU807" s="3787"/>
      <c r="LDV807" s="3787"/>
      <c r="LDW807" s="3787"/>
      <c r="LDX807" s="3787"/>
      <c r="LDY807" s="3787"/>
      <c r="LDZ807" s="3787"/>
      <c r="LEA807" s="3787"/>
      <c r="LEB807" s="3787"/>
      <c r="LEC807" s="3787"/>
      <c r="LED807" s="3787"/>
      <c r="LEE807" s="3787"/>
      <c r="LEF807" s="3787"/>
      <c r="LEG807" s="3787"/>
      <c r="LEH807" s="3787"/>
      <c r="LEI807" s="3787"/>
      <c r="LEJ807" s="3787"/>
      <c r="LEK807" s="3787"/>
      <c r="LEL807" s="3787"/>
      <c r="LEM807" s="3787"/>
      <c r="LEN807" s="3787"/>
      <c r="LEO807" s="3787"/>
      <c r="LEP807" s="3787"/>
      <c r="LEQ807" s="3787"/>
      <c r="LER807" s="3787"/>
      <c r="LES807" s="3787"/>
      <c r="LET807" s="3787"/>
      <c r="LEU807" s="3787"/>
      <c r="LEV807" s="3787"/>
      <c r="LEW807" s="3787"/>
      <c r="LEX807" s="3787"/>
      <c r="LEY807" s="3787"/>
      <c r="LEZ807" s="3787"/>
      <c r="LFA807" s="3787"/>
      <c r="LFB807" s="3787"/>
      <c r="LFC807" s="3787"/>
      <c r="LFD807" s="3787"/>
      <c r="LFE807" s="3787"/>
      <c r="LFF807" s="3787"/>
      <c r="LFG807" s="3787"/>
      <c r="LFH807" s="3787"/>
      <c r="LFI807" s="3787"/>
      <c r="LFJ807" s="3787"/>
      <c r="LFK807" s="3787"/>
      <c r="LFL807" s="3787"/>
      <c r="LFM807" s="3787"/>
      <c r="LFN807" s="3787"/>
      <c r="LFO807" s="3787"/>
      <c r="LFP807" s="3787"/>
      <c r="LFQ807" s="3787"/>
      <c r="LFR807" s="3787"/>
      <c r="LFS807" s="3787"/>
      <c r="LFT807" s="3787"/>
      <c r="LFU807" s="3787"/>
      <c r="LFV807" s="3787"/>
      <c r="LFW807" s="3787"/>
      <c r="LFX807" s="3787"/>
      <c r="LFY807" s="3787"/>
      <c r="LFZ807" s="3787"/>
      <c r="LGA807" s="3787"/>
      <c r="LGB807" s="3787"/>
      <c r="LGC807" s="3787"/>
      <c r="LGD807" s="3787"/>
      <c r="LGE807" s="3787"/>
      <c r="LGF807" s="3787"/>
      <c r="LGG807" s="3787"/>
      <c r="LGH807" s="3787"/>
      <c r="LGI807" s="3787"/>
      <c r="LGJ807" s="3787"/>
      <c r="LGK807" s="3787"/>
      <c r="LGL807" s="3787"/>
      <c r="LGM807" s="3787"/>
      <c r="LGN807" s="3787"/>
      <c r="LGO807" s="3787"/>
      <c r="LGP807" s="3787"/>
      <c r="LGQ807" s="3787"/>
      <c r="LGR807" s="3787"/>
      <c r="LGS807" s="3787"/>
      <c r="LGT807" s="3787"/>
      <c r="LGU807" s="3787"/>
      <c r="LGV807" s="3787"/>
      <c r="LGW807" s="3787"/>
      <c r="LGX807" s="3787"/>
      <c r="LGY807" s="3787"/>
      <c r="LGZ807" s="3787"/>
      <c r="LHA807" s="3787"/>
      <c r="LHB807" s="3787"/>
      <c r="LHC807" s="3787"/>
      <c r="LHD807" s="3787"/>
      <c r="LHE807" s="3787"/>
      <c r="LHF807" s="3787"/>
      <c r="LHG807" s="3787"/>
      <c r="LHH807" s="3787"/>
      <c r="LHI807" s="3787"/>
      <c r="LHJ807" s="3787"/>
      <c r="LHK807" s="3787"/>
      <c r="LHL807" s="3787"/>
      <c r="LHM807" s="3787"/>
      <c r="LHN807" s="3787"/>
      <c r="LHO807" s="3787"/>
      <c r="LHP807" s="3787"/>
      <c r="LHQ807" s="3787"/>
      <c r="LHR807" s="3787"/>
      <c r="LHS807" s="3787"/>
      <c r="LHT807" s="3787"/>
      <c r="LHU807" s="3787"/>
      <c r="LHV807" s="3787"/>
      <c r="LHW807" s="3787"/>
      <c r="LHX807" s="3787"/>
      <c r="LHY807" s="3787"/>
      <c r="LHZ807" s="3787"/>
      <c r="LIA807" s="3787"/>
      <c r="LIB807" s="3787"/>
      <c r="LIC807" s="3787"/>
      <c r="LID807" s="3787"/>
      <c r="LIE807" s="3787"/>
      <c r="LIF807" s="3787"/>
      <c r="LIG807" s="3787"/>
      <c r="LIH807" s="3787"/>
      <c r="LII807" s="3787"/>
      <c r="LIJ807" s="3787"/>
      <c r="LIK807" s="3787"/>
      <c r="LIL807" s="3787"/>
      <c r="LIM807" s="3787"/>
      <c r="LIN807" s="3787"/>
      <c r="LIO807" s="3787"/>
      <c r="LIP807" s="3787"/>
      <c r="LIQ807" s="3787"/>
      <c r="LIR807" s="3787"/>
      <c r="LIS807" s="3787"/>
      <c r="LIT807" s="3787"/>
      <c r="LIU807" s="3787"/>
      <c r="LIV807" s="3787"/>
      <c r="LIW807" s="3787"/>
      <c r="LIX807" s="3787"/>
      <c r="LIY807" s="3787"/>
      <c r="LIZ807" s="3787"/>
      <c r="LJA807" s="3787"/>
      <c r="LJB807" s="3787"/>
      <c r="LJC807" s="3787"/>
      <c r="LJD807" s="3787"/>
      <c r="LJE807" s="3787"/>
      <c r="LJF807" s="3787"/>
      <c r="LJG807" s="3787"/>
      <c r="LJH807" s="3787"/>
      <c r="LJI807" s="3787"/>
      <c r="LJJ807" s="3787"/>
      <c r="LJK807" s="3787"/>
      <c r="LJL807" s="3787"/>
      <c r="LJM807" s="3787"/>
      <c r="LJN807" s="3787"/>
      <c r="LJO807" s="3787"/>
      <c r="LJP807" s="3787"/>
      <c r="LJQ807" s="3787"/>
      <c r="LJR807" s="3787"/>
      <c r="LJS807" s="3787"/>
      <c r="LJT807" s="3787"/>
      <c r="LJU807" s="3787"/>
      <c r="LJV807" s="3787"/>
      <c r="LJW807" s="3787"/>
      <c r="LJX807" s="3787"/>
      <c r="LJY807" s="3787"/>
      <c r="LJZ807" s="3787"/>
      <c r="LKA807" s="3787"/>
      <c r="LKB807" s="3787"/>
      <c r="LKC807" s="3787"/>
      <c r="LKD807" s="3787"/>
      <c r="LKE807" s="3787"/>
      <c r="LKF807" s="3787"/>
      <c r="LKG807" s="3787"/>
      <c r="LKH807" s="3787"/>
      <c r="LKI807" s="3787"/>
      <c r="LKJ807" s="3787"/>
      <c r="LKK807" s="3787"/>
      <c r="LKL807" s="3787"/>
      <c r="LKM807" s="3787"/>
      <c r="LKN807" s="3787"/>
      <c r="LKO807" s="3787"/>
      <c r="LKP807" s="3787"/>
      <c r="LKQ807" s="3787"/>
      <c r="LKR807" s="3787"/>
      <c r="LKS807" s="3787"/>
      <c r="LKT807" s="3787"/>
      <c r="LKU807" s="3787"/>
      <c r="LKV807" s="3787"/>
      <c r="LKW807" s="3787"/>
      <c r="LKX807" s="3787"/>
      <c r="LKY807" s="3787"/>
      <c r="LKZ807" s="3787"/>
      <c r="LLA807" s="3787"/>
      <c r="LLB807" s="3787"/>
      <c r="LLC807" s="3787"/>
      <c r="LLD807" s="3787"/>
      <c r="LLE807" s="3787"/>
      <c r="LLF807" s="3787"/>
      <c r="LLG807" s="3787"/>
      <c r="LLH807" s="3787"/>
      <c r="LLI807" s="3787"/>
      <c r="LLJ807" s="3787"/>
      <c r="LLK807" s="3787"/>
      <c r="LLL807" s="3787"/>
      <c r="LLM807" s="3787"/>
      <c r="LLN807" s="3787"/>
      <c r="LLO807" s="3787"/>
      <c r="LLP807" s="3787"/>
      <c r="LLQ807" s="3787"/>
      <c r="LLR807" s="3787"/>
      <c r="LLS807" s="3787"/>
      <c r="LLT807" s="3787"/>
      <c r="LLU807" s="3787"/>
      <c r="LLV807" s="3787"/>
      <c r="LLW807" s="3787"/>
      <c r="LLX807" s="3787"/>
      <c r="LLY807" s="3787"/>
      <c r="LMD807" s="3787"/>
      <c r="LMJ807" s="3787"/>
      <c r="LMK807" s="3787"/>
      <c r="LML807" s="3787"/>
      <c r="LMP807" s="3787"/>
      <c r="LMW807" s="3787"/>
      <c r="LMX807" s="3787"/>
      <c r="LMY807" s="3787"/>
      <c r="LMZ807" s="3787"/>
      <c r="LNA807" s="3787"/>
      <c r="LNB807" s="3787"/>
      <c r="LNC807" s="3787"/>
      <c r="LND807" s="3787"/>
      <c r="LNE807" s="3787"/>
      <c r="LNF807" s="3787"/>
      <c r="LNG807" s="3787"/>
      <c r="LNH807" s="3787"/>
      <c r="LNI807" s="3787"/>
      <c r="LNJ807" s="3787"/>
      <c r="LNK807" s="3787"/>
      <c r="LNL807" s="3787"/>
      <c r="LNM807" s="3787"/>
      <c r="LNN807" s="3787"/>
      <c r="LNO807" s="3787"/>
      <c r="LNP807" s="3787"/>
      <c r="LNQ807" s="3787"/>
      <c r="LNR807" s="3787"/>
      <c r="LNS807" s="3787"/>
      <c r="LNT807" s="3787"/>
      <c r="LNU807" s="3787"/>
      <c r="LNV807" s="3787"/>
      <c r="LNW807" s="3787"/>
      <c r="LNX807" s="3787"/>
      <c r="LNY807" s="3787"/>
      <c r="LNZ807" s="3787"/>
      <c r="LOA807" s="3787"/>
      <c r="LOB807" s="3787"/>
      <c r="LOC807" s="3787"/>
      <c r="LOD807" s="3787"/>
      <c r="LOE807" s="3787"/>
      <c r="LOF807" s="3787"/>
      <c r="LOG807" s="3787"/>
      <c r="LOH807" s="3787"/>
      <c r="LOI807" s="3787"/>
      <c r="LOJ807" s="3787"/>
      <c r="LOK807" s="3787"/>
      <c r="LOL807" s="3787"/>
      <c r="LOM807" s="3787"/>
      <c r="LON807" s="3787"/>
      <c r="LOO807" s="3787"/>
      <c r="LOP807" s="3787"/>
      <c r="LOQ807" s="3787"/>
      <c r="LOR807" s="3787"/>
      <c r="LOS807" s="3787"/>
      <c r="LOT807" s="3787"/>
      <c r="LOU807" s="3787"/>
      <c r="LOV807" s="3787"/>
      <c r="LOW807" s="3787"/>
      <c r="LOX807" s="3787"/>
      <c r="LOY807" s="3787"/>
      <c r="LOZ807" s="3787"/>
      <c r="LPA807" s="3787"/>
      <c r="LPB807" s="3787"/>
      <c r="LPC807" s="3787"/>
      <c r="LPD807" s="3787"/>
      <c r="LPE807" s="3787"/>
      <c r="LPF807" s="3787"/>
      <c r="LPG807" s="3787"/>
      <c r="LPH807" s="3787"/>
      <c r="LPI807" s="3787"/>
      <c r="LPJ807" s="3787"/>
      <c r="LPK807" s="3787"/>
      <c r="LPL807" s="3787"/>
      <c r="LPM807" s="3787"/>
      <c r="LPN807" s="3787"/>
      <c r="LPO807" s="3787"/>
      <c r="LPP807" s="3787"/>
      <c r="LPQ807" s="3787"/>
      <c r="LPR807" s="3787"/>
      <c r="LPS807" s="3787"/>
      <c r="LPT807" s="3787"/>
      <c r="LPU807" s="3787"/>
      <c r="LPV807" s="3787"/>
      <c r="LPW807" s="3787"/>
      <c r="LPX807" s="3787"/>
      <c r="LPY807" s="3787"/>
      <c r="LPZ807" s="3787"/>
      <c r="LQA807" s="3787"/>
      <c r="LQB807" s="3787"/>
      <c r="LQC807" s="3787"/>
      <c r="LQD807" s="3787"/>
      <c r="LQE807" s="3787"/>
      <c r="LQF807" s="3787"/>
      <c r="LQG807" s="3787"/>
      <c r="LQH807" s="3787"/>
      <c r="LQI807" s="3787"/>
      <c r="LQJ807" s="3787"/>
      <c r="LQK807" s="3787"/>
      <c r="LQL807" s="3787"/>
      <c r="LQM807" s="3787"/>
      <c r="LQN807" s="3787"/>
      <c r="LQO807" s="3787"/>
      <c r="LQP807" s="3787"/>
      <c r="LQQ807" s="3787"/>
      <c r="LQR807" s="3787"/>
      <c r="LQS807" s="3787"/>
      <c r="LQT807" s="3787"/>
      <c r="LQU807" s="3787"/>
      <c r="LQV807" s="3787"/>
      <c r="LQW807" s="3787"/>
      <c r="LQX807" s="3787"/>
      <c r="LQY807" s="3787"/>
      <c r="LQZ807" s="3787"/>
      <c r="LRA807" s="3787"/>
      <c r="LRB807" s="3787"/>
      <c r="LRC807" s="3787"/>
      <c r="LRD807" s="3787"/>
      <c r="LRE807" s="3787"/>
      <c r="LRF807" s="3787"/>
      <c r="LRG807" s="3787"/>
      <c r="LRH807" s="3787"/>
      <c r="LRI807" s="3787"/>
      <c r="LRJ807" s="3787"/>
      <c r="LRK807" s="3787"/>
      <c r="LRL807" s="3787"/>
      <c r="LRM807" s="3787"/>
      <c r="LRN807" s="3787"/>
      <c r="LRO807" s="3787"/>
      <c r="LRP807" s="3787"/>
      <c r="LRQ807" s="3787"/>
      <c r="LRR807" s="3787"/>
      <c r="LRS807" s="3787"/>
      <c r="LRT807" s="3787"/>
      <c r="LRU807" s="3787"/>
      <c r="LRV807" s="3787"/>
      <c r="LRW807" s="3787"/>
      <c r="LRX807" s="3787"/>
      <c r="LRY807" s="3787"/>
      <c r="LRZ807" s="3787"/>
      <c r="LSA807" s="3787"/>
      <c r="LSB807" s="3787"/>
      <c r="LSC807" s="3787"/>
      <c r="LSD807" s="3787"/>
      <c r="LSE807" s="3787"/>
      <c r="LSF807" s="3787"/>
      <c r="LSG807" s="3787"/>
      <c r="LSH807" s="3787"/>
      <c r="LSI807" s="3787"/>
      <c r="LSJ807" s="3787"/>
      <c r="LSK807" s="3787"/>
      <c r="LSL807" s="3787"/>
      <c r="LSM807" s="3787"/>
      <c r="LSN807" s="3787"/>
      <c r="LSO807" s="3787"/>
      <c r="LSP807" s="3787"/>
      <c r="LSQ807" s="3787"/>
      <c r="LSR807" s="3787"/>
      <c r="LSS807" s="3787"/>
      <c r="LST807" s="3787"/>
      <c r="LSU807" s="3787"/>
      <c r="LSV807" s="3787"/>
      <c r="LSW807" s="3787"/>
      <c r="LSX807" s="3787"/>
      <c r="LSY807" s="3787"/>
      <c r="LSZ807" s="3787"/>
      <c r="LTA807" s="3787"/>
      <c r="LTB807" s="3787"/>
      <c r="LTC807" s="3787"/>
      <c r="LTD807" s="3787"/>
      <c r="LTE807" s="3787"/>
      <c r="LTF807" s="3787"/>
      <c r="LTG807" s="3787"/>
      <c r="LTH807" s="3787"/>
      <c r="LTI807" s="3787"/>
      <c r="LTJ807" s="3787"/>
      <c r="LTK807" s="3787"/>
      <c r="LTL807" s="3787"/>
      <c r="LTM807" s="3787"/>
      <c r="LTN807" s="3787"/>
      <c r="LTO807" s="3787"/>
      <c r="LTP807" s="3787"/>
      <c r="LTQ807" s="3787"/>
      <c r="LTR807" s="3787"/>
      <c r="LTS807" s="3787"/>
      <c r="LTT807" s="3787"/>
      <c r="LTU807" s="3787"/>
      <c r="LTV807" s="3787"/>
      <c r="LTW807" s="3787"/>
      <c r="LTX807" s="3787"/>
      <c r="LTY807" s="3787"/>
      <c r="LTZ807" s="3787"/>
      <c r="LUA807" s="3787"/>
      <c r="LUB807" s="3787"/>
      <c r="LUC807" s="3787"/>
      <c r="LUD807" s="3787"/>
      <c r="LUE807" s="3787"/>
      <c r="LUF807" s="3787"/>
      <c r="LUG807" s="3787"/>
      <c r="LUH807" s="3787"/>
      <c r="LUI807" s="3787"/>
      <c r="LUJ807" s="3787"/>
      <c r="LUK807" s="3787"/>
      <c r="LUL807" s="3787"/>
      <c r="LUM807" s="3787"/>
      <c r="LUN807" s="3787"/>
      <c r="LUO807" s="3787"/>
      <c r="LUP807" s="3787"/>
      <c r="LUQ807" s="3787"/>
      <c r="LUR807" s="3787"/>
      <c r="LUS807" s="3787"/>
      <c r="LUT807" s="3787"/>
      <c r="LUU807" s="3787"/>
      <c r="LUV807" s="3787"/>
      <c r="LUW807" s="3787"/>
      <c r="LUX807" s="3787"/>
      <c r="LUY807" s="3787"/>
      <c r="LUZ807" s="3787"/>
      <c r="LVA807" s="3787"/>
      <c r="LVB807" s="3787"/>
      <c r="LVC807" s="3787"/>
      <c r="LVD807" s="3787"/>
      <c r="LVE807" s="3787"/>
      <c r="LVF807" s="3787"/>
      <c r="LVG807" s="3787"/>
      <c r="LVH807" s="3787"/>
      <c r="LVI807" s="3787"/>
      <c r="LVJ807" s="3787"/>
      <c r="LVK807" s="3787"/>
      <c r="LVL807" s="3787"/>
      <c r="LVM807" s="3787"/>
      <c r="LVN807" s="3787"/>
      <c r="LVO807" s="3787"/>
      <c r="LVP807" s="3787"/>
      <c r="LVQ807" s="3787"/>
      <c r="LVR807" s="3787"/>
      <c r="LVS807" s="3787"/>
      <c r="LVT807" s="3787"/>
      <c r="LVU807" s="3787"/>
      <c r="LVZ807" s="3787"/>
      <c r="LWF807" s="3787"/>
      <c r="LWG807" s="3787"/>
      <c r="LWH807" s="3787"/>
      <c r="LWL807" s="3787"/>
      <c r="LWS807" s="3787"/>
      <c r="LWT807" s="3787"/>
      <c r="LWU807" s="3787"/>
      <c r="LWV807" s="3787"/>
      <c r="LWW807" s="3787"/>
      <c r="LWX807" s="3787"/>
      <c r="LWY807" s="3787"/>
      <c r="LWZ807" s="3787"/>
      <c r="LXA807" s="3787"/>
      <c r="LXB807" s="3787"/>
      <c r="LXC807" s="3787"/>
      <c r="LXD807" s="3787"/>
      <c r="LXE807" s="3787"/>
      <c r="LXF807" s="3787"/>
      <c r="LXG807" s="3787"/>
      <c r="LXH807" s="3787"/>
      <c r="LXI807" s="3787"/>
      <c r="LXJ807" s="3787"/>
      <c r="LXK807" s="3787"/>
      <c r="LXL807" s="3787"/>
      <c r="LXM807" s="3787"/>
      <c r="LXN807" s="3787"/>
      <c r="LXO807" s="3787"/>
      <c r="LXP807" s="3787"/>
      <c r="LXQ807" s="3787"/>
      <c r="LXR807" s="3787"/>
      <c r="LXS807" s="3787"/>
      <c r="LXT807" s="3787"/>
      <c r="LXU807" s="3787"/>
      <c r="LXV807" s="3787"/>
      <c r="LXW807" s="3787"/>
      <c r="LXX807" s="3787"/>
      <c r="LXY807" s="3787"/>
      <c r="LXZ807" s="3787"/>
      <c r="LYA807" s="3787"/>
      <c r="LYB807" s="3787"/>
      <c r="LYC807" s="3787"/>
      <c r="LYD807" s="3787"/>
      <c r="LYE807" s="3787"/>
      <c r="LYF807" s="3787"/>
      <c r="LYG807" s="3787"/>
      <c r="LYH807" s="3787"/>
      <c r="LYI807" s="3787"/>
      <c r="LYJ807" s="3787"/>
      <c r="LYK807" s="3787"/>
      <c r="LYL807" s="3787"/>
      <c r="LYM807" s="3787"/>
      <c r="LYN807" s="3787"/>
      <c r="LYO807" s="3787"/>
      <c r="LYP807" s="3787"/>
      <c r="LYQ807" s="3787"/>
      <c r="LYR807" s="3787"/>
      <c r="LYS807" s="3787"/>
      <c r="LYT807" s="3787"/>
      <c r="LYU807" s="3787"/>
      <c r="LYV807" s="3787"/>
      <c r="LYW807" s="3787"/>
      <c r="LYX807" s="3787"/>
      <c r="LYY807" s="3787"/>
      <c r="LYZ807" s="3787"/>
      <c r="LZA807" s="3787"/>
      <c r="LZB807" s="3787"/>
      <c r="LZC807" s="3787"/>
      <c r="LZD807" s="3787"/>
      <c r="LZE807" s="3787"/>
      <c r="LZF807" s="3787"/>
      <c r="LZG807" s="3787"/>
      <c r="LZH807" s="3787"/>
      <c r="LZI807" s="3787"/>
      <c r="LZJ807" s="3787"/>
      <c r="LZK807" s="3787"/>
      <c r="LZL807" s="3787"/>
      <c r="LZM807" s="3787"/>
      <c r="LZN807" s="3787"/>
      <c r="LZO807" s="3787"/>
      <c r="LZP807" s="3787"/>
      <c r="LZQ807" s="3787"/>
      <c r="LZR807" s="3787"/>
      <c r="LZS807" s="3787"/>
      <c r="LZT807" s="3787"/>
      <c r="LZU807" s="3787"/>
      <c r="LZV807" s="3787"/>
      <c r="LZW807" s="3787"/>
      <c r="LZX807" s="3787"/>
      <c r="LZY807" s="3787"/>
      <c r="LZZ807" s="3787"/>
      <c r="MAA807" s="3787"/>
      <c r="MAB807" s="3787"/>
      <c r="MAC807" s="3787"/>
      <c r="MAD807" s="3787"/>
      <c r="MAE807" s="3787"/>
      <c r="MAF807" s="3787"/>
      <c r="MAG807" s="3787"/>
      <c r="MAH807" s="3787"/>
      <c r="MAI807" s="3787"/>
      <c r="MAJ807" s="3787"/>
      <c r="MAK807" s="3787"/>
      <c r="MAL807" s="3787"/>
      <c r="MAM807" s="3787"/>
      <c r="MAN807" s="3787"/>
      <c r="MAO807" s="3787"/>
      <c r="MAP807" s="3787"/>
      <c r="MAQ807" s="3787"/>
      <c r="MAR807" s="3787"/>
      <c r="MAS807" s="3787"/>
      <c r="MAT807" s="3787"/>
      <c r="MAU807" s="3787"/>
      <c r="MAV807" s="3787"/>
      <c r="MAW807" s="3787"/>
      <c r="MAX807" s="3787"/>
      <c r="MAY807" s="3787"/>
      <c r="MAZ807" s="3787"/>
      <c r="MBA807" s="3787"/>
      <c r="MBB807" s="3787"/>
      <c r="MBC807" s="3787"/>
      <c r="MBD807" s="3787"/>
      <c r="MBE807" s="3787"/>
      <c r="MBF807" s="3787"/>
      <c r="MBG807" s="3787"/>
      <c r="MBH807" s="3787"/>
      <c r="MBI807" s="3787"/>
      <c r="MBJ807" s="3787"/>
      <c r="MBK807" s="3787"/>
      <c r="MBL807" s="3787"/>
      <c r="MBM807" s="3787"/>
      <c r="MBN807" s="3787"/>
      <c r="MBO807" s="3787"/>
      <c r="MBP807" s="3787"/>
      <c r="MBQ807" s="3787"/>
      <c r="MBR807" s="3787"/>
      <c r="MBS807" s="3787"/>
      <c r="MBT807" s="3787"/>
      <c r="MBU807" s="3787"/>
      <c r="MBV807" s="3787"/>
      <c r="MBW807" s="3787"/>
      <c r="MBX807" s="3787"/>
      <c r="MBY807" s="3787"/>
      <c r="MBZ807" s="3787"/>
      <c r="MCA807" s="3787"/>
      <c r="MCB807" s="3787"/>
      <c r="MCC807" s="3787"/>
      <c r="MCD807" s="3787"/>
      <c r="MCE807" s="3787"/>
      <c r="MCF807" s="3787"/>
      <c r="MCG807" s="3787"/>
      <c r="MCH807" s="3787"/>
      <c r="MCI807" s="3787"/>
      <c r="MCJ807" s="3787"/>
      <c r="MCK807" s="3787"/>
      <c r="MCL807" s="3787"/>
      <c r="MCM807" s="3787"/>
      <c r="MCN807" s="3787"/>
      <c r="MCO807" s="3787"/>
      <c r="MCP807" s="3787"/>
      <c r="MCQ807" s="3787"/>
      <c r="MCR807" s="3787"/>
      <c r="MCS807" s="3787"/>
      <c r="MCT807" s="3787"/>
      <c r="MCU807" s="3787"/>
      <c r="MCV807" s="3787"/>
      <c r="MCW807" s="3787"/>
      <c r="MCX807" s="3787"/>
      <c r="MCY807" s="3787"/>
      <c r="MCZ807" s="3787"/>
      <c r="MDA807" s="3787"/>
      <c r="MDB807" s="3787"/>
      <c r="MDC807" s="3787"/>
      <c r="MDD807" s="3787"/>
      <c r="MDE807" s="3787"/>
      <c r="MDF807" s="3787"/>
      <c r="MDG807" s="3787"/>
      <c r="MDH807" s="3787"/>
      <c r="MDI807" s="3787"/>
      <c r="MDJ807" s="3787"/>
      <c r="MDK807" s="3787"/>
      <c r="MDL807" s="3787"/>
      <c r="MDM807" s="3787"/>
      <c r="MDN807" s="3787"/>
      <c r="MDO807" s="3787"/>
      <c r="MDP807" s="3787"/>
      <c r="MDQ807" s="3787"/>
      <c r="MDR807" s="3787"/>
      <c r="MDS807" s="3787"/>
      <c r="MDT807" s="3787"/>
      <c r="MDU807" s="3787"/>
      <c r="MDV807" s="3787"/>
      <c r="MDW807" s="3787"/>
      <c r="MDX807" s="3787"/>
      <c r="MDY807" s="3787"/>
      <c r="MDZ807" s="3787"/>
      <c r="MEA807" s="3787"/>
      <c r="MEB807" s="3787"/>
      <c r="MEC807" s="3787"/>
      <c r="MED807" s="3787"/>
      <c r="MEE807" s="3787"/>
      <c r="MEF807" s="3787"/>
      <c r="MEG807" s="3787"/>
      <c r="MEH807" s="3787"/>
      <c r="MEI807" s="3787"/>
      <c r="MEJ807" s="3787"/>
      <c r="MEK807" s="3787"/>
      <c r="MEL807" s="3787"/>
      <c r="MEM807" s="3787"/>
      <c r="MEN807" s="3787"/>
      <c r="MEO807" s="3787"/>
      <c r="MEP807" s="3787"/>
      <c r="MEQ807" s="3787"/>
      <c r="MER807" s="3787"/>
      <c r="MES807" s="3787"/>
      <c r="MET807" s="3787"/>
      <c r="MEU807" s="3787"/>
      <c r="MEV807" s="3787"/>
      <c r="MEW807" s="3787"/>
      <c r="MEX807" s="3787"/>
      <c r="MEY807" s="3787"/>
      <c r="MEZ807" s="3787"/>
      <c r="MFA807" s="3787"/>
      <c r="MFB807" s="3787"/>
      <c r="MFC807" s="3787"/>
      <c r="MFD807" s="3787"/>
      <c r="MFE807" s="3787"/>
      <c r="MFF807" s="3787"/>
      <c r="MFG807" s="3787"/>
      <c r="MFH807" s="3787"/>
      <c r="MFI807" s="3787"/>
      <c r="MFJ807" s="3787"/>
      <c r="MFK807" s="3787"/>
      <c r="MFL807" s="3787"/>
      <c r="MFM807" s="3787"/>
      <c r="MFN807" s="3787"/>
      <c r="MFO807" s="3787"/>
      <c r="MFP807" s="3787"/>
      <c r="MFQ807" s="3787"/>
      <c r="MFV807" s="3787"/>
      <c r="MGB807" s="3787"/>
      <c r="MGC807" s="3787"/>
      <c r="MGD807" s="3787"/>
      <c r="MGH807" s="3787"/>
      <c r="MGO807" s="3787"/>
      <c r="MGP807" s="3787"/>
      <c r="MGQ807" s="3787"/>
      <c r="MGR807" s="3787"/>
      <c r="MGS807" s="3787"/>
      <c r="MGT807" s="3787"/>
      <c r="MGU807" s="3787"/>
      <c r="MGV807" s="3787"/>
      <c r="MGW807" s="3787"/>
      <c r="MGX807" s="3787"/>
      <c r="MGY807" s="3787"/>
      <c r="MGZ807" s="3787"/>
      <c r="MHA807" s="3787"/>
      <c r="MHB807" s="3787"/>
      <c r="MHC807" s="3787"/>
      <c r="MHD807" s="3787"/>
      <c r="MHE807" s="3787"/>
      <c r="MHF807" s="3787"/>
      <c r="MHG807" s="3787"/>
      <c r="MHH807" s="3787"/>
      <c r="MHI807" s="3787"/>
      <c r="MHJ807" s="3787"/>
      <c r="MHK807" s="3787"/>
      <c r="MHL807" s="3787"/>
      <c r="MHM807" s="3787"/>
      <c r="MHN807" s="3787"/>
      <c r="MHO807" s="3787"/>
      <c r="MHP807" s="3787"/>
      <c r="MHQ807" s="3787"/>
      <c r="MHR807" s="3787"/>
      <c r="MHS807" s="3787"/>
      <c r="MHT807" s="3787"/>
      <c r="MHU807" s="3787"/>
      <c r="MHV807" s="3787"/>
      <c r="MHW807" s="3787"/>
      <c r="MHX807" s="3787"/>
      <c r="MHY807" s="3787"/>
      <c r="MHZ807" s="3787"/>
      <c r="MIA807" s="3787"/>
      <c r="MIB807" s="3787"/>
      <c r="MIC807" s="3787"/>
      <c r="MID807" s="3787"/>
      <c r="MIE807" s="3787"/>
      <c r="MIF807" s="3787"/>
      <c r="MIG807" s="3787"/>
      <c r="MIH807" s="3787"/>
      <c r="MII807" s="3787"/>
      <c r="MIJ807" s="3787"/>
      <c r="MIK807" s="3787"/>
      <c r="MIL807" s="3787"/>
      <c r="MIM807" s="3787"/>
      <c r="MIN807" s="3787"/>
      <c r="MIO807" s="3787"/>
      <c r="MIP807" s="3787"/>
      <c r="MIQ807" s="3787"/>
      <c r="MIR807" s="3787"/>
      <c r="MIS807" s="3787"/>
      <c r="MIT807" s="3787"/>
      <c r="MIU807" s="3787"/>
      <c r="MIV807" s="3787"/>
      <c r="MIW807" s="3787"/>
      <c r="MIX807" s="3787"/>
      <c r="MIY807" s="3787"/>
      <c r="MIZ807" s="3787"/>
      <c r="MJA807" s="3787"/>
      <c r="MJB807" s="3787"/>
      <c r="MJC807" s="3787"/>
      <c r="MJD807" s="3787"/>
      <c r="MJE807" s="3787"/>
      <c r="MJF807" s="3787"/>
      <c r="MJG807" s="3787"/>
      <c r="MJH807" s="3787"/>
      <c r="MJI807" s="3787"/>
      <c r="MJJ807" s="3787"/>
      <c r="MJK807" s="3787"/>
      <c r="MJL807" s="3787"/>
      <c r="MJM807" s="3787"/>
      <c r="MJN807" s="3787"/>
      <c r="MJO807" s="3787"/>
      <c r="MJP807" s="3787"/>
      <c r="MJQ807" s="3787"/>
      <c r="MJR807" s="3787"/>
      <c r="MJS807" s="3787"/>
      <c r="MJT807" s="3787"/>
      <c r="MJU807" s="3787"/>
      <c r="MJV807" s="3787"/>
      <c r="MJW807" s="3787"/>
      <c r="MJX807" s="3787"/>
      <c r="MJY807" s="3787"/>
      <c r="MJZ807" s="3787"/>
      <c r="MKA807" s="3787"/>
      <c r="MKB807" s="3787"/>
      <c r="MKC807" s="3787"/>
      <c r="MKD807" s="3787"/>
      <c r="MKE807" s="3787"/>
      <c r="MKF807" s="3787"/>
      <c r="MKG807" s="3787"/>
      <c r="MKH807" s="3787"/>
      <c r="MKI807" s="3787"/>
      <c r="MKJ807" s="3787"/>
      <c r="MKK807" s="3787"/>
      <c r="MKL807" s="3787"/>
      <c r="MKM807" s="3787"/>
      <c r="MKN807" s="3787"/>
      <c r="MKO807" s="3787"/>
      <c r="MKP807" s="3787"/>
      <c r="MKQ807" s="3787"/>
      <c r="MKR807" s="3787"/>
      <c r="MKS807" s="3787"/>
      <c r="MKT807" s="3787"/>
      <c r="MKU807" s="3787"/>
      <c r="MKV807" s="3787"/>
      <c r="MKW807" s="3787"/>
      <c r="MKX807" s="3787"/>
      <c r="MKY807" s="3787"/>
      <c r="MKZ807" s="3787"/>
      <c r="MLA807" s="3787"/>
      <c r="MLB807" s="3787"/>
      <c r="MLC807" s="3787"/>
      <c r="MLD807" s="3787"/>
      <c r="MLE807" s="3787"/>
      <c r="MLF807" s="3787"/>
      <c r="MLG807" s="3787"/>
      <c r="MLH807" s="3787"/>
      <c r="MLI807" s="3787"/>
      <c r="MLJ807" s="3787"/>
      <c r="MLK807" s="3787"/>
      <c r="MLL807" s="3787"/>
      <c r="MLM807" s="3787"/>
      <c r="MLN807" s="3787"/>
      <c r="MLO807" s="3787"/>
      <c r="MLP807" s="3787"/>
      <c r="MLQ807" s="3787"/>
      <c r="MLR807" s="3787"/>
      <c r="MLS807" s="3787"/>
      <c r="MLT807" s="3787"/>
      <c r="MLU807" s="3787"/>
      <c r="MLV807" s="3787"/>
      <c r="MLW807" s="3787"/>
      <c r="MLX807" s="3787"/>
      <c r="MLY807" s="3787"/>
      <c r="MLZ807" s="3787"/>
      <c r="MMA807" s="3787"/>
      <c r="MMB807" s="3787"/>
      <c r="MMC807" s="3787"/>
      <c r="MMD807" s="3787"/>
      <c r="MME807" s="3787"/>
      <c r="MMF807" s="3787"/>
      <c r="MMG807" s="3787"/>
      <c r="MMH807" s="3787"/>
      <c r="MMI807" s="3787"/>
      <c r="MMJ807" s="3787"/>
      <c r="MMK807" s="3787"/>
      <c r="MML807" s="3787"/>
      <c r="MMM807" s="3787"/>
      <c r="MMN807" s="3787"/>
      <c r="MMO807" s="3787"/>
      <c r="MMP807" s="3787"/>
      <c r="MMQ807" s="3787"/>
      <c r="MMR807" s="3787"/>
      <c r="MMS807" s="3787"/>
      <c r="MMT807" s="3787"/>
      <c r="MMU807" s="3787"/>
      <c r="MMV807" s="3787"/>
      <c r="MMW807" s="3787"/>
      <c r="MMX807" s="3787"/>
      <c r="MMY807" s="3787"/>
      <c r="MMZ807" s="3787"/>
      <c r="MNA807" s="3787"/>
      <c r="MNB807" s="3787"/>
      <c r="MNC807" s="3787"/>
      <c r="MND807" s="3787"/>
      <c r="MNE807" s="3787"/>
      <c r="MNF807" s="3787"/>
      <c r="MNG807" s="3787"/>
      <c r="MNH807" s="3787"/>
      <c r="MNI807" s="3787"/>
      <c r="MNJ807" s="3787"/>
      <c r="MNK807" s="3787"/>
      <c r="MNL807" s="3787"/>
      <c r="MNM807" s="3787"/>
      <c r="MNN807" s="3787"/>
      <c r="MNO807" s="3787"/>
      <c r="MNP807" s="3787"/>
      <c r="MNQ807" s="3787"/>
      <c r="MNR807" s="3787"/>
      <c r="MNS807" s="3787"/>
      <c r="MNT807" s="3787"/>
      <c r="MNU807" s="3787"/>
      <c r="MNV807" s="3787"/>
      <c r="MNW807" s="3787"/>
      <c r="MNX807" s="3787"/>
      <c r="MNY807" s="3787"/>
      <c r="MNZ807" s="3787"/>
      <c r="MOA807" s="3787"/>
      <c r="MOB807" s="3787"/>
      <c r="MOC807" s="3787"/>
      <c r="MOD807" s="3787"/>
      <c r="MOE807" s="3787"/>
      <c r="MOF807" s="3787"/>
      <c r="MOG807" s="3787"/>
      <c r="MOH807" s="3787"/>
      <c r="MOI807" s="3787"/>
      <c r="MOJ807" s="3787"/>
      <c r="MOK807" s="3787"/>
      <c r="MOL807" s="3787"/>
      <c r="MOM807" s="3787"/>
      <c r="MON807" s="3787"/>
      <c r="MOO807" s="3787"/>
      <c r="MOP807" s="3787"/>
      <c r="MOQ807" s="3787"/>
      <c r="MOR807" s="3787"/>
      <c r="MOS807" s="3787"/>
      <c r="MOT807" s="3787"/>
      <c r="MOU807" s="3787"/>
      <c r="MOV807" s="3787"/>
      <c r="MOW807" s="3787"/>
      <c r="MOX807" s="3787"/>
      <c r="MOY807" s="3787"/>
      <c r="MOZ807" s="3787"/>
      <c r="MPA807" s="3787"/>
      <c r="MPB807" s="3787"/>
      <c r="MPC807" s="3787"/>
      <c r="MPD807" s="3787"/>
      <c r="MPE807" s="3787"/>
      <c r="MPF807" s="3787"/>
      <c r="MPG807" s="3787"/>
      <c r="MPH807" s="3787"/>
      <c r="MPI807" s="3787"/>
      <c r="MPJ807" s="3787"/>
      <c r="MPK807" s="3787"/>
      <c r="MPL807" s="3787"/>
      <c r="MPM807" s="3787"/>
      <c r="MPR807" s="3787"/>
      <c r="MPX807" s="3787"/>
      <c r="MPY807" s="3787"/>
      <c r="MPZ807" s="3787"/>
      <c r="MQD807" s="3787"/>
      <c r="MQK807" s="3787"/>
      <c r="MQL807" s="3787"/>
      <c r="MQM807" s="3787"/>
      <c r="MQN807" s="3787"/>
      <c r="MQO807" s="3787"/>
      <c r="MQP807" s="3787"/>
      <c r="MQQ807" s="3787"/>
      <c r="MQR807" s="3787"/>
      <c r="MQS807" s="3787"/>
      <c r="MQT807" s="3787"/>
      <c r="MQU807" s="3787"/>
      <c r="MQV807" s="3787"/>
      <c r="MQW807" s="3787"/>
      <c r="MQX807" s="3787"/>
      <c r="MQY807" s="3787"/>
      <c r="MQZ807" s="3787"/>
      <c r="MRA807" s="3787"/>
      <c r="MRB807" s="3787"/>
      <c r="MRC807" s="3787"/>
      <c r="MRD807" s="3787"/>
      <c r="MRE807" s="3787"/>
      <c r="MRF807" s="3787"/>
      <c r="MRG807" s="3787"/>
      <c r="MRH807" s="3787"/>
      <c r="MRI807" s="3787"/>
      <c r="MRJ807" s="3787"/>
      <c r="MRK807" s="3787"/>
      <c r="MRL807" s="3787"/>
      <c r="MRM807" s="3787"/>
      <c r="MRN807" s="3787"/>
      <c r="MRO807" s="3787"/>
      <c r="MRP807" s="3787"/>
      <c r="MRQ807" s="3787"/>
      <c r="MRR807" s="3787"/>
      <c r="MRS807" s="3787"/>
      <c r="MRT807" s="3787"/>
      <c r="MRU807" s="3787"/>
      <c r="MRV807" s="3787"/>
      <c r="MRW807" s="3787"/>
      <c r="MRX807" s="3787"/>
      <c r="MRY807" s="3787"/>
      <c r="MRZ807" s="3787"/>
      <c r="MSA807" s="3787"/>
      <c r="MSB807" s="3787"/>
      <c r="MSC807" s="3787"/>
      <c r="MSD807" s="3787"/>
      <c r="MSE807" s="3787"/>
      <c r="MSF807" s="3787"/>
      <c r="MSG807" s="3787"/>
      <c r="MSH807" s="3787"/>
      <c r="MSI807" s="3787"/>
      <c r="MSJ807" s="3787"/>
      <c r="MSK807" s="3787"/>
      <c r="MSL807" s="3787"/>
      <c r="MSM807" s="3787"/>
      <c r="MSN807" s="3787"/>
      <c r="MSO807" s="3787"/>
      <c r="MSP807" s="3787"/>
      <c r="MSQ807" s="3787"/>
      <c r="MSR807" s="3787"/>
      <c r="MSS807" s="3787"/>
      <c r="MST807" s="3787"/>
      <c r="MSU807" s="3787"/>
      <c r="MSV807" s="3787"/>
      <c r="MSW807" s="3787"/>
      <c r="MSX807" s="3787"/>
      <c r="MSY807" s="3787"/>
      <c r="MSZ807" s="3787"/>
      <c r="MTA807" s="3787"/>
      <c r="MTB807" s="3787"/>
      <c r="MTC807" s="3787"/>
      <c r="MTD807" s="3787"/>
      <c r="MTE807" s="3787"/>
      <c r="MTF807" s="3787"/>
      <c r="MTG807" s="3787"/>
      <c r="MTH807" s="3787"/>
      <c r="MTI807" s="3787"/>
      <c r="MTJ807" s="3787"/>
      <c r="MTK807" s="3787"/>
      <c r="MTL807" s="3787"/>
      <c r="MTM807" s="3787"/>
      <c r="MTN807" s="3787"/>
      <c r="MTO807" s="3787"/>
      <c r="MTP807" s="3787"/>
      <c r="MTQ807" s="3787"/>
      <c r="MTR807" s="3787"/>
      <c r="MTS807" s="3787"/>
      <c r="MTT807" s="3787"/>
      <c r="MTU807" s="3787"/>
      <c r="MTV807" s="3787"/>
      <c r="MTW807" s="3787"/>
      <c r="MTX807" s="3787"/>
      <c r="MTY807" s="3787"/>
      <c r="MTZ807" s="3787"/>
      <c r="MUA807" s="3787"/>
      <c r="MUB807" s="3787"/>
      <c r="MUC807" s="3787"/>
      <c r="MUD807" s="3787"/>
      <c r="MUE807" s="3787"/>
      <c r="MUF807" s="3787"/>
      <c r="MUG807" s="3787"/>
      <c r="MUH807" s="3787"/>
      <c r="MUI807" s="3787"/>
      <c r="MUJ807" s="3787"/>
      <c r="MUK807" s="3787"/>
      <c r="MUL807" s="3787"/>
      <c r="MUM807" s="3787"/>
      <c r="MUN807" s="3787"/>
      <c r="MUO807" s="3787"/>
      <c r="MUP807" s="3787"/>
      <c r="MUQ807" s="3787"/>
      <c r="MUR807" s="3787"/>
      <c r="MUS807" s="3787"/>
      <c r="MUT807" s="3787"/>
      <c r="MUU807" s="3787"/>
      <c r="MUV807" s="3787"/>
      <c r="MUW807" s="3787"/>
      <c r="MUX807" s="3787"/>
      <c r="MUY807" s="3787"/>
      <c r="MUZ807" s="3787"/>
      <c r="MVA807" s="3787"/>
      <c r="MVB807" s="3787"/>
      <c r="MVC807" s="3787"/>
      <c r="MVD807" s="3787"/>
      <c r="MVE807" s="3787"/>
      <c r="MVF807" s="3787"/>
      <c r="MVG807" s="3787"/>
      <c r="MVH807" s="3787"/>
      <c r="MVI807" s="3787"/>
      <c r="MVJ807" s="3787"/>
      <c r="MVK807" s="3787"/>
      <c r="MVL807" s="3787"/>
      <c r="MVM807" s="3787"/>
      <c r="MVN807" s="3787"/>
      <c r="MVO807" s="3787"/>
      <c r="MVP807" s="3787"/>
      <c r="MVQ807" s="3787"/>
      <c r="MVR807" s="3787"/>
      <c r="MVS807" s="3787"/>
      <c r="MVT807" s="3787"/>
      <c r="MVU807" s="3787"/>
      <c r="MVV807" s="3787"/>
      <c r="MVW807" s="3787"/>
      <c r="MVX807" s="3787"/>
      <c r="MVY807" s="3787"/>
      <c r="MVZ807" s="3787"/>
      <c r="MWA807" s="3787"/>
      <c r="MWB807" s="3787"/>
      <c r="MWC807" s="3787"/>
      <c r="MWD807" s="3787"/>
      <c r="MWE807" s="3787"/>
      <c r="MWF807" s="3787"/>
      <c r="MWG807" s="3787"/>
      <c r="MWH807" s="3787"/>
      <c r="MWI807" s="3787"/>
      <c r="MWJ807" s="3787"/>
      <c r="MWK807" s="3787"/>
      <c r="MWL807" s="3787"/>
      <c r="MWM807" s="3787"/>
      <c r="MWN807" s="3787"/>
      <c r="MWO807" s="3787"/>
      <c r="MWP807" s="3787"/>
      <c r="MWQ807" s="3787"/>
      <c r="MWR807" s="3787"/>
      <c r="MWS807" s="3787"/>
      <c r="MWT807" s="3787"/>
      <c r="MWU807" s="3787"/>
      <c r="MWV807" s="3787"/>
      <c r="MWW807" s="3787"/>
      <c r="MWX807" s="3787"/>
      <c r="MWY807" s="3787"/>
      <c r="MWZ807" s="3787"/>
      <c r="MXA807" s="3787"/>
      <c r="MXB807" s="3787"/>
      <c r="MXC807" s="3787"/>
      <c r="MXD807" s="3787"/>
      <c r="MXE807" s="3787"/>
      <c r="MXF807" s="3787"/>
      <c r="MXG807" s="3787"/>
      <c r="MXH807" s="3787"/>
      <c r="MXI807" s="3787"/>
      <c r="MXJ807" s="3787"/>
      <c r="MXK807" s="3787"/>
      <c r="MXL807" s="3787"/>
      <c r="MXM807" s="3787"/>
      <c r="MXN807" s="3787"/>
      <c r="MXO807" s="3787"/>
      <c r="MXP807" s="3787"/>
      <c r="MXQ807" s="3787"/>
      <c r="MXR807" s="3787"/>
      <c r="MXS807" s="3787"/>
      <c r="MXT807" s="3787"/>
      <c r="MXU807" s="3787"/>
      <c r="MXV807" s="3787"/>
      <c r="MXW807" s="3787"/>
      <c r="MXX807" s="3787"/>
      <c r="MXY807" s="3787"/>
      <c r="MXZ807" s="3787"/>
      <c r="MYA807" s="3787"/>
      <c r="MYB807" s="3787"/>
      <c r="MYC807" s="3787"/>
      <c r="MYD807" s="3787"/>
      <c r="MYE807" s="3787"/>
      <c r="MYF807" s="3787"/>
      <c r="MYG807" s="3787"/>
      <c r="MYH807" s="3787"/>
      <c r="MYI807" s="3787"/>
      <c r="MYJ807" s="3787"/>
      <c r="MYK807" s="3787"/>
      <c r="MYL807" s="3787"/>
      <c r="MYM807" s="3787"/>
      <c r="MYN807" s="3787"/>
      <c r="MYO807" s="3787"/>
      <c r="MYP807" s="3787"/>
      <c r="MYQ807" s="3787"/>
      <c r="MYR807" s="3787"/>
      <c r="MYS807" s="3787"/>
      <c r="MYT807" s="3787"/>
      <c r="MYU807" s="3787"/>
      <c r="MYV807" s="3787"/>
      <c r="MYW807" s="3787"/>
      <c r="MYX807" s="3787"/>
      <c r="MYY807" s="3787"/>
      <c r="MYZ807" s="3787"/>
      <c r="MZA807" s="3787"/>
      <c r="MZB807" s="3787"/>
      <c r="MZC807" s="3787"/>
      <c r="MZD807" s="3787"/>
      <c r="MZE807" s="3787"/>
      <c r="MZF807" s="3787"/>
      <c r="MZG807" s="3787"/>
      <c r="MZH807" s="3787"/>
      <c r="MZI807" s="3787"/>
      <c r="MZN807" s="3787"/>
      <c r="MZT807" s="3787"/>
      <c r="MZU807" s="3787"/>
      <c r="MZV807" s="3787"/>
      <c r="MZZ807" s="3787"/>
      <c r="NAG807" s="3787"/>
      <c r="NAH807" s="3787"/>
      <c r="NAI807" s="3787"/>
      <c r="NAJ807" s="3787"/>
      <c r="NAK807" s="3787"/>
      <c r="NAL807" s="3787"/>
      <c r="NAM807" s="3787"/>
      <c r="NAN807" s="3787"/>
      <c r="NAO807" s="3787"/>
      <c r="NAP807" s="3787"/>
      <c r="NAQ807" s="3787"/>
      <c r="NAR807" s="3787"/>
      <c r="NAS807" s="3787"/>
      <c r="NAT807" s="3787"/>
      <c r="NAU807" s="3787"/>
      <c r="NAV807" s="3787"/>
      <c r="NAW807" s="3787"/>
      <c r="NAX807" s="3787"/>
      <c r="NAY807" s="3787"/>
      <c r="NAZ807" s="3787"/>
      <c r="NBA807" s="3787"/>
      <c r="NBB807" s="3787"/>
      <c r="NBC807" s="3787"/>
      <c r="NBD807" s="3787"/>
      <c r="NBE807" s="3787"/>
      <c r="NBF807" s="3787"/>
      <c r="NBG807" s="3787"/>
      <c r="NBH807" s="3787"/>
      <c r="NBI807" s="3787"/>
      <c r="NBJ807" s="3787"/>
      <c r="NBK807" s="3787"/>
      <c r="NBL807" s="3787"/>
      <c r="NBM807" s="3787"/>
      <c r="NBN807" s="3787"/>
      <c r="NBO807" s="3787"/>
      <c r="NBP807" s="3787"/>
      <c r="NBQ807" s="3787"/>
      <c r="NBR807" s="3787"/>
      <c r="NBS807" s="3787"/>
      <c r="NBT807" s="3787"/>
      <c r="NBU807" s="3787"/>
      <c r="NBV807" s="3787"/>
      <c r="NBW807" s="3787"/>
      <c r="NBX807" s="3787"/>
      <c r="NBY807" s="3787"/>
      <c r="NBZ807" s="3787"/>
      <c r="NCA807" s="3787"/>
      <c r="NCB807" s="3787"/>
      <c r="NCC807" s="3787"/>
      <c r="NCD807" s="3787"/>
      <c r="NCE807" s="3787"/>
      <c r="NCF807" s="3787"/>
      <c r="NCG807" s="3787"/>
      <c r="NCH807" s="3787"/>
      <c r="NCI807" s="3787"/>
      <c r="NCJ807" s="3787"/>
      <c r="NCK807" s="3787"/>
      <c r="NCL807" s="3787"/>
      <c r="NCM807" s="3787"/>
      <c r="NCN807" s="3787"/>
      <c r="NCO807" s="3787"/>
      <c r="NCP807" s="3787"/>
      <c r="NCQ807" s="3787"/>
      <c r="NCR807" s="3787"/>
      <c r="NCS807" s="3787"/>
      <c r="NCT807" s="3787"/>
      <c r="NCU807" s="3787"/>
      <c r="NCV807" s="3787"/>
      <c r="NCW807" s="3787"/>
      <c r="NCX807" s="3787"/>
      <c r="NCY807" s="3787"/>
      <c r="NCZ807" s="3787"/>
      <c r="NDA807" s="3787"/>
      <c r="NDB807" s="3787"/>
      <c r="NDC807" s="3787"/>
      <c r="NDD807" s="3787"/>
      <c r="NDE807" s="3787"/>
      <c r="NDF807" s="3787"/>
      <c r="NDG807" s="3787"/>
      <c r="NDH807" s="3787"/>
      <c r="NDI807" s="3787"/>
      <c r="NDJ807" s="3787"/>
      <c r="NDK807" s="3787"/>
      <c r="NDL807" s="3787"/>
      <c r="NDM807" s="3787"/>
      <c r="NDN807" s="3787"/>
      <c r="NDO807" s="3787"/>
      <c r="NDP807" s="3787"/>
      <c r="NDQ807" s="3787"/>
      <c r="NDR807" s="3787"/>
      <c r="NDS807" s="3787"/>
      <c r="NDT807" s="3787"/>
      <c r="NDU807" s="3787"/>
      <c r="NDV807" s="3787"/>
      <c r="NDW807" s="3787"/>
      <c r="NDX807" s="3787"/>
      <c r="NDY807" s="3787"/>
      <c r="NDZ807" s="3787"/>
      <c r="NEA807" s="3787"/>
      <c r="NEB807" s="3787"/>
      <c r="NEC807" s="3787"/>
      <c r="NED807" s="3787"/>
      <c r="NEE807" s="3787"/>
      <c r="NEF807" s="3787"/>
      <c r="NEG807" s="3787"/>
      <c r="NEH807" s="3787"/>
      <c r="NEI807" s="3787"/>
      <c r="NEJ807" s="3787"/>
      <c r="NEK807" s="3787"/>
      <c r="NEL807" s="3787"/>
      <c r="NEM807" s="3787"/>
      <c r="NEN807" s="3787"/>
      <c r="NEO807" s="3787"/>
      <c r="NEP807" s="3787"/>
      <c r="NEQ807" s="3787"/>
      <c r="NER807" s="3787"/>
      <c r="NES807" s="3787"/>
      <c r="NET807" s="3787"/>
      <c r="NEU807" s="3787"/>
      <c r="NEV807" s="3787"/>
      <c r="NEW807" s="3787"/>
      <c r="NEX807" s="3787"/>
      <c r="NEY807" s="3787"/>
      <c r="NEZ807" s="3787"/>
      <c r="NFA807" s="3787"/>
      <c r="NFB807" s="3787"/>
      <c r="NFC807" s="3787"/>
      <c r="NFD807" s="3787"/>
      <c r="NFE807" s="3787"/>
      <c r="NFF807" s="3787"/>
      <c r="NFG807" s="3787"/>
      <c r="NFH807" s="3787"/>
      <c r="NFI807" s="3787"/>
      <c r="NFJ807" s="3787"/>
      <c r="NFK807" s="3787"/>
      <c r="NFL807" s="3787"/>
      <c r="NFM807" s="3787"/>
      <c r="NFN807" s="3787"/>
      <c r="NFO807" s="3787"/>
      <c r="NFP807" s="3787"/>
      <c r="NFQ807" s="3787"/>
      <c r="NFR807" s="3787"/>
      <c r="NFS807" s="3787"/>
      <c r="NFT807" s="3787"/>
      <c r="NFU807" s="3787"/>
      <c r="NFV807" s="3787"/>
      <c r="NFW807" s="3787"/>
      <c r="NFX807" s="3787"/>
      <c r="NFY807" s="3787"/>
      <c r="NFZ807" s="3787"/>
      <c r="NGA807" s="3787"/>
      <c r="NGB807" s="3787"/>
      <c r="NGC807" s="3787"/>
      <c r="NGD807" s="3787"/>
      <c r="NGE807" s="3787"/>
      <c r="NGF807" s="3787"/>
      <c r="NGG807" s="3787"/>
      <c r="NGH807" s="3787"/>
      <c r="NGI807" s="3787"/>
      <c r="NGJ807" s="3787"/>
      <c r="NGK807" s="3787"/>
      <c r="NGL807" s="3787"/>
      <c r="NGM807" s="3787"/>
      <c r="NGN807" s="3787"/>
      <c r="NGO807" s="3787"/>
      <c r="NGP807" s="3787"/>
      <c r="NGQ807" s="3787"/>
      <c r="NGR807" s="3787"/>
      <c r="NGS807" s="3787"/>
      <c r="NGT807" s="3787"/>
      <c r="NGU807" s="3787"/>
      <c r="NGV807" s="3787"/>
      <c r="NGW807" s="3787"/>
      <c r="NGX807" s="3787"/>
      <c r="NGY807" s="3787"/>
      <c r="NGZ807" s="3787"/>
      <c r="NHA807" s="3787"/>
      <c r="NHB807" s="3787"/>
      <c r="NHC807" s="3787"/>
      <c r="NHD807" s="3787"/>
      <c r="NHE807" s="3787"/>
      <c r="NHF807" s="3787"/>
      <c r="NHG807" s="3787"/>
      <c r="NHH807" s="3787"/>
      <c r="NHI807" s="3787"/>
      <c r="NHJ807" s="3787"/>
      <c r="NHK807" s="3787"/>
      <c r="NHL807" s="3787"/>
      <c r="NHM807" s="3787"/>
      <c r="NHN807" s="3787"/>
      <c r="NHO807" s="3787"/>
      <c r="NHP807" s="3787"/>
      <c r="NHQ807" s="3787"/>
      <c r="NHR807" s="3787"/>
      <c r="NHS807" s="3787"/>
      <c r="NHT807" s="3787"/>
      <c r="NHU807" s="3787"/>
      <c r="NHV807" s="3787"/>
      <c r="NHW807" s="3787"/>
      <c r="NHX807" s="3787"/>
      <c r="NHY807" s="3787"/>
      <c r="NHZ807" s="3787"/>
      <c r="NIA807" s="3787"/>
      <c r="NIB807" s="3787"/>
      <c r="NIC807" s="3787"/>
      <c r="NID807" s="3787"/>
      <c r="NIE807" s="3787"/>
      <c r="NIF807" s="3787"/>
      <c r="NIG807" s="3787"/>
      <c r="NIH807" s="3787"/>
      <c r="NII807" s="3787"/>
      <c r="NIJ807" s="3787"/>
      <c r="NIK807" s="3787"/>
      <c r="NIL807" s="3787"/>
      <c r="NIM807" s="3787"/>
      <c r="NIN807" s="3787"/>
      <c r="NIO807" s="3787"/>
      <c r="NIP807" s="3787"/>
      <c r="NIQ807" s="3787"/>
      <c r="NIR807" s="3787"/>
      <c r="NIS807" s="3787"/>
      <c r="NIT807" s="3787"/>
      <c r="NIU807" s="3787"/>
      <c r="NIV807" s="3787"/>
      <c r="NIW807" s="3787"/>
      <c r="NIX807" s="3787"/>
      <c r="NIY807" s="3787"/>
      <c r="NIZ807" s="3787"/>
      <c r="NJA807" s="3787"/>
      <c r="NJB807" s="3787"/>
      <c r="NJC807" s="3787"/>
      <c r="NJD807" s="3787"/>
      <c r="NJE807" s="3787"/>
      <c r="NJJ807" s="3787"/>
      <c r="NJP807" s="3787"/>
      <c r="NJQ807" s="3787"/>
      <c r="NJR807" s="3787"/>
      <c r="NJV807" s="3787"/>
      <c r="NKC807" s="3787"/>
      <c r="NKD807" s="3787"/>
      <c r="NKE807" s="3787"/>
      <c r="NKF807" s="3787"/>
      <c r="NKG807" s="3787"/>
      <c r="NKH807" s="3787"/>
      <c r="NKI807" s="3787"/>
      <c r="NKJ807" s="3787"/>
      <c r="NKK807" s="3787"/>
      <c r="NKL807" s="3787"/>
      <c r="NKM807" s="3787"/>
      <c r="NKN807" s="3787"/>
      <c r="NKO807" s="3787"/>
      <c r="NKP807" s="3787"/>
      <c r="NKQ807" s="3787"/>
      <c r="NKR807" s="3787"/>
      <c r="NKS807" s="3787"/>
      <c r="NKT807" s="3787"/>
      <c r="NKU807" s="3787"/>
      <c r="NKV807" s="3787"/>
      <c r="NKW807" s="3787"/>
      <c r="NKX807" s="3787"/>
      <c r="NKY807" s="3787"/>
      <c r="NKZ807" s="3787"/>
      <c r="NLA807" s="3787"/>
      <c r="NLB807" s="3787"/>
      <c r="NLC807" s="3787"/>
      <c r="NLD807" s="3787"/>
      <c r="NLE807" s="3787"/>
      <c r="NLF807" s="3787"/>
      <c r="NLG807" s="3787"/>
      <c r="NLH807" s="3787"/>
      <c r="NLI807" s="3787"/>
      <c r="NLJ807" s="3787"/>
      <c r="NLK807" s="3787"/>
      <c r="NLL807" s="3787"/>
      <c r="NLM807" s="3787"/>
      <c r="NLN807" s="3787"/>
      <c r="NLO807" s="3787"/>
      <c r="NLP807" s="3787"/>
      <c r="NLQ807" s="3787"/>
      <c r="NLR807" s="3787"/>
      <c r="NLS807" s="3787"/>
      <c r="NLT807" s="3787"/>
      <c r="NLU807" s="3787"/>
      <c r="NLV807" s="3787"/>
      <c r="NLW807" s="3787"/>
      <c r="NLX807" s="3787"/>
      <c r="NLY807" s="3787"/>
      <c r="NLZ807" s="3787"/>
      <c r="NMA807" s="3787"/>
      <c r="NMB807" s="3787"/>
      <c r="NMC807" s="3787"/>
      <c r="NMD807" s="3787"/>
      <c r="NME807" s="3787"/>
      <c r="NMF807" s="3787"/>
      <c r="NMG807" s="3787"/>
      <c r="NMH807" s="3787"/>
      <c r="NMI807" s="3787"/>
      <c r="NMJ807" s="3787"/>
      <c r="NMK807" s="3787"/>
      <c r="NML807" s="3787"/>
      <c r="NMM807" s="3787"/>
      <c r="NMN807" s="3787"/>
      <c r="NMO807" s="3787"/>
      <c r="NMP807" s="3787"/>
      <c r="NMQ807" s="3787"/>
      <c r="NMR807" s="3787"/>
      <c r="NMS807" s="3787"/>
      <c r="NMT807" s="3787"/>
      <c r="NMU807" s="3787"/>
      <c r="NMV807" s="3787"/>
      <c r="NMW807" s="3787"/>
      <c r="NMX807" s="3787"/>
      <c r="NMY807" s="3787"/>
      <c r="NMZ807" s="3787"/>
      <c r="NNA807" s="3787"/>
      <c r="NNB807" s="3787"/>
      <c r="NNC807" s="3787"/>
      <c r="NND807" s="3787"/>
      <c r="NNE807" s="3787"/>
      <c r="NNF807" s="3787"/>
      <c r="NNG807" s="3787"/>
      <c r="NNH807" s="3787"/>
      <c r="NNI807" s="3787"/>
      <c r="NNJ807" s="3787"/>
      <c r="NNK807" s="3787"/>
      <c r="NNL807" s="3787"/>
      <c r="NNM807" s="3787"/>
      <c r="NNN807" s="3787"/>
      <c r="NNO807" s="3787"/>
      <c r="NNP807" s="3787"/>
      <c r="NNQ807" s="3787"/>
      <c r="NNR807" s="3787"/>
      <c r="NNS807" s="3787"/>
      <c r="NNT807" s="3787"/>
      <c r="NNU807" s="3787"/>
      <c r="NNV807" s="3787"/>
      <c r="NNW807" s="3787"/>
      <c r="NNX807" s="3787"/>
      <c r="NNY807" s="3787"/>
      <c r="NNZ807" s="3787"/>
      <c r="NOA807" s="3787"/>
      <c r="NOB807" s="3787"/>
      <c r="NOC807" s="3787"/>
      <c r="NOD807" s="3787"/>
      <c r="NOE807" s="3787"/>
      <c r="NOF807" s="3787"/>
      <c r="NOG807" s="3787"/>
      <c r="NOH807" s="3787"/>
      <c r="NOI807" s="3787"/>
      <c r="NOJ807" s="3787"/>
      <c r="NOK807" s="3787"/>
      <c r="NOL807" s="3787"/>
      <c r="NOM807" s="3787"/>
      <c r="NON807" s="3787"/>
      <c r="NOO807" s="3787"/>
      <c r="NOP807" s="3787"/>
      <c r="NOQ807" s="3787"/>
      <c r="NOR807" s="3787"/>
      <c r="NOS807" s="3787"/>
      <c r="NOT807" s="3787"/>
      <c r="NOU807" s="3787"/>
      <c r="NOV807" s="3787"/>
      <c r="NOW807" s="3787"/>
      <c r="NOX807" s="3787"/>
      <c r="NOY807" s="3787"/>
      <c r="NOZ807" s="3787"/>
      <c r="NPA807" s="3787"/>
      <c r="NPB807" s="3787"/>
      <c r="NPC807" s="3787"/>
      <c r="NPD807" s="3787"/>
      <c r="NPE807" s="3787"/>
      <c r="NPF807" s="3787"/>
      <c r="NPG807" s="3787"/>
      <c r="NPH807" s="3787"/>
      <c r="NPI807" s="3787"/>
      <c r="NPJ807" s="3787"/>
      <c r="NPK807" s="3787"/>
      <c r="NPL807" s="3787"/>
      <c r="NPM807" s="3787"/>
      <c r="NPN807" s="3787"/>
      <c r="NPO807" s="3787"/>
      <c r="NPP807" s="3787"/>
      <c r="NPQ807" s="3787"/>
      <c r="NPR807" s="3787"/>
      <c r="NPS807" s="3787"/>
      <c r="NPT807" s="3787"/>
      <c r="NPU807" s="3787"/>
      <c r="NPV807" s="3787"/>
      <c r="NPW807" s="3787"/>
      <c r="NPX807" s="3787"/>
      <c r="NPY807" s="3787"/>
      <c r="NPZ807" s="3787"/>
      <c r="NQA807" s="3787"/>
      <c r="NQB807" s="3787"/>
      <c r="NQC807" s="3787"/>
      <c r="NQD807" s="3787"/>
      <c r="NQE807" s="3787"/>
      <c r="NQF807" s="3787"/>
      <c r="NQG807" s="3787"/>
      <c r="NQH807" s="3787"/>
      <c r="NQI807" s="3787"/>
      <c r="NQJ807" s="3787"/>
      <c r="NQK807" s="3787"/>
      <c r="NQL807" s="3787"/>
      <c r="NQM807" s="3787"/>
      <c r="NQN807" s="3787"/>
      <c r="NQO807" s="3787"/>
      <c r="NQP807" s="3787"/>
      <c r="NQQ807" s="3787"/>
      <c r="NQR807" s="3787"/>
      <c r="NQS807" s="3787"/>
      <c r="NQT807" s="3787"/>
      <c r="NQU807" s="3787"/>
      <c r="NQV807" s="3787"/>
      <c r="NQW807" s="3787"/>
      <c r="NQX807" s="3787"/>
      <c r="NQY807" s="3787"/>
      <c r="NQZ807" s="3787"/>
      <c r="NRA807" s="3787"/>
      <c r="NRB807" s="3787"/>
      <c r="NRC807" s="3787"/>
      <c r="NRD807" s="3787"/>
      <c r="NRE807" s="3787"/>
      <c r="NRF807" s="3787"/>
      <c r="NRG807" s="3787"/>
      <c r="NRH807" s="3787"/>
      <c r="NRI807" s="3787"/>
      <c r="NRJ807" s="3787"/>
      <c r="NRK807" s="3787"/>
      <c r="NRL807" s="3787"/>
      <c r="NRM807" s="3787"/>
      <c r="NRN807" s="3787"/>
      <c r="NRO807" s="3787"/>
      <c r="NRP807" s="3787"/>
      <c r="NRQ807" s="3787"/>
      <c r="NRR807" s="3787"/>
      <c r="NRS807" s="3787"/>
      <c r="NRT807" s="3787"/>
      <c r="NRU807" s="3787"/>
      <c r="NRV807" s="3787"/>
      <c r="NRW807" s="3787"/>
      <c r="NRX807" s="3787"/>
      <c r="NRY807" s="3787"/>
      <c r="NRZ807" s="3787"/>
      <c r="NSA807" s="3787"/>
      <c r="NSB807" s="3787"/>
      <c r="NSC807" s="3787"/>
      <c r="NSD807" s="3787"/>
      <c r="NSE807" s="3787"/>
      <c r="NSF807" s="3787"/>
      <c r="NSG807" s="3787"/>
      <c r="NSH807" s="3787"/>
      <c r="NSI807" s="3787"/>
      <c r="NSJ807" s="3787"/>
      <c r="NSK807" s="3787"/>
      <c r="NSL807" s="3787"/>
      <c r="NSM807" s="3787"/>
      <c r="NSN807" s="3787"/>
      <c r="NSO807" s="3787"/>
      <c r="NSP807" s="3787"/>
      <c r="NSQ807" s="3787"/>
      <c r="NSR807" s="3787"/>
      <c r="NSS807" s="3787"/>
      <c r="NST807" s="3787"/>
      <c r="NSU807" s="3787"/>
      <c r="NSV807" s="3787"/>
      <c r="NSW807" s="3787"/>
      <c r="NSX807" s="3787"/>
      <c r="NSY807" s="3787"/>
      <c r="NSZ807" s="3787"/>
      <c r="NTA807" s="3787"/>
      <c r="NTF807" s="3787"/>
      <c r="NTL807" s="3787"/>
      <c r="NTM807" s="3787"/>
      <c r="NTN807" s="3787"/>
      <c r="NTR807" s="3787"/>
      <c r="NTY807" s="3787"/>
      <c r="NTZ807" s="3787"/>
      <c r="NUA807" s="3787"/>
      <c r="NUB807" s="3787"/>
      <c r="NUC807" s="3787"/>
      <c r="NUD807" s="3787"/>
      <c r="NUE807" s="3787"/>
      <c r="NUF807" s="3787"/>
      <c r="NUG807" s="3787"/>
      <c r="NUH807" s="3787"/>
      <c r="NUI807" s="3787"/>
      <c r="NUJ807" s="3787"/>
      <c r="NUK807" s="3787"/>
      <c r="NUL807" s="3787"/>
      <c r="NUM807" s="3787"/>
      <c r="NUN807" s="3787"/>
      <c r="NUO807" s="3787"/>
      <c r="NUP807" s="3787"/>
      <c r="NUQ807" s="3787"/>
      <c r="NUR807" s="3787"/>
      <c r="NUS807" s="3787"/>
      <c r="NUT807" s="3787"/>
      <c r="NUU807" s="3787"/>
      <c r="NUV807" s="3787"/>
      <c r="NUW807" s="3787"/>
      <c r="NUX807" s="3787"/>
      <c r="NUY807" s="3787"/>
      <c r="NUZ807" s="3787"/>
      <c r="NVA807" s="3787"/>
      <c r="NVB807" s="3787"/>
      <c r="NVC807" s="3787"/>
      <c r="NVD807" s="3787"/>
      <c r="NVE807" s="3787"/>
      <c r="NVF807" s="3787"/>
      <c r="NVG807" s="3787"/>
      <c r="NVH807" s="3787"/>
      <c r="NVI807" s="3787"/>
      <c r="NVJ807" s="3787"/>
      <c r="NVK807" s="3787"/>
      <c r="NVL807" s="3787"/>
      <c r="NVM807" s="3787"/>
      <c r="NVN807" s="3787"/>
      <c r="NVO807" s="3787"/>
      <c r="NVP807" s="3787"/>
      <c r="NVQ807" s="3787"/>
      <c r="NVR807" s="3787"/>
      <c r="NVS807" s="3787"/>
      <c r="NVT807" s="3787"/>
      <c r="NVU807" s="3787"/>
      <c r="NVV807" s="3787"/>
      <c r="NVW807" s="3787"/>
      <c r="NVX807" s="3787"/>
      <c r="NVY807" s="3787"/>
      <c r="NVZ807" s="3787"/>
      <c r="NWA807" s="3787"/>
      <c r="NWB807" s="3787"/>
      <c r="NWC807" s="3787"/>
      <c r="NWD807" s="3787"/>
      <c r="NWE807" s="3787"/>
      <c r="NWF807" s="3787"/>
      <c r="NWG807" s="3787"/>
      <c r="NWH807" s="3787"/>
      <c r="NWI807" s="3787"/>
      <c r="NWJ807" s="3787"/>
      <c r="NWK807" s="3787"/>
      <c r="NWL807" s="3787"/>
      <c r="NWM807" s="3787"/>
      <c r="NWN807" s="3787"/>
      <c r="NWO807" s="3787"/>
      <c r="NWP807" s="3787"/>
      <c r="NWQ807" s="3787"/>
      <c r="NWR807" s="3787"/>
      <c r="NWS807" s="3787"/>
      <c r="NWT807" s="3787"/>
      <c r="NWU807" s="3787"/>
      <c r="NWV807" s="3787"/>
      <c r="NWW807" s="3787"/>
      <c r="NWX807" s="3787"/>
      <c r="NWY807" s="3787"/>
      <c r="NWZ807" s="3787"/>
      <c r="NXA807" s="3787"/>
      <c r="NXB807" s="3787"/>
      <c r="NXC807" s="3787"/>
      <c r="NXD807" s="3787"/>
      <c r="NXE807" s="3787"/>
      <c r="NXF807" s="3787"/>
      <c r="NXG807" s="3787"/>
      <c r="NXH807" s="3787"/>
      <c r="NXI807" s="3787"/>
      <c r="NXJ807" s="3787"/>
      <c r="NXK807" s="3787"/>
      <c r="NXL807" s="3787"/>
      <c r="NXM807" s="3787"/>
      <c r="NXN807" s="3787"/>
      <c r="NXO807" s="3787"/>
      <c r="NXP807" s="3787"/>
      <c r="NXQ807" s="3787"/>
      <c r="NXR807" s="3787"/>
      <c r="NXS807" s="3787"/>
      <c r="NXT807" s="3787"/>
      <c r="NXU807" s="3787"/>
      <c r="NXV807" s="3787"/>
      <c r="NXW807" s="3787"/>
      <c r="NXX807" s="3787"/>
      <c r="NXY807" s="3787"/>
      <c r="NXZ807" s="3787"/>
      <c r="NYA807" s="3787"/>
      <c r="NYB807" s="3787"/>
      <c r="NYC807" s="3787"/>
      <c r="NYD807" s="3787"/>
      <c r="NYE807" s="3787"/>
      <c r="NYF807" s="3787"/>
      <c r="NYG807" s="3787"/>
      <c r="NYH807" s="3787"/>
      <c r="NYI807" s="3787"/>
      <c r="NYJ807" s="3787"/>
      <c r="NYK807" s="3787"/>
      <c r="NYL807" s="3787"/>
      <c r="NYM807" s="3787"/>
      <c r="NYN807" s="3787"/>
      <c r="NYO807" s="3787"/>
      <c r="NYP807" s="3787"/>
      <c r="NYQ807" s="3787"/>
      <c r="NYR807" s="3787"/>
      <c r="NYS807" s="3787"/>
      <c r="NYT807" s="3787"/>
      <c r="NYU807" s="3787"/>
      <c r="NYV807" s="3787"/>
      <c r="NYW807" s="3787"/>
      <c r="NYX807" s="3787"/>
      <c r="NYY807" s="3787"/>
      <c r="NYZ807" s="3787"/>
      <c r="NZA807" s="3787"/>
      <c r="NZB807" s="3787"/>
      <c r="NZC807" s="3787"/>
      <c r="NZD807" s="3787"/>
      <c r="NZE807" s="3787"/>
      <c r="NZF807" s="3787"/>
      <c r="NZG807" s="3787"/>
      <c r="NZH807" s="3787"/>
      <c r="NZI807" s="3787"/>
      <c r="NZJ807" s="3787"/>
      <c r="NZK807" s="3787"/>
      <c r="NZL807" s="3787"/>
      <c r="NZM807" s="3787"/>
      <c r="NZN807" s="3787"/>
      <c r="NZO807" s="3787"/>
      <c r="NZP807" s="3787"/>
      <c r="NZQ807" s="3787"/>
      <c r="NZR807" s="3787"/>
      <c r="NZS807" s="3787"/>
      <c r="NZT807" s="3787"/>
      <c r="NZU807" s="3787"/>
      <c r="NZV807" s="3787"/>
      <c r="NZW807" s="3787"/>
      <c r="NZX807" s="3787"/>
      <c r="NZY807" s="3787"/>
      <c r="NZZ807" s="3787"/>
      <c r="OAA807" s="3787"/>
      <c r="OAB807" s="3787"/>
      <c r="OAC807" s="3787"/>
      <c r="OAD807" s="3787"/>
      <c r="OAE807" s="3787"/>
      <c r="OAF807" s="3787"/>
      <c r="OAG807" s="3787"/>
      <c r="OAH807" s="3787"/>
      <c r="OAI807" s="3787"/>
      <c r="OAJ807" s="3787"/>
      <c r="OAK807" s="3787"/>
      <c r="OAL807" s="3787"/>
      <c r="OAM807" s="3787"/>
      <c r="OAN807" s="3787"/>
      <c r="OAO807" s="3787"/>
      <c r="OAP807" s="3787"/>
      <c r="OAQ807" s="3787"/>
      <c r="OAR807" s="3787"/>
      <c r="OAS807" s="3787"/>
      <c r="OAT807" s="3787"/>
      <c r="OAU807" s="3787"/>
      <c r="OAV807" s="3787"/>
      <c r="OAW807" s="3787"/>
      <c r="OAX807" s="3787"/>
      <c r="OAY807" s="3787"/>
      <c r="OAZ807" s="3787"/>
      <c r="OBA807" s="3787"/>
      <c r="OBB807" s="3787"/>
      <c r="OBC807" s="3787"/>
      <c r="OBD807" s="3787"/>
      <c r="OBE807" s="3787"/>
      <c r="OBF807" s="3787"/>
      <c r="OBG807" s="3787"/>
      <c r="OBH807" s="3787"/>
      <c r="OBI807" s="3787"/>
      <c r="OBJ807" s="3787"/>
      <c r="OBK807" s="3787"/>
      <c r="OBL807" s="3787"/>
      <c r="OBM807" s="3787"/>
      <c r="OBN807" s="3787"/>
      <c r="OBO807" s="3787"/>
      <c r="OBP807" s="3787"/>
      <c r="OBQ807" s="3787"/>
      <c r="OBR807" s="3787"/>
      <c r="OBS807" s="3787"/>
      <c r="OBT807" s="3787"/>
      <c r="OBU807" s="3787"/>
      <c r="OBV807" s="3787"/>
      <c r="OBW807" s="3787"/>
      <c r="OBX807" s="3787"/>
      <c r="OBY807" s="3787"/>
      <c r="OBZ807" s="3787"/>
      <c r="OCA807" s="3787"/>
      <c r="OCB807" s="3787"/>
      <c r="OCC807" s="3787"/>
      <c r="OCD807" s="3787"/>
      <c r="OCE807" s="3787"/>
      <c r="OCF807" s="3787"/>
      <c r="OCG807" s="3787"/>
      <c r="OCH807" s="3787"/>
      <c r="OCI807" s="3787"/>
      <c r="OCJ807" s="3787"/>
      <c r="OCK807" s="3787"/>
      <c r="OCL807" s="3787"/>
      <c r="OCM807" s="3787"/>
      <c r="OCN807" s="3787"/>
      <c r="OCO807" s="3787"/>
      <c r="OCP807" s="3787"/>
      <c r="OCQ807" s="3787"/>
      <c r="OCR807" s="3787"/>
      <c r="OCS807" s="3787"/>
      <c r="OCT807" s="3787"/>
      <c r="OCU807" s="3787"/>
      <c r="OCV807" s="3787"/>
      <c r="OCW807" s="3787"/>
      <c r="ODB807" s="3787"/>
      <c r="ODH807" s="3787"/>
      <c r="ODI807" s="3787"/>
      <c r="ODJ807" s="3787"/>
      <c r="ODN807" s="3787"/>
      <c r="ODU807" s="3787"/>
      <c r="ODV807" s="3787"/>
      <c r="ODW807" s="3787"/>
      <c r="ODX807" s="3787"/>
      <c r="ODY807" s="3787"/>
      <c r="ODZ807" s="3787"/>
      <c r="OEA807" s="3787"/>
      <c r="OEB807" s="3787"/>
      <c r="OEC807" s="3787"/>
      <c r="OED807" s="3787"/>
      <c r="OEE807" s="3787"/>
      <c r="OEF807" s="3787"/>
      <c r="OEG807" s="3787"/>
      <c r="OEH807" s="3787"/>
      <c r="OEI807" s="3787"/>
      <c r="OEJ807" s="3787"/>
      <c r="OEK807" s="3787"/>
      <c r="OEL807" s="3787"/>
      <c r="OEM807" s="3787"/>
      <c r="OEN807" s="3787"/>
      <c r="OEO807" s="3787"/>
      <c r="OEP807" s="3787"/>
      <c r="OEQ807" s="3787"/>
      <c r="OER807" s="3787"/>
      <c r="OES807" s="3787"/>
      <c r="OET807" s="3787"/>
      <c r="OEU807" s="3787"/>
      <c r="OEV807" s="3787"/>
      <c r="OEW807" s="3787"/>
      <c r="OEX807" s="3787"/>
      <c r="OEY807" s="3787"/>
      <c r="OEZ807" s="3787"/>
      <c r="OFA807" s="3787"/>
      <c r="OFB807" s="3787"/>
      <c r="OFC807" s="3787"/>
      <c r="OFD807" s="3787"/>
      <c r="OFE807" s="3787"/>
      <c r="OFF807" s="3787"/>
      <c r="OFG807" s="3787"/>
      <c r="OFH807" s="3787"/>
      <c r="OFI807" s="3787"/>
      <c r="OFJ807" s="3787"/>
      <c r="OFK807" s="3787"/>
      <c r="OFL807" s="3787"/>
      <c r="OFM807" s="3787"/>
      <c r="OFN807" s="3787"/>
      <c r="OFO807" s="3787"/>
      <c r="OFP807" s="3787"/>
      <c r="OFQ807" s="3787"/>
      <c r="OFR807" s="3787"/>
      <c r="OFS807" s="3787"/>
      <c r="OFT807" s="3787"/>
      <c r="OFU807" s="3787"/>
      <c r="OFV807" s="3787"/>
      <c r="OFW807" s="3787"/>
      <c r="OFX807" s="3787"/>
      <c r="OFY807" s="3787"/>
      <c r="OFZ807" s="3787"/>
      <c r="OGA807" s="3787"/>
      <c r="OGB807" s="3787"/>
      <c r="OGC807" s="3787"/>
      <c r="OGD807" s="3787"/>
      <c r="OGE807" s="3787"/>
      <c r="OGF807" s="3787"/>
      <c r="OGG807" s="3787"/>
      <c r="OGH807" s="3787"/>
      <c r="OGI807" s="3787"/>
      <c r="OGJ807" s="3787"/>
      <c r="OGK807" s="3787"/>
      <c r="OGL807" s="3787"/>
      <c r="OGM807" s="3787"/>
      <c r="OGN807" s="3787"/>
      <c r="OGO807" s="3787"/>
      <c r="OGP807" s="3787"/>
      <c r="OGQ807" s="3787"/>
      <c r="OGR807" s="3787"/>
      <c r="OGS807" s="3787"/>
      <c r="OGT807" s="3787"/>
      <c r="OGU807" s="3787"/>
      <c r="OGV807" s="3787"/>
      <c r="OGW807" s="3787"/>
      <c r="OGX807" s="3787"/>
      <c r="OGY807" s="3787"/>
      <c r="OGZ807" s="3787"/>
      <c r="OHA807" s="3787"/>
      <c r="OHB807" s="3787"/>
      <c r="OHC807" s="3787"/>
      <c r="OHD807" s="3787"/>
      <c r="OHE807" s="3787"/>
      <c r="OHF807" s="3787"/>
      <c r="OHG807" s="3787"/>
      <c r="OHH807" s="3787"/>
      <c r="OHI807" s="3787"/>
      <c r="OHJ807" s="3787"/>
      <c r="OHK807" s="3787"/>
      <c r="OHL807" s="3787"/>
      <c r="OHM807" s="3787"/>
      <c r="OHN807" s="3787"/>
      <c r="OHO807" s="3787"/>
      <c r="OHP807" s="3787"/>
      <c r="OHQ807" s="3787"/>
      <c r="OHR807" s="3787"/>
      <c r="OHS807" s="3787"/>
      <c r="OHT807" s="3787"/>
      <c r="OHU807" s="3787"/>
      <c r="OHV807" s="3787"/>
      <c r="OHW807" s="3787"/>
      <c r="OHX807" s="3787"/>
      <c r="OHY807" s="3787"/>
      <c r="OHZ807" s="3787"/>
      <c r="OIA807" s="3787"/>
      <c r="OIB807" s="3787"/>
      <c r="OIC807" s="3787"/>
      <c r="OID807" s="3787"/>
      <c r="OIE807" s="3787"/>
      <c r="OIF807" s="3787"/>
      <c r="OIG807" s="3787"/>
      <c r="OIH807" s="3787"/>
      <c r="OII807" s="3787"/>
      <c r="OIJ807" s="3787"/>
      <c r="OIK807" s="3787"/>
      <c r="OIL807" s="3787"/>
      <c r="OIM807" s="3787"/>
      <c r="OIN807" s="3787"/>
      <c r="OIO807" s="3787"/>
      <c r="OIP807" s="3787"/>
      <c r="OIQ807" s="3787"/>
      <c r="OIR807" s="3787"/>
      <c r="OIS807" s="3787"/>
      <c r="OIT807" s="3787"/>
      <c r="OIU807" s="3787"/>
      <c r="OIV807" s="3787"/>
      <c r="OIW807" s="3787"/>
      <c r="OIX807" s="3787"/>
      <c r="OIY807" s="3787"/>
      <c r="OIZ807" s="3787"/>
      <c r="OJA807" s="3787"/>
      <c r="OJB807" s="3787"/>
      <c r="OJC807" s="3787"/>
      <c r="OJD807" s="3787"/>
      <c r="OJE807" s="3787"/>
      <c r="OJF807" s="3787"/>
      <c r="OJG807" s="3787"/>
      <c r="OJH807" s="3787"/>
      <c r="OJI807" s="3787"/>
      <c r="OJJ807" s="3787"/>
      <c r="OJK807" s="3787"/>
      <c r="OJL807" s="3787"/>
      <c r="OJM807" s="3787"/>
      <c r="OJN807" s="3787"/>
      <c r="OJO807" s="3787"/>
      <c r="OJP807" s="3787"/>
      <c r="OJQ807" s="3787"/>
      <c r="OJR807" s="3787"/>
      <c r="OJS807" s="3787"/>
      <c r="OJT807" s="3787"/>
      <c r="OJU807" s="3787"/>
      <c r="OJV807" s="3787"/>
      <c r="OJW807" s="3787"/>
      <c r="OJX807" s="3787"/>
      <c r="OJY807" s="3787"/>
      <c r="OJZ807" s="3787"/>
      <c r="OKA807" s="3787"/>
      <c r="OKB807" s="3787"/>
      <c r="OKC807" s="3787"/>
      <c r="OKD807" s="3787"/>
      <c r="OKE807" s="3787"/>
      <c r="OKF807" s="3787"/>
      <c r="OKG807" s="3787"/>
      <c r="OKH807" s="3787"/>
      <c r="OKI807" s="3787"/>
      <c r="OKJ807" s="3787"/>
      <c r="OKK807" s="3787"/>
      <c r="OKL807" s="3787"/>
      <c r="OKM807" s="3787"/>
      <c r="OKN807" s="3787"/>
      <c r="OKO807" s="3787"/>
      <c r="OKP807" s="3787"/>
      <c r="OKQ807" s="3787"/>
      <c r="OKR807" s="3787"/>
      <c r="OKS807" s="3787"/>
      <c r="OKT807" s="3787"/>
      <c r="OKU807" s="3787"/>
      <c r="OKV807" s="3787"/>
      <c r="OKW807" s="3787"/>
      <c r="OKX807" s="3787"/>
      <c r="OKY807" s="3787"/>
      <c r="OKZ807" s="3787"/>
      <c r="OLA807" s="3787"/>
      <c r="OLB807" s="3787"/>
      <c r="OLC807" s="3787"/>
      <c r="OLD807" s="3787"/>
      <c r="OLE807" s="3787"/>
      <c r="OLF807" s="3787"/>
      <c r="OLG807" s="3787"/>
      <c r="OLH807" s="3787"/>
      <c r="OLI807" s="3787"/>
      <c r="OLJ807" s="3787"/>
      <c r="OLK807" s="3787"/>
      <c r="OLL807" s="3787"/>
      <c r="OLM807" s="3787"/>
      <c r="OLN807" s="3787"/>
      <c r="OLO807" s="3787"/>
      <c r="OLP807" s="3787"/>
      <c r="OLQ807" s="3787"/>
      <c r="OLR807" s="3787"/>
      <c r="OLS807" s="3787"/>
      <c r="OLT807" s="3787"/>
      <c r="OLU807" s="3787"/>
      <c r="OLV807" s="3787"/>
      <c r="OLW807" s="3787"/>
      <c r="OLX807" s="3787"/>
      <c r="OLY807" s="3787"/>
      <c r="OLZ807" s="3787"/>
      <c r="OMA807" s="3787"/>
      <c r="OMB807" s="3787"/>
      <c r="OMC807" s="3787"/>
      <c r="OMD807" s="3787"/>
      <c r="OME807" s="3787"/>
      <c r="OMF807" s="3787"/>
      <c r="OMG807" s="3787"/>
      <c r="OMH807" s="3787"/>
      <c r="OMI807" s="3787"/>
      <c r="OMJ807" s="3787"/>
      <c r="OMK807" s="3787"/>
      <c r="OML807" s="3787"/>
      <c r="OMM807" s="3787"/>
      <c r="OMN807" s="3787"/>
      <c r="OMO807" s="3787"/>
      <c r="OMP807" s="3787"/>
      <c r="OMQ807" s="3787"/>
      <c r="OMR807" s="3787"/>
      <c r="OMS807" s="3787"/>
      <c r="OMX807" s="3787"/>
      <c r="OND807" s="3787"/>
      <c r="ONE807" s="3787"/>
      <c r="ONF807" s="3787"/>
      <c r="ONJ807" s="3787"/>
      <c r="ONQ807" s="3787"/>
      <c r="ONR807" s="3787"/>
      <c r="ONS807" s="3787"/>
      <c r="ONT807" s="3787"/>
      <c r="ONU807" s="3787"/>
      <c r="ONV807" s="3787"/>
      <c r="ONW807" s="3787"/>
      <c r="ONX807" s="3787"/>
      <c r="ONY807" s="3787"/>
      <c r="ONZ807" s="3787"/>
      <c r="OOA807" s="3787"/>
      <c r="OOB807" s="3787"/>
      <c r="OOC807" s="3787"/>
      <c r="OOD807" s="3787"/>
      <c r="OOE807" s="3787"/>
      <c r="OOF807" s="3787"/>
      <c r="OOG807" s="3787"/>
      <c r="OOH807" s="3787"/>
      <c r="OOI807" s="3787"/>
      <c r="OOJ807" s="3787"/>
      <c r="OOK807" s="3787"/>
      <c r="OOL807" s="3787"/>
      <c r="OOM807" s="3787"/>
      <c r="OON807" s="3787"/>
      <c r="OOO807" s="3787"/>
      <c r="OOP807" s="3787"/>
      <c r="OOQ807" s="3787"/>
      <c r="OOR807" s="3787"/>
      <c r="OOS807" s="3787"/>
      <c r="OOT807" s="3787"/>
      <c r="OOU807" s="3787"/>
      <c r="OOV807" s="3787"/>
      <c r="OOW807" s="3787"/>
      <c r="OOX807" s="3787"/>
      <c r="OOY807" s="3787"/>
      <c r="OOZ807" s="3787"/>
      <c r="OPA807" s="3787"/>
      <c r="OPB807" s="3787"/>
      <c r="OPC807" s="3787"/>
      <c r="OPD807" s="3787"/>
      <c r="OPE807" s="3787"/>
      <c r="OPF807" s="3787"/>
      <c r="OPG807" s="3787"/>
      <c r="OPH807" s="3787"/>
      <c r="OPI807" s="3787"/>
      <c r="OPJ807" s="3787"/>
      <c r="OPK807" s="3787"/>
      <c r="OPL807" s="3787"/>
      <c r="OPM807" s="3787"/>
      <c r="OPN807" s="3787"/>
      <c r="OPO807" s="3787"/>
      <c r="OPP807" s="3787"/>
      <c r="OPQ807" s="3787"/>
      <c r="OPR807" s="3787"/>
      <c r="OPS807" s="3787"/>
      <c r="OPT807" s="3787"/>
      <c r="OPU807" s="3787"/>
      <c r="OPV807" s="3787"/>
      <c r="OPW807" s="3787"/>
      <c r="OPX807" s="3787"/>
      <c r="OPY807" s="3787"/>
      <c r="OPZ807" s="3787"/>
      <c r="OQA807" s="3787"/>
      <c r="OQB807" s="3787"/>
      <c r="OQC807" s="3787"/>
      <c r="OQD807" s="3787"/>
      <c r="OQE807" s="3787"/>
      <c r="OQF807" s="3787"/>
      <c r="OQG807" s="3787"/>
      <c r="OQH807" s="3787"/>
      <c r="OQI807" s="3787"/>
      <c r="OQJ807" s="3787"/>
      <c r="OQK807" s="3787"/>
      <c r="OQL807" s="3787"/>
      <c r="OQM807" s="3787"/>
      <c r="OQN807" s="3787"/>
      <c r="OQO807" s="3787"/>
      <c r="OQP807" s="3787"/>
      <c r="OQQ807" s="3787"/>
      <c r="OQR807" s="3787"/>
      <c r="OQS807" s="3787"/>
      <c r="OQT807" s="3787"/>
      <c r="OQU807" s="3787"/>
      <c r="OQV807" s="3787"/>
      <c r="OQW807" s="3787"/>
      <c r="OQX807" s="3787"/>
      <c r="OQY807" s="3787"/>
      <c r="OQZ807" s="3787"/>
      <c r="ORA807" s="3787"/>
      <c r="ORB807" s="3787"/>
      <c r="ORC807" s="3787"/>
      <c r="ORD807" s="3787"/>
      <c r="ORE807" s="3787"/>
      <c r="ORF807" s="3787"/>
      <c r="ORG807" s="3787"/>
      <c r="ORH807" s="3787"/>
      <c r="ORI807" s="3787"/>
      <c r="ORJ807" s="3787"/>
      <c r="ORK807" s="3787"/>
      <c r="ORL807" s="3787"/>
      <c r="ORM807" s="3787"/>
      <c r="ORN807" s="3787"/>
      <c r="ORO807" s="3787"/>
      <c r="ORP807" s="3787"/>
      <c r="ORQ807" s="3787"/>
      <c r="ORR807" s="3787"/>
      <c r="ORS807" s="3787"/>
      <c r="ORT807" s="3787"/>
      <c r="ORU807" s="3787"/>
      <c r="ORV807" s="3787"/>
      <c r="ORW807" s="3787"/>
      <c r="ORX807" s="3787"/>
      <c r="ORY807" s="3787"/>
      <c r="ORZ807" s="3787"/>
      <c r="OSA807" s="3787"/>
      <c r="OSB807" s="3787"/>
      <c r="OSC807" s="3787"/>
      <c r="OSD807" s="3787"/>
      <c r="OSE807" s="3787"/>
      <c r="OSF807" s="3787"/>
      <c r="OSG807" s="3787"/>
      <c r="OSH807" s="3787"/>
      <c r="OSI807" s="3787"/>
      <c r="OSJ807" s="3787"/>
      <c r="OSK807" s="3787"/>
      <c r="OSL807" s="3787"/>
      <c r="OSM807" s="3787"/>
      <c r="OSN807" s="3787"/>
      <c r="OSO807" s="3787"/>
      <c r="OSP807" s="3787"/>
      <c r="OSQ807" s="3787"/>
      <c r="OSR807" s="3787"/>
      <c r="OSS807" s="3787"/>
      <c r="OST807" s="3787"/>
      <c r="OSU807" s="3787"/>
      <c r="OSV807" s="3787"/>
      <c r="OSW807" s="3787"/>
      <c r="OSX807" s="3787"/>
      <c r="OSY807" s="3787"/>
      <c r="OSZ807" s="3787"/>
      <c r="OTA807" s="3787"/>
      <c r="OTB807" s="3787"/>
      <c r="OTC807" s="3787"/>
      <c r="OTD807" s="3787"/>
      <c r="OTE807" s="3787"/>
      <c r="OTF807" s="3787"/>
      <c r="OTG807" s="3787"/>
      <c r="OTH807" s="3787"/>
      <c r="OTI807" s="3787"/>
      <c r="OTJ807" s="3787"/>
      <c r="OTK807" s="3787"/>
      <c r="OTL807" s="3787"/>
      <c r="OTM807" s="3787"/>
      <c r="OTN807" s="3787"/>
      <c r="OTO807" s="3787"/>
      <c r="OTP807" s="3787"/>
      <c r="OTQ807" s="3787"/>
      <c r="OTR807" s="3787"/>
      <c r="OTS807" s="3787"/>
      <c r="OTT807" s="3787"/>
      <c r="OTU807" s="3787"/>
      <c r="OTV807" s="3787"/>
      <c r="OTW807" s="3787"/>
      <c r="OTX807" s="3787"/>
      <c r="OTY807" s="3787"/>
      <c r="OTZ807" s="3787"/>
      <c r="OUA807" s="3787"/>
      <c r="OUB807" s="3787"/>
      <c r="OUC807" s="3787"/>
      <c r="OUD807" s="3787"/>
      <c r="OUE807" s="3787"/>
      <c r="OUF807" s="3787"/>
      <c r="OUG807" s="3787"/>
      <c r="OUH807" s="3787"/>
      <c r="OUI807" s="3787"/>
      <c r="OUJ807" s="3787"/>
      <c r="OUK807" s="3787"/>
      <c r="OUL807" s="3787"/>
      <c r="OUM807" s="3787"/>
      <c r="OUN807" s="3787"/>
      <c r="OUO807" s="3787"/>
      <c r="OUP807" s="3787"/>
      <c r="OUQ807" s="3787"/>
      <c r="OUR807" s="3787"/>
      <c r="OUS807" s="3787"/>
      <c r="OUT807" s="3787"/>
      <c r="OUU807" s="3787"/>
      <c r="OUV807" s="3787"/>
      <c r="OUW807" s="3787"/>
      <c r="OUX807" s="3787"/>
      <c r="OUY807" s="3787"/>
      <c r="OUZ807" s="3787"/>
      <c r="OVA807" s="3787"/>
      <c r="OVB807" s="3787"/>
      <c r="OVC807" s="3787"/>
      <c r="OVD807" s="3787"/>
      <c r="OVE807" s="3787"/>
      <c r="OVF807" s="3787"/>
      <c r="OVG807" s="3787"/>
      <c r="OVH807" s="3787"/>
      <c r="OVI807" s="3787"/>
      <c r="OVJ807" s="3787"/>
      <c r="OVK807" s="3787"/>
      <c r="OVL807" s="3787"/>
      <c r="OVM807" s="3787"/>
      <c r="OVN807" s="3787"/>
      <c r="OVO807" s="3787"/>
      <c r="OVP807" s="3787"/>
      <c r="OVQ807" s="3787"/>
      <c r="OVR807" s="3787"/>
      <c r="OVS807" s="3787"/>
      <c r="OVT807" s="3787"/>
      <c r="OVU807" s="3787"/>
      <c r="OVV807" s="3787"/>
      <c r="OVW807" s="3787"/>
      <c r="OVX807" s="3787"/>
      <c r="OVY807" s="3787"/>
      <c r="OVZ807" s="3787"/>
      <c r="OWA807" s="3787"/>
      <c r="OWB807" s="3787"/>
      <c r="OWC807" s="3787"/>
      <c r="OWD807" s="3787"/>
      <c r="OWE807" s="3787"/>
      <c r="OWF807" s="3787"/>
      <c r="OWG807" s="3787"/>
      <c r="OWH807" s="3787"/>
      <c r="OWI807" s="3787"/>
      <c r="OWJ807" s="3787"/>
      <c r="OWK807" s="3787"/>
      <c r="OWL807" s="3787"/>
      <c r="OWM807" s="3787"/>
      <c r="OWN807" s="3787"/>
      <c r="OWO807" s="3787"/>
      <c r="OWT807" s="3787"/>
      <c r="OWZ807" s="3787"/>
      <c r="OXA807" s="3787"/>
      <c r="OXB807" s="3787"/>
      <c r="OXF807" s="3787"/>
      <c r="OXM807" s="3787"/>
      <c r="OXN807" s="3787"/>
      <c r="OXO807" s="3787"/>
      <c r="OXP807" s="3787"/>
      <c r="OXQ807" s="3787"/>
      <c r="OXR807" s="3787"/>
      <c r="OXS807" s="3787"/>
      <c r="OXT807" s="3787"/>
      <c r="OXU807" s="3787"/>
      <c r="OXV807" s="3787"/>
      <c r="OXW807" s="3787"/>
      <c r="OXX807" s="3787"/>
      <c r="OXY807" s="3787"/>
      <c r="OXZ807" s="3787"/>
      <c r="OYA807" s="3787"/>
      <c r="OYB807" s="3787"/>
      <c r="OYC807" s="3787"/>
      <c r="OYD807" s="3787"/>
      <c r="OYE807" s="3787"/>
      <c r="OYF807" s="3787"/>
      <c r="OYG807" s="3787"/>
      <c r="OYH807" s="3787"/>
      <c r="OYI807" s="3787"/>
      <c r="OYJ807" s="3787"/>
      <c r="OYK807" s="3787"/>
      <c r="OYL807" s="3787"/>
      <c r="OYM807" s="3787"/>
      <c r="OYN807" s="3787"/>
      <c r="OYO807" s="3787"/>
      <c r="OYP807" s="3787"/>
      <c r="OYQ807" s="3787"/>
      <c r="OYR807" s="3787"/>
      <c r="OYS807" s="3787"/>
      <c r="OYT807" s="3787"/>
      <c r="OYU807" s="3787"/>
      <c r="OYV807" s="3787"/>
      <c r="OYW807" s="3787"/>
      <c r="OYX807" s="3787"/>
      <c r="OYY807" s="3787"/>
      <c r="OYZ807" s="3787"/>
      <c r="OZA807" s="3787"/>
      <c r="OZB807" s="3787"/>
      <c r="OZC807" s="3787"/>
      <c r="OZD807" s="3787"/>
      <c r="OZE807" s="3787"/>
      <c r="OZF807" s="3787"/>
      <c r="OZG807" s="3787"/>
      <c r="OZH807" s="3787"/>
      <c r="OZI807" s="3787"/>
      <c r="OZJ807" s="3787"/>
      <c r="OZK807" s="3787"/>
      <c r="OZL807" s="3787"/>
      <c r="OZM807" s="3787"/>
      <c r="OZN807" s="3787"/>
      <c r="OZO807" s="3787"/>
      <c r="OZP807" s="3787"/>
      <c r="OZQ807" s="3787"/>
      <c r="OZR807" s="3787"/>
      <c r="OZS807" s="3787"/>
      <c r="OZT807" s="3787"/>
      <c r="OZU807" s="3787"/>
      <c r="OZV807" s="3787"/>
      <c r="OZW807" s="3787"/>
      <c r="OZX807" s="3787"/>
      <c r="OZY807" s="3787"/>
      <c r="OZZ807" s="3787"/>
      <c r="PAA807" s="3787"/>
      <c r="PAB807" s="3787"/>
      <c r="PAC807" s="3787"/>
      <c r="PAD807" s="3787"/>
      <c r="PAE807" s="3787"/>
      <c r="PAF807" s="3787"/>
      <c r="PAG807" s="3787"/>
      <c r="PAH807" s="3787"/>
      <c r="PAI807" s="3787"/>
      <c r="PAJ807" s="3787"/>
      <c r="PAK807" s="3787"/>
      <c r="PAL807" s="3787"/>
      <c r="PAM807" s="3787"/>
      <c r="PAN807" s="3787"/>
      <c r="PAO807" s="3787"/>
      <c r="PAP807" s="3787"/>
      <c r="PAQ807" s="3787"/>
      <c r="PAR807" s="3787"/>
      <c r="PAS807" s="3787"/>
      <c r="PAT807" s="3787"/>
      <c r="PAU807" s="3787"/>
      <c r="PAV807" s="3787"/>
      <c r="PAW807" s="3787"/>
      <c r="PAX807" s="3787"/>
      <c r="PAY807" s="3787"/>
      <c r="PAZ807" s="3787"/>
      <c r="PBA807" s="3787"/>
      <c r="PBB807" s="3787"/>
      <c r="PBC807" s="3787"/>
      <c r="PBD807" s="3787"/>
      <c r="PBE807" s="3787"/>
      <c r="PBF807" s="3787"/>
      <c r="PBG807" s="3787"/>
      <c r="PBH807" s="3787"/>
      <c r="PBI807" s="3787"/>
      <c r="PBJ807" s="3787"/>
      <c r="PBK807" s="3787"/>
      <c r="PBL807" s="3787"/>
      <c r="PBM807" s="3787"/>
      <c r="PBN807" s="3787"/>
      <c r="PBO807" s="3787"/>
      <c r="PBP807" s="3787"/>
      <c r="PBQ807" s="3787"/>
      <c r="PBR807" s="3787"/>
      <c r="PBS807" s="3787"/>
      <c r="PBT807" s="3787"/>
      <c r="PBU807" s="3787"/>
      <c r="PBV807" s="3787"/>
      <c r="PBW807" s="3787"/>
      <c r="PBX807" s="3787"/>
      <c r="PBY807" s="3787"/>
      <c r="PBZ807" s="3787"/>
      <c r="PCA807" s="3787"/>
      <c r="PCB807" s="3787"/>
      <c r="PCC807" s="3787"/>
      <c r="PCD807" s="3787"/>
      <c r="PCE807" s="3787"/>
      <c r="PCF807" s="3787"/>
      <c r="PCG807" s="3787"/>
      <c r="PCH807" s="3787"/>
      <c r="PCI807" s="3787"/>
      <c r="PCJ807" s="3787"/>
      <c r="PCK807" s="3787"/>
      <c r="PCL807" s="3787"/>
      <c r="PCM807" s="3787"/>
      <c r="PCN807" s="3787"/>
      <c r="PCO807" s="3787"/>
      <c r="PCP807" s="3787"/>
      <c r="PCQ807" s="3787"/>
      <c r="PCR807" s="3787"/>
      <c r="PCS807" s="3787"/>
      <c r="PCT807" s="3787"/>
      <c r="PCU807" s="3787"/>
      <c r="PCV807" s="3787"/>
      <c r="PCW807" s="3787"/>
      <c r="PCX807" s="3787"/>
      <c r="PCY807" s="3787"/>
      <c r="PCZ807" s="3787"/>
      <c r="PDA807" s="3787"/>
      <c r="PDB807" s="3787"/>
      <c r="PDC807" s="3787"/>
      <c r="PDD807" s="3787"/>
      <c r="PDE807" s="3787"/>
      <c r="PDF807" s="3787"/>
      <c r="PDG807" s="3787"/>
      <c r="PDH807" s="3787"/>
      <c r="PDI807" s="3787"/>
      <c r="PDJ807" s="3787"/>
      <c r="PDK807" s="3787"/>
      <c r="PDL807" s="3787"/>
      <c r="PDM807" s="3787"/>
      <c r="PDN807" s="3787"/>
      <c r="PDO807" s="3787"/>
      <c r="PDP807" s="3787"/>
      <c r="PDQ807" s="3787"/>
      <c r="PDR807" s="3787"/>
      <c r="PDS807" s="3787"/>
      <c r="PDT807" s="3787"/>
      <c r="PDU807" s="3787"/>
      <c r="PDV807" s="3787"/>
      <c r="PDW807" s="3787"/>
      <c r="PDX807" s="3787"/>
      <c r="PDY807" s="3787"/>
      <c r="PDZ807" s="3787"/>
      <c r="PEA807" s="3787"/>
      <c r="PEB807" s="3787"/>
      <c r="PEC807" s="3787"/>
      <c r="PED807" s="3787"/>
      <c r="PEE807" s="3787"/>
      <c r="PEF807" s="3787"/>
      <c r="PEG807" s="3787"/>
      <c r="PEH807" s="3787"/>
      <c r="PEI807" s="3787"/>
      <c r="PEJ807" s="3787"/>
      <c r="PEK807" s="3787"/>
      <c r="PEL807" s="3787"/>
      <c r="PEM807" s="3787"/>
      <c r="PEN807" s="3787"/>
      <c r="PEO807" s="3787"/>
      <c r="PEP807" s="3787"/>
      <c r="PEQ807" s="3787"/>
      <c r="PER807" s="3787"/>
      <c r="PES807" s="3787"/>
      <c r="PET807" s="3787"/>
      <c r="PEU807" s="3787"/>
      <c r="PEV807" s="3787"/>
      <c r="PEW807" s="3787"/>
      <c r="PEX807" s="3787"/>
      <c r="PEY807" s="3787"/>
      <c r="PEZ807" s="3787"/>
      <c r="PFA807" s="3787"/>
      <c r="PFB807" s="3787"/>
      <c r="PFC807" s="3787"/>
      <c r="PFD807" s="3787"/>
      <c r="PFE807" s="3787"/>
      <c r="PFF807" s="3787"/>
      <c r="PFG807" s="3787"/>
      <c r="PFH807" s="3787"/>
      <c r="PFI807" s="3787"/>
      <c r="PFJ807" s="3787"/>
      <c r="PFK807" s="3787"/>
      <c r="PFL807" s="3787"/>
      <c r="PFM807" s="3787"/>
      <c r="PFN807" s="3787"/>
      <c r="PFO807" s="3787"/>
      <c r="PFP807" s="3787"/>
      <c r="PFQ807" s="3787"/>
      <c r="PFR807" s="3787"/>
      <c r="PFS807" s="3787"/>
      <c r="PFT807" s="3787"/>
      <c r="PFU807" s="3787"/>
      <c r="PFV807" s="3787"/>
      <c r="PFW807" s="3787"/>
      <c r="PFX807" s="3787"/>
      <c r="PFY807" s="3787"/>
      <c r="PFZ807" s="3787"/>
      <c r="PGA807" s="3787"/>
      <c r="PGB807" s="3787"/>
      <c r="PGC807" s="3787"/>
      <c r="PGD807" s="3787"/>
      <c r="PGE807" s="3787"/>
      <c r="PGF807" s="3787"/>
      <c r="PGG807" s="3787"/>
      <c r="PGH807" s="3787"/>
      <c r="PGI807" s="3787"/>
      <c r="PGJ807" s="3787"/>
      <c r="PGK807" s="3787"/>
      <c r="PGP807" s="3787"/>
      <c r="PGV807" s="3787"/>
      <c r="PGW807" s="3787"/>
      <c r="PGX807" s="3787"/>
      <c r="PHB807" s="3787"/>
      <c r="PHI807" s="3787"/>
      <c r="PHJ807" s="3787"/>
      <c r="PHK807" s="3787"/>
      <c r="PHL807" s="3787"/>
      <c r="PHM807" s="3787"/>
      <c r="PHN807" s="3787"/>
      <c r="PHO807" s="3787"/>
      <c r="PHP807" s="3787"/>
      <c r="PHQ807" s="3787"/>
      <c r="PHR807" s="3787"/>
      <c r="PHS807" s="3787"/>
      <c r="PHT807" s="3787"/>
      <c r="PHU807" s="3787"/>
      <c r="PHV807" s="3787"/>
      <c r="PHW807" s="3787"/>
      <c r="PHX807" s="3787"/>
      <c r="PHY807" s="3787"/>
      <c r="PHZ807" s="3787"/>
      <c r="PIA807" s="3787"/>
      <c r="PIB807" s="3787"/>
      <c r="PIC807" s="3787"/>
      <c r="PID807" s="3787"/>
      <c r="PIE807" s="3787"/>
      <c r="PIF807" s="3787"/>
      <c r="PIG807" s="3787"/>
      <c r="PIH807" s="3787"/>
      <c r="PII807" s="3787"/>
      <c r="PIJ807" s="3787"/>
      <c r="PIK807" s="3787"/>
      <c r="PIL807" s="3787"/>
      <c r="PIM807" s="3787"/>
      <c r="PIN807" s="3787"/>
      <c r="PIO807" s="3787"/>
      <c r="PIP807" s="3787"/>
      <c r="PIQ807" s="3787"/>
      <c r="PIR807" s="3787"/>
      <c r="PIS807" s="3787"/>
      <c r="PIT807" s="3787"/>
      <c r="PIU807" s="3787"/>
      <c r="PIV807" s="3787"/>
      <c r="PIW807" s="3787"/>
      <c r="PIX807" s="3787"/>
      <c r="PIY807" s="3787"/>
      <c r="PIZ807" s="3787"/>
      <c r="PJA807" s="3787"/>
      <c r="PJB807" s="3787"/>
      <c r="PJC807" s="3787"/>
      <c r="PJD807" s="3787"/>
      <c r="PJE807" s="3787"/>
      <c r="PJF807" s="3787"/>
      <c r="PJG807" s="3787"/>
      <c r="PJH807" s="3787"/>
      <c r="PJI807" s="3787"/>
      <c r="PJJ807" s="3787"/>
      <c r="PJK807" s="3787"/>
      <c r="PJL807" s="3787"/>
      <c r="PJM807" s="3787"/>
      <c r="PJN807" s="3787"/>
      <c r="PJO807" s="3787"/>
      <c r="PJP807" s="3787"/>
      <c r="PJQ807" s="3787"/>
      <c r="PJR807" s="3787"/>
      <c r="PJS807" s="3787"/>
      <c r="PJT807" s="3787"/>
      <c r="PJU807" s="3787"/>
      <c r="PJV807" s="3787"/>
      <c r="PJW807" s="3787"/>
      <c r="PJX807" s="3787"/>
      <c r="PJY807" s="3787"/>
      <c r="PJZ807" s="3787"/>
      <c r="PKA807" s="3787"/>
      <c r="PKB807" s="3787"/>
      <c r="PKC807" s="3787"/>
      <c r="PKD807" s="3787"/>
      <c r="PKE807" s="3787"/>
      <c r="PKF807" s="3787"/>
      <c r="PKG807" s="3787"/>
      <c r="PKH807" s="3787"/>
      <c r="PKI807" s="3787"/>
      <c r="PKJ807" s="3787"/>
      <c r="PKK807" s="3787"/>
      <c r="PKL807" s="3787"/>
      <c r="PKM807" s="3787"/>
      <c r="PKN807" s="3787"/>
      <c r="PKO807" s="3787"/>
      <c r="PKP807" s="3787"/>
      <c r="PKQ807" s="3787"/>
      <c r="PKR807" s="3787"/>
      <c r="PKS807" s="3787"/>
      <c r="PKT807" s="3787"/>
      <c r="PKU807" s="3787"/>
      <c r="PKV807" s="3787"/>
      <c r="PKW807" s="3787"/>
      <c r="PKX807" s="3787"/>
      <c r="PKY807" s="3787"/>
      <c r="PKZ807" s="3787"/>
      <c r="PLA807" s="3787"/>
      <c r="PLB807" s="3787"/>
      <c r="PLC807" s="3787"/>
      <c r="PLD807" s="3787"/>
      <c r="PLE807" s="3787"/>
      <c r="PLF807" s="3787"/>
      <c r="PLG807" s="3787"/>
      <c r="PLH807" s="3787"/>
      <c r="PLI807" s="3787"/>
      <c r="PLJ807" s="3787"/>
      <c r="PLK807" s="3787"/>
      <c r="PLL807" s="3787"/>
      <c r="PLM807" s="3787"/>
      <c r="PLN807" s="3787"/>
      <c r="PLO807" s="3787"/>
      <c r="PLP807" s="3787"/>
      <c r="PLQ807" s="3787"/>
      <c r="PLR807" s="3787"/>
      <c r="PLS807" s="3787"/>
      <c r="PLT807" s="3787"/>
      <c r="PLU807" s="3787"/>
      <c r="PLV807" s="3787"/>
      <c r="PLW807" s="3787"/>
      <c r="PLX807" s="3787"/>
      <c r="PLY807" s="3787"/>
      <c r="PLZ807" s="3787"/>
      <c r="PMA807" s="3787"/>
      <c r="PMB807" s="3787"/>
      <c r="PMC807" s="3787"/>
      <c r="PMD807" s="3787"/>
      <c r="PME807" s="3787"/>
      <c r="PMF807" s="3787"/>
      <c r="PMG807" s="3787"/>
      <c r="PMH807" s="3787"/>
      <c r="PMI807" s="3787"/>
      <c r="PMJ807" s="3787"/>
      <c r="PMK807" s="3787"/>
      <c r="PML807" s="3787"/>
      <c r="PMM807" s="3787"/>
      <c r="PMN807" s="3787"/>
      <c r="PMO807" s="3787"/>
      <c r="PMP807" s="3787"/>
      <c r="PMQ807" s="3787"/>
      <c r="PMR807" s="3787"/>
      <c r="PMS807" s="3787"/>
      <c r="PMT807" s="3787"/>
      <c r="PMU807" s="3787"/>
      <c r="PMV807" s="3787"/>
      <c r="PMW807" s="3787"/>
      <c r="PMX807" s="3787"/>
      <c r="PMY807" s="3787"/>
      <c r="PMZ807" s="3787"/>
      <c r="PNA807" s="3787"/>
      <c r="PNB807" s="3787"/>
      <c r="PNC807" s="3787"/>
      <c r="PND807" s="3787"/>
      <c r="PNE807" s="3787"/>
      <c r="PNF807" s="3787"/>
      <c r="PNG807" s="3787"/>
      <c r="PNH807" s="3787"/>
      <c r="PNI807" s="3787"/>
      <c r="PNJ807" s="3787"/>
      <c r="PNK807" s="3787"/>
      <c r="PNL807" s="3787"/>
      <c r="PNM807" s="3787"/>
      <c r="PNN807" s="3787"/>
      <c r="PNO807" s="3787"/>
      <c r="PNP807" s="3787"/>
      <c r="PNQ807" s="3787"/>
      <c r="PNR807" s="3787"/>
      <c r="PNS807" s="3787"/>
      <c r="PNT807" s="3787"/>
      <c r="PNU807" s="3787"/>
      <c r="PNV807" s="3787"/>
      <c r="PNW807" s="3787"/>
      <c r="PNX807" s="3787"/>
      <c r="PNY807" s="3787"/>
      <c r="PNZ807" s="3787"/>
      <c r="POA807" s="3787"/>
      <c r="POB807" s="3787"/>
      <c r="POC807" s="3787"/>
      <c r="POD807" s="3787"/>
      <c r="POE807" s="3787"/>
      <c r="POF807" s="3787"/>
      <c r="POG807" s="3787"/>
      <c r="POH807" s="3787"/>
      <c r="POI807" s="3787"/>
      <c r="POJ807" s="3787"/>
      <c r="POK807" s="3787"/>
      <c r="POL807" s="3787"/>
      <c r="POM807" s="3787"/>
      <c r="PON807" s="3787"/>
      <c r="POO807" s="3787"/>
      <c r="POP807" s="3787"/>
      <c r="POQ807" s="3787"/>
      <c r="POR807" s="3787"/>
      <c r="POS807" s="3787"/>
      <c r="POT807" s="3787"/>
      <c r="POU807" s="3787"/>
      <c r="POV807" s="3787"/>
      <c r="POW807" s="3787"/>
      <c r="POX807" s="3787"/>
      <c r="POY807" s="3787"/>
      <c r="POZ807" s="3787"/>
      <c r="PPA807" s="3787"/>
      <c r="PPB807" s="3787"/>
      <c r="PPC807" s="3787"/>
      <c r="PPD807" s="3787"/>
      <c r="PPE807" s="3787"/>
      <c r="PPF807" s="3787"/>
      <c r="PPG807" s="3787"/>
      <c r="PPH807" s="3787"/>
      <c r="PPI807" s="3787"/>
      <c r="PPJ807" s="3787"/>
      <c r="PPK807" s="3787"/>
      <c r="PPL807" s="3787"/>
      <c r="PPM807" s="3787"/>
      <c r="PPN807" s="3787"/>
      <c r="PPO807" s="3787"/>
      <c r="PPP807" s="3787"/>
      <c r="PPQ807" s="3787"/>
      <c r="PPR807" s="3787"/>
      <c r="PPS807" s="3787"/>
      <c r="PPT807" s="3787"/>
      <c r="PPU807" s="3787"/>
      <c r="PPV807" s="3787"/>
      <c r="PPW807" s="3787"/>
      <c r="PPX807" s="3787"/>
      <c r="PPY807" s="3787"/>
      <c r="PPZ807" s="3787"/>
      <c r="PQA807" s="3787"/>
      <c r="PQB807" s="3787"/>
      <c r="PQC807" s="3787"/>
      <c r="PQD807" s="3787"/>
      <c r="PQE807" s="3787"/>
      <c r="PQF807" s="3787"/>
      <c r="PQG807" s="3787"/>
      <c r="PQL807" s="3787"/>
      <c r="PQR807" s="3787"/>
      <c r="PQS807" s="3787"/>
      <c r="PQT807" s="3787"/>
      <c r="PQX807" s="3787"/>
      <c r="PRE807" s="3787"/>
      <c r="PRF807" s="3787"/>
      <c r="PRG807" s="3787"/>
      <c r="PRH807" s="3787"/>
      <c r="PRI807" s="3787"/>
      <c r="PRJ807" s="3787"/>
      <c r="PRK807" s="3787"/>
      <c r="PRL807" s="3787"/>
      <c r="PRM807" s="3787"/>
      <c r="PRN807" s="3787"/>
      <c r="PRO807" s="3787"/>
      <c r="PRP807" s="3787"/>
      <c r="PRQ807" s="3787"/>
      <c r="PRR807" s="3787"/>
      <c r="PRS807" s="3787"/>
      <c r="PRT807" s="3787"/>
      <c r="PRU807" s="3787"/>
      <c r="PRV807" s="3787"/>
      <c r="PRW807" s="3787"/>
      <c r="PRX807" s="3787"/>
      <c r="PRY807" s="3787"/>
      <c r="PRZ807" s="3787"/>
      <c r="PSA807" s="3787"/>
      <c r="PSB807" s="3787"/>
      <c r="PSC807" s="3787"/>
      <c r="PSD807" s="3787"/>
      <c r="PSE807" s="3787"/>
      <c r="PSF807" s="3787"/>
      <c r="PSG807" s="3787"/>
      <c r="PSH807" s="3787"/>
      <c r="PSI807" s="3787"/>
      <c r="PSJ807" s="3787"/>
      <c r="PSK807" s="3787"/>
      <c r="PSL807" s="3787"/>
      <c r="PSM807" s="3787"/>
      <c r="PSN807" s="3787"/>
      <c r="PSO807" s="3787"/>
      <c r="PSP807" s="3787"/>
      <c r="PSQ807" s="3787"/>
      <c r="PSR807" s="3787"/>
      <c r="PSS807" s="3787"/>
      <c r="PST807" s="3787"/>
      <c r="PSU807" s="3787"/>
      <c r="PSV807" s="3787"/>
      <c r="PSW807" s="3787"/>
      <c r="PSX807" s="3787"/>
      <c r="PSY807" s="3787"/>
      <c r="PSZ807" s="3787"/>
      <c r="PTA807" s="3787"/>
      <c r="PTB807" s="3787"/>
      <c r="PTC807" s="3787"/>
      <c r="PTD807" s="3787"/>
      <c r="PTE807" s="3787"/>
      <c r="PTF807" s="3787"/>
      <c r="PTG807" s="3787"/>
      <c r="PTH807" s="3787"/>
      <c r="PTI807" s="3787"/>
      <c r="PTJ807" s="3787"/>
      <c r="PTK807" s="3787"/>
      <c r="PTL807" s="3787"/>
      <c r="PTM807" s="3787"/>
      <c r="PTN807" s="3787"/>
      <c r="PTO807" s="3787"/>
      <c r="PTP807" s="3787"/>
      <c r="PTQ807" s="3787"/>
      <c r="PTR807" s="3787"/>
      <c r="PTS807" s="3787"/>
      <c r="PTT807" s="3787"/>
      <c r="PTU807" s="3787"/>
      <c r="PTV807" s="3787"/>
      <c r="PTW807" s="3787"/>
      <c r="PTX807" s="3787"/>
      <c r="PTY807" s="3787"/>
      <c r="PTZ807" s="3787"/>
      <c r="PUA807" s="3787"/>
      <c r="PUB807" s="3787"/>
      <c r="PUC807" s="3787"/>
      <c r="PUD807" s="3787"/>
      <c r="PUE807" s="3787"/>
      <c r="PUF807" s="3787"/>
      <c r="PUG807" s="3787"/>
      <c r="PUH807" s="3787"/>
      <c r="PUI807" s="3787"/>
      <c r="PUJ807" s="3787"/>
      <c r="PUK807" s="3787"/>
      <c r="PUL807" s="3787"/>
      <c r="PUM807" s="3787"/>
      <c r="PUN807" s="3787"/>
      <c r="PUO807" s="3787"/>
      <c r="PUP807" s="3787"/>
      <c r="PUQ807" s="3787"/>
      <c r="PUR807" s="3787"/>
      <c r="PUS807" s="3787"/>
      <c r="PUT807" s="3787"/>
      <c r="PUU807" s="3787"/>
      <c r="PUV807" s="3787"/>
      <c r="PUW807" s="3787"/>
      <c r="PUX807" s="3787"/>
      <c r="PUY807" s="3787"/>
      <c r="PUZ807" s="3787"/>
      <c r="PVA807" s="3787"/>
      <c r="PVB807" s="3787"/>
      <c r="PVC807" s="3787"/>
      <c r="PVD807" s="3787"/>
      <c r="PVE807" s="3787"/>
      <c r="PVF807" s="3787"/>
      <c r="PVG807" s="3787"/>
      <c r="PVH807" s="3787"/>
      <c r="PVI807" s="3787"/>
      <c r="PVJ807" s="3787"/>
      <c r="PVK807" s="3787"/>
      <c r="PVL807" s="3787"/>
      <c r="PVM807" s="3787"/>
      <c r="PVN807" s="3787"/>
      <c r="PVO807" s="3787"/>
      <c r="PVP807" s="3787"/>
      <c r="PVQ807" s="3787"/>
      <c r="PVR807" s="3787"/>
      <c r="PVS807" s="3787"/>
      <c r="PVT807" s="3787"/>
      <c r="PVU807" s="3787"/>
      <c r="PVV807" s="3787"/>
      <c r="PVW807" s="3787"/>
      <c r="PVX807" s="3787"/>
      <c r="PVY807" s="3787"/>
      <c r="PVZ807" s="3787"/>
      <c r="PWA807" s="3787"/>
      <c r="PWB807" s="3787"/>
      <c r="PWC807" s="3787"/>
      <c r="PWD807" s="3787"/>
      <c r="PWE807" s="3787"/>
      <c r="PWF807" s="3787"/>
      <c r="PWG807" s="3787"/>
      <c r="PWH807" s="3787"/>
      <c r="PWI807" s="3787"/>
      <c r="PWJ807" s="3787"/>
      <c r="PWK807" s="3787"/>
      <c r="PWL807" s="3787"/>
      <c r="PWM807" s="3787"/>
      <c r="PWN807" s="3787"/>
      <c r="PWO807" s="3787"/>
      <c r="PWP807" s="3787"/>
      <c r="PWQ807" s="3787"/>
      <c r="PWR807" s="3787"/>
      <c r="PWS807" s="3787"/>
      <c r="PWT807" s="3787"/>
      <c r="PWU807" s="3787"/>
      <c r="PWV807" s="3787"/>
      <c r="PWW807" s="3787"/>
      <c r="PWX807" s="3787"/>
      <c r="PWY807" s="3787"/>
      <c r="PWZ807" s="3787"/>
      <c r="PXA807" s="3787"/>
      <c r="PXB807" s="3787"/>
      <c r="PXC807" s="3787"/>
      <c r="PXD807" s="3787"/>
      <c r="PXE807" s="3787"/>
      <c r="PXF807" s="3787"/>
      <c r="PXG807" s="3787"/>
      <c r="PXH807" s="3787"/>
      <c r="PXI807" s="3787"/>
      <c r="PXJ807" s="3787"/>
      <c r="PXK807" s="3787"/>
      <c r="PXL807" s="3787"/>
      <c r="PXM807" s="3787"/>
      <c r="PXN807" s="3787"/>
      <c r="PXO807" s="3787"/>
      <c r="PXP807" s="3787"/>
      <c r="PXQ807" s="3787"/>
      <c r="PXR807" s="3787"/>
      <c r="PXS807" s="3787"/>
      <c r="PXT807" s="3787"/>
      <c r="PXU807" s="3787"/>
      <c r="PXV807" s="3787"/>
      <c r="PXW807" s="3787"/>
      <c r="PXX807" s="3787"/>
      <c r="PXY807" s="3787"/>
      <c r="PXZ807" s="3787"/>
      <c r="PYA807" s="3787"/>
      <c r="PYB807" s="3787"/>
      <c r="PYC807" s="3787"/>
      <c r="PYD807" s="3787"/>
      <c r="PYE807" s="3787"/>
      <c r="PYF807" s="3787"/>
      <c r="PYG807" s="3787"/>
      <c r="PYH807" s="3787"/>
      <c r="PYI807" s="3787"/>
      <c r="PYJ807" s="3787"/>
      <c r="PYK807" s="3787"/>
      <c r="PYL807" s="3787"/>
      <c r="PYM807" s="3787"/>
      <c r="PYN807" s="3787"/>
      <c r="PYO807" s="3787"/>
      <c r="PYP807" s="3787"/>
      <c r="PYQ807" s="3787"/>
      <c r="PYR807" s="3787"/>
      <c r="PYS807" s="3787"/>
      <c r="PYT807" s="3787"/>
      <c r="PYU807" s="3787"/>
      <c r="PYV807" s="3787"/>
      <c r="PYW807" s="3787"/>
      <c r="PYX807" s="3787"/>
      <c r="PYY807" s="3787"/>
      <c r="PYZ807" s="3787"/>
      <c r="PZA807" s="3787"/>
      <c r="PZB807" s="3787"/>
      <c r="PZC807" s="3787"/>
      <c r="PZD807" s="3787"/>
      <c r="PZE807" s="3787"/>
      <c r="PZF807" s="3787"/>
      <c r="PZG807" s="3787"/>
      <c r="PZH807" s="3787"/>
      <c r="PZI807" s="3787"/>
      <c r="PZJ807" s="3787"/>
      <c r="PZK807" s="3787"/>
      <c r="PZL807" s="3787"/>
      <c r="PZM807" s="3787"/>
      <c r="PZN807" s="3787"/>
      <c r="PZO807" s="3787"/>
      <c r="PZP807" s="3787"/>
      <c r="PZQ807" s="3787"/>
      <c r="PZR807" s="3787"/>
      <c r="PZS807" s="3787"/>
      <c r="PZT807" s="3787"/>
      <c r="PZU807" s="3787"/>
      <c r="PZV807" s="3787"/>
      <c r="PZW807" s="3787"/>
      <c r="PZX807" s="3787"/>
      <c r="PZY807" s="3787"/>
      <c r="PZZ807" s="3787"/>
      <c r="QAA807" s="3787"/>
      <c r="QAB807" s="3787"/>
      <c r="QAC807" s="3787"/>
      <c r="QAH807" s="3787"/>
      <c r="QAN807" s="3787"/>
      <c r="QAO807" s="3787"/>
      <c r="QAP807" s="3787"/>
      <c r="QAT807" s="3787"/>
      <c r="QBA807" s="3787"/>
      <c r="QBB807" s="3787"/>
      <c r="QBC807" s="3787"/>
      <c r="QBD807" s="3787"/>
      <c r="QBE807" s="3787"/>
      <c r="QBF807" s="3787"/>
      <c r="QBG807" s="3787"/>
      <c r="QBH807" s="3787"/>
      <c r="QBI807" s="3787"/>
      <c r="QBJ807" s="3787"/>
      <c r="QBK807" s="3787"/>
      <c r="QBL807" s="3787"/>
      <c r="QBM807" s="3787"/>
      <c r="QBN807" s="3787"/>
      <c r="QBO807" s="3787"/>
      <c r="QBP807" s="3787"/>
      <c r="QBQ807" s="3787"/>
      <c r="QBR807" s="3787"/>
      <c r="QBS807" s="3787"/>
      <c r="QBT807" s="3787"/>
      <c r="QBU807" s="3787"/>
      <c r="QBV807" s="3787"/>
      <c r="QBW807" s="3787"/>
      <c r="QBX807" s="3787"/>
      <c r="QBY807" s="3787"/>
      <c r="QBZ807" s="3787"/>
      <c r="QCA807" s="3787"/>
      <c r="QCB807" s="3787"/>
      <c r="QCC807" s="3787"/>
      <c r="QCD807" s="3787"/>
      <c r="QCE807" s="3787"/>
      <c r="QCF807" s="3787"/>
      <c r="QCG807" s="3787"/>
      <c r="QCH807" s="3787"/>
      <c r="QCI807" s="3787"/>
      <c r="QCJ807" s="3787"/>
      <c r="QCK807" s="3787"/>
      <c r="QCL807" s="3787"/>
      <c r="QCM807" s="3787"/>
      <c r="QCN807" s="3787"/>
      <c r="QCO807" s="3787"/>
      <c r="QCP807" s="3787"/>
      <c r="QCQ807" s="3787"/>
      <c r="QCR807" s="3787"/>
      <c r="QCS807" s="3787"/>
      <c r="QCT807" s="3787"/>
      <c r="QCU807" s="3787"/>
      <c r="QCV807" s="3787"/>
      <c r="QCW807" s="3787"/>
      <c r="QCX807" s="3787"/>
      <c r="QCY807" s="3787"/>
      <c r="QCZ807" s="3787"/>
      <c r="QDA807" s="3787"/>
      <c r="QDB807" s="3787"/>
      <c r="QDC807" s="3787"/>
      <c r="QDD807" s="3787"/>
      <c r="QDE807" s="3787"/>
      <c r="QDF807" s="3787"/>
      <c r="QDG807" s="3787"/>
      <c r="QDH807" s="3787"/>
      <c r="QDI807" s="3787"/>
      <c r="QDJ807" s="3787"/>
      <c r="QDK807" s="3787"/>
      <c r="QDL807" s="3787"/>
      <c r="QDM807" s="3787"/>
      <c r="QDN807" s="3787"/>
      <c r="QDO807" s="3787"/>
      <c r="QDP807" s="3787"/>
      <c r="QDQ807" s="3787"/>
      <c r="QDR807" s="3787"/>
      <c r="QDS807" s="3787"/>
      <c r="QDT807" s="3787"/>
      <c r="QDU807" s="3787"/>
      <c r="QDV807" s="3787"/>
      <c r="QDW807" s="3787"/>
      <c r="QDX807" s="3787"/>
      <c r="QDY807" s="3787"/>
      <c r="QDZ807" s="3787"/>
      <c r="QEA807" s="3787"/>
      <c r="QEB807" s="3787"/>
      <c r="QEC807" s="3787"/>
      <c r="QED807" s="3787"/>
      <c r="QEE807" s="3787"/>
      <c r="QEF807" s="3787"/>
      <c r="QEG807" s="3787"/>
      <c r="QEH807" s="3787"/>
      <c r="QEI807" s="3787"/>
      <c r="QEJ807" s="3787"/>
      <c r="QEK807" s="3787"/>
      <c r="QEL807" s="3787"/>
      <c r="QEM807" s="3787"/>
      <c r="QEN807" s="3787"/>
      <c r="QEO807" s="3787"/>
      <c r="QEP807" s="3787"/>
      <c r="QEQ807" s="3787"/>
      <c r="QER807" s="3787"/>
      <c r="QES807" s="3787"/>
      <c r="QET807" s="3787"/>
      <c r="QEU807" s="3787"/>
      <c r="QEV807" s="3787"/>
      <c r="QEW807" s="3787"/>
      <c r="QEX807" s="3787"/>
      <c r="QEY807" s="3787"/>
      <c r="QEZ807" s="3787"/>
      <c r="QFA807" s="3787"/>
      <c r="QFB807" s="3787"/>
      <c r="QFC807" s="3787"/>
      <c r="QFD807" s="3787"/>
      <c r="QFE807" s="3787"/>
      <c r="QFF807" s="3787"/>
      <c r="QFG807" s="3787"/>
      <c r="QFH807" s="3787"/>
      <c r="QFI807" s="3787"/>
      <c r="QFJ807" s="3787"/>
      <c r="QFK807" s="3787"/>
      <c r="QFL807" s="3787"/>
      <c r="QFM807" s="3787"/>
      <c r="QFN807" s="3787"/>
      <c r="QFO807" s="3787"/>
      <c r="QFP807" s="3787"/>
      <c r="QFQ807" s="3787"/>
      <c r="QFR807" s="3787"/>
      <c r="QFS807" s="3787"/>
      <c r="QFT807" s="3787"/>
      <c r="QFU807" s="3787"/>
      <c r="QFV807" s="3787"/>
      <c r="QFW807" s="3787"/>
      <c r="QFX807" s="3787"/>
      <c r="QFY807" s="3787"/>
      <c r="QFZ807" s="3787"/>
      <c r="QGA807" s="3787"/>
      <c r="QGB807" s="3787"/>
      <c r="QGC807" s="3787"/>
      <c r="QGD807" s="3787"/>
      <c r="QGE807" s="3787"/>
      <c r="QGF807" s="3787"/>
      <c r="QGG807" s="3787"/>
      <c r="QGH807" s="3787"/>
      <c r="QGI807" s="3787"/>
      <c r="QGJ807" s="3787"/>
      <c r="QGK807" s="3787"/>
      <c r="QGL807" s="3787"/>
      <c r="QGM807" s="3787"/>
      <c r="QGN807" s="3787"/>
      <c r="QGO807" s="3787"/>
      <c r="QGP807" s="3787"/>
      <c r="QGQ807" s="3787"/>
      <c r="QGR807" s="3787"/>
      <c r="QGS807" s="3787"/>
      <c r="QGT807" s="3787"/>
      <c r="QGU807" s="3787"/>
      <c r="QGV807" s="3787"/>
      <c r="QGW807" s="3787"/>
      <c r="QGX807" s="3787"/>
      <c r="QGY807" s="3787"/>
      <c r="QGZ807" s="3787"/>
      <c r="QHA807" s="3787"/>
      <c r="QHB807" s="3787"/>
      <c r="QHC807" s="3787"/>
      <c r="QHD807" s="3787"/>
      <c r="QHE807" s="3787"/>
      <c r="QHF807" s="3787"/>
      <c r="QHG807" s="3787"/>
      <c r="QHH807" s="3787"/>
      <c r="QHI807" s="3787"/>
      <c r="QHJ807" s="3787"/>
      <c r="QHK807" s="3787"/>
      <c r="QHL807" s="3787"/>
      <c r="QHM807" s="3787"/>
      <c r="QHN807" s="3787"/>
      <c r="QHO807" s="3787"/>
      <c r="QHP807" s="3787"/>
      <c r="QHQ807" s="3787"/>
      <c r="QHR807" s="3787"/>
      <c r="QHS807" s="3787"/>
      <c r="QHT807" s="3787"/>
      <c r="QHU807" s="3787"/>
      <c r="QHV807" s="3787"/>
      <c r="QHW807" s="3787"/>
      <c r="QHX807" s="3787"/>
      <c r="QHY807" s="3787"/>
      <c r="QHZ807" s="3787"/>
      <c r="QIA807" s="3787"/>
      <c r="QIB807" s="3787"/>
      <c r="QIC807" s="3787"/>
      <c r="QID807" s="3787"/>
      <c r="QIE807" s="3787"/>
      <c r="QIF807" s="3787"/>
      <c r="QIG807" s="3787"/>
      <c r="QIH807" s="3787"/>
      <c r="QII807" s="3787"/>
      <c r="QIJ807" s="3787"/>
      <c r="QIK807" s="3787"/>
      <c r="QIL807" s="3787"/>
      <c r="QIM807" s="3787"/>
      <c r="QIN807" s="3787"/>
      <c r="QIO807" s="3787"/>
      <c r="QIP807" s="3787"/>
      <c r="QIQ807" s="3787"/>
      <c r="QIR807" s="3787"/>
      <c r="QIS807" s="3787"/>
      <c r="QIT807" s="3787"/>
      <c r="QIU807" s="3787"/>
      <c r="QIV807" s="3787"/>
      <c r="QIW807" s="3787"/>
      <c r="QIX807" s="3787"/>
      <c r="QIY807" s="3787"/>
      <c r="QIZ807" s="3787"/>
      <c r="QJA807" s="3787"/>
      <c r="QJB807" s="3787"/>
      <c r="QJC807" s="3787"/>
      <c r="QJD807" s="3787"/>
      <c r="QJE807" s="3787"/>
      <c r="QJF807" s="3787"/>
      <c r="QJG807" s="3787"/>
      <c r="QJH807" s="3787"/>
      <c r="QJI807" s="3787"/>
      <c r="QJJ807" s="3787"/>
      <c r="QJK807" s="3787"/>
      <c r="QJL807" s="3787"/>
      <c r="QJM807" s="3787"/>
      <c r="QJN807" s="3787"/>
      <c r="QJO807" s="3787"/>
      <c r="QJP807" s="3787"/>
      <c r="QJQ807" s="3787"/>
      <c r="QJR807" s="3787"/>
      <c r="QJS807" s="3787"/>
      <c r="QJT807" s="3787"/>
      <c r="QJU807" s="3787"/>
      <c r="QJV807" s="3787"/>
      <c r="QJW807" s="3787"/>
      <c r="QJX807" s="3787"/>
      <c r="QJY807" s="3787"/>
      <c r="QKD807" s="3787"/>
      <c r="QKJ807" s="3787"/>
      <c r="QKK807" s="3787"/>
      <c r="QKL807" s="3787"/>
      <c r="QKP807" s="3787"/>
      <c r="QKW807" s="3787"/>
      <c r="QKX807" s="3787"/>
      <c r="QKY807" s="3787"/>
      <c r="QKZ807" s="3787"/>
      <c r="QLA807" s="3787"/>
      <c r="QLB807" s="3787"/>
      <c r="QLC807" s="3787"/>
      <c r="QLD807" s="3787"/>
      <c r="QLE807" s="3787"/>
      <c r="QLF807" s="3787"/>
      <c r="QLG807" s="3787"/>
      <c r="QLH807" s="3787"/>
      <c r="QLI807" s="3787"/>
      <c r="QLJ807" s="3787"/>
      <c r="QLK807" s="3787"/>
      <c r="QLL807" s="3787"/>
      <c r="QLM807" s="3787"/>
      <c r="QLN807" s="3787"/>
      <c r="QLO807" s="3787"/>
      <c r="QLP807" s="3787"/>
      <c r="QLQ807" s="3787"/>
      <c r="QLR807" s="3787"/>
      <c r="QLS807" s="3787"/>
      <c r="QLT807" s="3787"/>
      <c r="QLU807" s="3787"/>
      <c r="QLV807" s="3787"/>
      <c r="QLW807" s="3787"/>
      <c r="QLX807" s="3787"/>
      <c r="QLY807" s="3787"/>
      <c r="QLZ807" s="3787"/>
      <c r="QMA807" s="3787"/>
      <c r="QMB807" s="3787"/>
      <c r="QMC807" s="3787"/>
      <c r="QMD807" s="3787"/>
      <c r="QME807" s="3787"/>
      <c r="QMF807" s="3787"/>
      <c r="QMG807" s="3787"/>
      <c r="QMH807" s="3787"/>
      <c r="QMI807" s="3787"/>
      <c r="QMJ807" s="3787"/>
      <c r="QMK807" s="3787"/>
      <c r="QML807" s="3787"/>
      <c r="QMM807" s="3787"/>
      <c r="QMN807" s="3787"/>
      <c r="QMO807" s="3787"/>
      <c r="QMP807" s="3787"/>
      <c r="QMQ807" s="3787"/>
      <c r="QMR807" s="3787"/>
      <c r="QMS807" s="3787"/>
      <c r="QMT807" s="3787"/>
      <c r="QMU807" s="3787"/>
      <c r="QMV807" s="3787"/>
      <c r="QMW807" s="3787"/>
      <c r="QMX807" s="3787"/>
      <c r="QMY807" s="3787"/>
      <c r="QMZ807" s="3787"/>
      <c r="QNA807" s="3787"/>
      <c r="QNB807" s="3787"/>
      <c r="QNC807" s="3787"/>
      <c r="QND807" s="3787"/>
      <c r="QNE807" s="3787"/>
      <c r="QNF807" s="3787"/>
      <c r="QNG807" s="3787"/>
      <c r="QNH807" s="3787"/>
      <c r="QNI807" s="3787"/>
      <c r="QNJ807" s="3787"/>
      <c r="QNK807" s="3787"/>
      <c r="QNL807" s="3787"/>
      <c r="QNM807" s="3787"/>
      <c r="QNN807" s="3787"/>
      <c r="QNO807" s="3787"/>
      <c r="QNP807" s="3787"/>
      <c r="QNQ807" s="3787"/>
      <c r="QNR807" s="3787"/>
      <c r="QNS807" s="3787"/>
      <c r="QNT807" s="3787"/>
      <c r="QNU807" s="3787"/>
      <c r="QNV807" s="3787"/>
      <c r="QNW807" s="3787"/>
      <c r="QNX807" s="3787"/>
      <c r="QNY807" s="3787"/>
      <c r="QNZ807" s="3787"/>
      <c r="QOA807" s="3787"/>
      <c r="QOB807" s="3787"/>
      <c r="QOC807" s="3787"/>
      <c r="QOD807" s="3787"/>
      <c r="QOE807" s="3787"/>
      <c r="QOF807" s="3787"/>
      <c r="QOG807" s="3787"/>
      <c r="QOH807" s="3787"/>
      <c r="QOI807" s="3787"/>
      <c r="QOJ807" s="3787"/>
      <c r="QOK807" s="3787"/>
      <c r="QOL807" s="3787"/>
      <c r="QOM807" s="3787"/>
      <c r="QON807" s="3787"/>
      <c r="QOO807" s="3787"/>
      <c r="QOP807" s="3787"/>
      <c r="QOQ807" s="3787"/>
      <c r="QOR807" s="3787"/>
      <c r="QOS807" s="3787"/>
      <c r="QOT807" s="3787"/>
      <c r="QOU807" s="3787"/>
      <c r="QOV807" s="3787"/>
      <c r="QOW807" s="3787"/>
      <c r="QOX807" s="3787"/>
      <c r="QOY807" s="3787"/>
      <c r="QOZ807" s="3787"/>
      <c r="QPA807" s="3787"/>
      <c r="QPB807" s="3787"/>
      <c r="QPC807" s="3787"/>
      <c r="QPD807" s="3787"/>
      <c r="QPE807" s="3787"/>
      <c r="QPF807" s="3787"/>
      <c r="QPG807" s="3787"/>
      <c r="QPH807" s="3787"/>
      <c r="QPI807" s="3787"/>
      <c r="QPJ807" s="3787"/>
      <c r="QPK807" s="3787"/>
      <c r="QPL807" s="3787"/>
      <c r="QPM807" s="3787"/>
      <c r="QPN807" s="3787"/>
      <c r="QPO807" s="3787"/>
      <c r="QPP807" s="3787"/>
      <c r="QPQ807" s="3787"/>
      <c r="QPR807" s="3787"/>
      <c r="QPS807" s="3787"/>
      <c r="QPT807" s="3787"/>
      <c r="QPU807" s="3787"/>
      <c r="QPV807" s="3787"/>
      <c r="QPW807" s="3787"/>
      <c r="QPX807" s="3787"/>
      <c r="QPY807" s="3787"/>
      <c r="QPZ807" s="3787"/>
      <c r="QQA807" s="3787"/>
      <c r="QQB807" s="3787"/>
      <c r="QQC807" s="3787"/>
      <c r="QQD807" s="3787"/>
      <c r="QQE807" s="3787"/>
      <c r="QQF807" s="3787"/>
      <c r="QQG807" s="3787"/>
      <c r="QQH807" s="3787"/>
      <c r="QQI807" s="3787"/>
      <c r="QQJ807" s="3787"/>
      <c r="QQK807" s="3787"/>
      <c r="QQL807" s="3787"/>
      <c r="QQM807" s="3787"/>
      <c r="QQN807" s="3787"/>
      <c r="QQO807" s="3787"/>
      <c r="QQP807" s="3787"/>
      <c r="QQQ807" s="3787"/>
      <c r="QQR807" s="3787"/>
      <c r="QQS807" s="3787"/>
      <c r="QQT807" s="3787"/>
      <c r="QQU807" s="3787"/>
      <c r="QQV807" s="3787"/>
      <c r="QQW807" s="3787"/>
      <c r="QQX807" s="3787"/>
      <c r="QQY807" s="3787"/>
      <c r="QQZ807" s="3787"/>
      <c r="QRA807" s="3787"/>
      <c r="QRB807" s="3787"/>
      <c r="QRC807" s="3787"/>
      <c r="QRD807" s="3787"/>
      <c r="QRE807" s="3787"/>
      <c r="QRF807" s="3787"/>
      <c r="QRG807" s="3787"/>
      <c r="QRH807" s="3787"/>
      <c r="QRI807" s="3787"/>
      <c r="QRJ807" s="3787"/>
      <c r="QRK807" s="3787"/>
      <c r="QRL807" s="3787"/>
      <c r="QRM807" s="3787"/>
      <c r="QRN807" s="3787"/>
      <c r="QRO807" s="3787"/>
      <c r="QRP807" s="3787"/>
      <c r="QRQ807" s="3787"/>
      <c r="QRR807" s="3787"/>
      <c r="QRS807" s="3787"/>
      <c r="QRT807" s="3787"/>
      <c r="QRU807" s="3787"/>
      <c r="QRV807" s="3787"/>
      <c r="QRW807" s="3787"/>
      <c r="QRX807" s="3787"/>
      <c r="QRY807" s="3787"/>
      <c r="QRZ807" s="3787"/>
      <c r="QSA807" s="3787"/>
      <c r="QSB807" s="3787"/>
      <c r="QSC807" s="3787"/>
      <c r="QSD807" s="3787"/>
      <c r="QSE807" s="3787"/>
      <c r="QSF807" s="3787"/>
      <c r="QSG807" s="3787"/>
      <c r="QSH807" s="3787"/>
      <c r="QSI807" s="3787"/>
      <c r="QSJ807" s="3787"/>
      <c r="QSK807" s="3787"/>
      <c r="QSL807" s="3787"/>
      <c r="QSM807" s="3787"/>
      <c r="QSN807" s="3787"/>
      <c r="QSO807" s="3787"/>
      <c r="QSP807" s="3787"/>
      <c r="QSQ807" s="3787"/>
      <c r="QSR807" s="3787"/>
      <c r="QSS807" s="3787"/>
      <c r="QST807" s="3787"/>
      <c r="QSU807" s="3787"/>
      <c r="QSV807" s="3787"/>
      <c r="QSW807" s="3787"/>
      <c r="QSX807" s="3787"/>
      <c r="QSY807" s="3787"/>
      <c r="QSZ807" s="3787"/>
      <c r="QTA807" s="3787"/>
      <c r="QTB807" s="3787"/>
      <c r="QTC807" s="3787"/>
      <c r="QTD807" s="3787"/>
      <c r="QTE807" s="3787"/>
      <c r="QTF807" s="3787"/>
      <c r="QTG807" s="3787"/>
      <c r="QTH807" s="3787"/>
      <c r="QTI807" s="3787"/>
      <c r="QTJ807" s="3787"/>
      <c r="QTK807" s="3787"/>
      <c r="QTL807" s="3787"/>
      <c r="QTM807" s="3787"/>
      <c r="QTN807" s="3787"/>
      <c r="QTO807" s="3787"/>
      <c r="QTP807" s="3787"/>
      <c r="QTQ807" s="3787"/>
      <c r="QTR807" s="3787"/>
      <c r="QTS807" s="3787"/>
      <c r="QTT807" s="3787"/>
      <c r="QTU807" s="3787"/>
      <c r="QTZ807" s="3787"/>
      <c r="QUF807" s="3787"/>
      <c r="QUG807" s="3787"/>
      <c r="QUH807" s="3787"/>
      <c r="QUL807" s="3787"/>
      <c r="QUS807" s="3787"/>
      <c r="QUT807" s="3787"/>
      <c r="QUU807" s="3787"/>
      <c r="QUV807" s="3787"/>
      <c r="QUW807" s="3787"/>
      <c r="QUX807" s="3787"/>
      <c r="QUY807" s="3787"/>
      <c r="QUZ807" s="3787"/>
      <c r="QVA807" s="3787"/>
      <c r="QVB807" s="3787"/>
      <c r="QVC807" s="3787"/>
      <c r="QVD807" s="3787"/>
      <c r="QVE807" s="3787"/>
      <c r="QVF807" s="3787"/>
      <c r="QVG807" s="3787"/>
      <c r="QVH807" s="3787"/>
      <c r="QVI807" s="3787"/>
      <c r="QVJ807" s="3787"/>
      <c r="QVK807" s="3787"/>
      <c r="QVL807" s="3787"/>
      <c r="QVM807" s="3787"/>
      <c r="QVN807" s="3787"/>
      <c r="QVO807" s="3787"/>
      <c r="QVP807" s="3787"/>
      <c r="QVQ807" s="3787"/>
      <c r="QVR807" s="3787"/>
      <c r="QVS807" s="3787"/>
      <c r="QVT807" s="3787"/>
      <c r="QVU807" s="3787"/>
      <c r="QVV807" s="3787"/>
      <c r="QVW807" s="3787"/>
      <c r="QVX807" s="3787"/>
      <c r="QVY807" s="3787"/>
      <c r="QVZ807" s="3787"/>
      <c r="QWA807" s="3787"/>
      <c r="QWB807" s="3787"/>
      <c r="QWC807" s="3787"/>
      <c r="QWD807" s="3787"/>
      <c r="QWE807" s="3787"/>
      <c r="QWF807" s="3787"/>
      <c r="QWG807" s="3787"/>
      <c r="QWH807" s="3787"/>
      <c r="QWI807" s="3787"/>
      <c r="QWJ807" s="3787"/>
      <c r="QWK807" s="3787"/>
      <c r="QWL807" s="3787"/>
      <c r="QWM807" s="3787"/>
      <c r="QWN807" s="3787"/>
      <c r="QWO807" s="3787"/>
      <c r="QWP807" s="3787"/>
      <c r="QWQ807" s="3787"/>
      <c r="QWR807" s="3787"/>
      <c r="QWS807" s="3787"/>
      <c r="QWT807" s="3787"/>
      <c r="QWU807" s="3787"/>
      <c r="QWV807" s="3787"/>
      <c r="QWW807" s="3787"/>
      <c r="QWX807" s="3787"/>
      <c r="QWY807" s="3787"/>
      <c r="QWZ807" s="3787"/>
      <c r="QXA807" s="3787"/>
      <c r="QXB807" s="3787"/>
      <c r="QXC807" s="3787"/>
      <c r="QXD807" s="3787"/>
      <c r="QXE807" s="3787"/>
      <c r="QXF807" s="3787"/>
      <c r="QXG807" s="3787"/>
      <c r="QXH807" s="3787"/>
      <c r="QXI807" s="3787"/>
      <c r="QXJ807" s="3787"/>
      <c r="QXK807" s="3787"/>
      <c r="QXL807" s="3787"/>
      <c r="QXM807" s="3787"/>
      <c r="QXN807" s="3787"/>
      <c r="QXO807" s="3787"/>
      <c r="QXP807" s="3787"/>
      <c r="QXQ807" s="3787"/>
      <c r="QXR807" s="3787"/>
      <c r="QXS807" s="3787"/>
      <c r="QXT807" s="3787"/>
      <c r="QXU807" s="3787"/>
      <c r="QXV807" s="3787"/>
      <c r="QXW807" s="3787"/>
      <c r="QXX807" s="3787"/>
      <c r="QXY807" s="3787"/>
      <c r="QXZ807" s="3787"/>
      <c r="QYA807" s="3787"/>
      <c r="QYB807" s="3787"/>
      <c r="QYC807" s="3787"/>
      <c r="QYD807" s="3787"/>
      <c r="QYE807" s="3787"/>
      <c r="QYF807" s="3787"/>
      <c r="QYG807" s="3787"/>
      <c r="QYH807" s="3787"/>
      <c r="QYI807" s="3787"/>
      <c r="QYJ807" s="3787"/>
      <c r="QYK807" s="3787"/>
      <c r="QYL807" s="3787"/>
      <c r="QYM807" s="3787"/>
      <c r="QYN807" s="3787"/>
      <c r="QYO807" s="3787"/>
      <c r="QYP807" s="3787"/>
      <c r="QYQ807" s="3787"/>
      <c r="QYR807" s="3787"/>
      <c r="QYS807" s="3787"/>
      <c r="QYT807" s="3787"/>
      <c r="QYU807" s="3787"/>
      <c r="QYV807" s="3787"/>
      <c r="QYW807" s="3787"/>
      <c r="QYX807" s="3787"/>
      <c r="QYY807" s="3787"/>
      <c r="QYZ807" s="3787"/>
      <c r="QZA807" s="3787"/>
      <c r="QZB807" s="3787"/>
      <c r="QZC807" s="3787"/>
      <c r="QZD807" s="3787"/>
      <c r="QZE807" s="3787"/>
      <c r="QZF807" s="3787"/>
      <c r="QZG807" s="3787"/>
      <c r="QZH807" s="3787"/>
      <c r="QZI807" s="3787"/>
      <c r="QZJ807" s="3787"/>
      <c r="QZK807" s="3787"/>
      <c r="QZL807" s="3787"/>
      <c r="QZM807" s="3787"/>
      <c r="QZN807" s="3787"/>
      <c r="QZO807" s="3787"/>
      <c r="QZP807" s="3787"/>
      <c r="QZQ807" s="3787"/>
      <c r="QZR807" s="3787"/>
      <c r="QZS807" s="3787"/>
      <c r="QZT807" s="3787"/>
      <c r="QZU807" s="3787"/>
      <c r="QZV807" s="3787"/>
      <c r="QZW807" s="3787"/>
      <c r="QZX807" s="3787"/>
      <c r="QZY807" s="3787"/>
      <c r="QZZ807" s="3787"/>
      <c r="RAA807" s="3787"/>
      <c r="RAB807" s="3787"/>
      <c r="RAC807" s="3787"/>
      <c r="RAD807" s="3787"/>
      <c r="RAE807" s="3787"/>
      <c r="RAF807" s="3787"/>
      <c r="RAG807" s="3787"/>
      <c r="RAH807" s="3787"/>
      <c r="RAI807" s="3787"/>
      <c r="RAJ807" s="3787"/>
      <c r="RAK807" s="3787"/>
      <c r="RAL807" s="3787"/>
      <c r="RAM807" s="3787"/>
      <c r="RAN807" s="3787"/>
      <c r="RAO807" s="3787"/>
      <c r="RAP807" s="3787"/>
      <c r="RAQ807" s="3787"/>
      <c r="RAR807" s="3787"/>
      <c r="RAS807" s="3787"/>
      <c r="RAT807" s="3787"/>
      <c r="RAU807" s="3787"/>
      <c r="RAV807" s="3787"/>
      <c r="RAW807" s="3787"/>
      <c r="RAX807" s="3787"/>
      <c r="RAY807" s="3787"/>
      <c r="RAZ807" s="3787"/>
      <c r="RBA807" s="3787"/>
      <c r="RBB807" s="3787"/>
      <c r="RBC807" s="3787"/>
      <c r="RBD807" s="3787"/>
      <c r="RBE807" s="3787"/>
      <c r="RBF807" s="3787"/>
      <c r="RBG807" s="3787"/>
      <c r="RBH807" s="3787"/>
      <c r="RBI807" s="3787"/>
      <c r="RBJ807" s="3787"/>
      <c r="RBK807" s="3787"/>
      <c r="RBL807" s="3787"/>
      <c r="RBM807" s="3787"/>
      <c r="RBN807" s="3787"/>
      <c r="RBO807" s="3787"/>
      <c r="RBP807" s="3787"/>
      <c r="RBQ807" s="3787"/>
      <c r="RBR807" s="3787"/>
      <c r="RBS807" s="3787"/>
      <c r="RBT807" s="3787"/>
      <c r="RBU807" s="3787"/>
      <c r="RBV807" s="3787"/>
      <c r="RBW807" s="3787"/>
      <c r="RBX807" s="3787"/>
      <c r="RBY807" s="3787"/>
      <c r="RBZ807" s="3787"/>
      <c r="RCA807" s="3787"/>
      <c r="RCB807" s="3787"/>
      <c r="RCC807" s="3787"/>
      <c r="RCD807" s="3787"/>
      <c r="RCE807" s="3787"/>
      <c r="RCF807" s="3787"/>
      <c r="RCG807" s="3787"/>
      <c r="RCH807" s="3787"/>
      <c r="RCI807" s="3787"/>
      <c r="RCJ807" s="3787"/>
      <c r="RCK807" s="3787"/>
      <c r="RCL807" s="3787"/>
      <c r="RCM807" s="3787"/>
      <c r="RCN807" s="3787"/>
      <c r="RCO807" s="3787"/>
      <c r="RCP807" s="3787"/>
      <c r="RCQ807" s="3787"/>
      <c r="RCR807" s="3787"/>
      <c r="RCS807" s="3787"/>
      <c r="RCT807" s="3787"/>
      <c r="RCU807" s="3787"/>
      <c r="RCV807" s="3787"/>
      <c r="RCW807" s="3787"/>
      <c r="RCX807" s="3787"/>
      <c r="RCY807" s="3787"/>
      <c r="RCZ807" s="3787"/>
      <c r="RDA807" s="3787"/>
      <c r="RDB807" s="3787"/>
      <c r="RDC807" s="3787"/>
      <c r="RDD807" s="3787"/>
      <c r="RDE807" s="3787"/>
      <c r="RDF807" s="3787"/>
      <c r="RDG807" s="3787"/>
      <c r="RDH807" s="3787"/>
      <c r="RDI807" s="3787"/>
      <c r="RDJ807" s="3787"/>
      <c r="RDK807" s="3787"/>
      <c r="RDL807" s="3787"/>
      <c r="RDM807" s="3787"/>
      <c r="RDN807" s="3787"/>
      <c r="RDO807" s="3787"/>
      <c r="RDP807" s="3787"/>
      <c r="RDQ807" s="3787"/>
      <c r="RDV807" s="3787"/>
      <c r="REB807" s="3787"/>
      <c r="REC807" s="3787"/>
      <c r="RED807" s="3787"/>
      <c r="REH807" s="3787"/>
      <c r="REO807" s="3787"/>
      <c r="REP807" s="3787"/>
      <c r="REQ807" s="3787"/>
      <c r="RER807" s="3787"/>
      <c r="RES807" s="3787"/>
      <c r="RET807" s="3787"/>
      <c r="REU807" s="3787"/>
      <c r="REV807" s="3787"/>
      <c r="REW807" s="3787"/>
      <c r="REX807" s="3787"/>
      <c r="REY807" s="3787"/>
      <c r="REZ807" s="3787"/>
      <c r="RFA807" s="3787"/>
      <c r="RFB807" s="3787"/>
      <c r="RFC807" s="3787"/>
      <c r="RFD807" s="3787"/>
      <c r="RFE807" s="3787"/>
      <c r="RFF807" s="3787"/>
      <c r="RFG807" s="3787"/>
      <c r="RFH807" s="3787"/>
      <c r="RFI807" s="3787"/>
      <c r="RFJ807" s="3787"/>
      <c r="RFK807" s="3787"/>
      <c r="RFL807" s="3787"/>
      <c r="RFM807" s="3787"/>
      <c r="RFN807" s="3787"/>
      <c r="RFO807" s="3787"/>
      <c r="RFP807" s="3787"/>
      <c r="RFQ807" s="3787"/>
      <c r="RFR807" s="3787"/>
      <c r="RFS807" s="3787"/>
      <c r="RFT807" s="3787"/>
      <c r="RFU807" s="3787"/>
      <c r="RFV807" s="3787"/>
      <c r="RFW807" s="3787"/>
      <c r="RFX807" s="3787"/>
      <c r="RFY807" s="3787"/>
      <c r="RFZ807" s="3787"/>
      <c r="RGA807" s="3787"/>
      <c r="RGB807" s="3787"/>
      <c r="RGC807" s="3787"/>
      <c r="RGD807" s="3787"/>
      <c r="RGE807" s="3787"/>
      <c r="RGF807" s="3787"/>
      <c r="RGG807" s="3787"/>
      <c r="RGH807" s="3787"/>
      <c r="RGI807" s="3787"/>
      <c r="RGJ807" s="3787"/>
      <c r="RGK807" s="3787"/>
      <c r="RGL807" s="3787"/>
      <c r="RGM807" s="3787"/>
      <c r="RGN807" s="3787"/>
      <c r="RGO807" s="3787"/>
      <c r="RGP807" s="3787"/>
      <c r="RGQ807" s="3787"/>
      <c r="RGR807" s="3787"/>
      <c r="RGS807" s="3787"/>
      <c r="RGT807" s="3787"/>
      <c r="RGU807" s="3787"/>
      <c r="RGV807" s="3787"/>
      <c r="RGW807" s="3787"/>
      <c r="RGX807" s="3787"/>
      <c r="RGY807" s="3787"/>
      <c r="RGZ807" s="3787"/>
      <c r="RHA807" s="3787"/>
      <c r="RHB807" s="3787"/>
      <c r="RHC807" s="3787"/>
      <c r="RHD807" s="3787"/>
      <c r="RHE807" s="3787"/>
      <c r="RHF807" s="3787"/>
      <c r="RHG807" s="3787"/>
      <c r="RHH807" s="3787"/>
      <c r="RHI807" s="3787"/>
      <c r="RHJ807" s="3787"/>
      <c r="RHK807" s="3787"/>
      <c r="RHL807" s="3787"/>
      <c r="RHM807" s="3787"/>
      <c r="RHN807" s="3787"/>
      <c r="RHO807" s="3787"/>
      <c r="RHP807" s="3787"/>
      <c r="RHQ807" s="3787"/>
      <c r="RHR807" s="3787"/>
      <c r="RHS807" s="3787"/>
      <c r="RHT807" s="3787"/>
      <c r="RHU807" s="3787"/>
      <c r="RHV807" s="3787"/>
      <c r="RHW807" s="3787"/>
      <c r="RHX807" s="3787"/>
      <c r="RHY807" s="3787"/>
      <c r="RHZ807" s="3787"/>
      <c r="RIA807" s="3787"/>
      <c r="RIB807" s="3787"/>
      <c r="RIC807" s="3787"/>
      <c r="RID807" s="3787"/>
      <c r="RIE807" s="3787"/>
      <c r="RIF807" s="3787"/>
      <c r="RIG807" s="3787"/>
      <c r="RIH807" s="3787"/>
      <c r="RII807" s="3787"/>
      <c r="RIJ807" s="3787"/>
      <c r="RIK807" s="3787"/>
      <c r="RIL807" s="3787"/>
      <c r="RIM807" s="3787"/>
      <c r="RIN807" s="3787"/>
      <c r="RIO807" s="3787"/>
      <c r="RIP807" s="3787"/>
      <c r="RIQ807" s="3787"/>
      <c r="RIR807" s="3787"/>
      <c r="RIS807" s="3787"/>
      <c r="RIT807" s="3787"/>
      <c r="RIU807" s="3787"/>
      <c r="RIV807" s="3787"/>
      <c r="RIW807" s="3787"/>
      <c r="RIX807" s="3787"/>
      <c r="RIY807" s="3787"/>
      <c r="RIZ807" s="3787"/>
      <c r="RJA807" s="3787"/>
      <c r="RJB807" s="3787"/>
      <c r="RJC807" s="3787"/>
      <c r="RJD807" s="3787"/>
      <c r="RJE807" s="3787"/>
      <c r="RJF807" s="3787"/>
      <c r="RJG807" s="3787"/>
      <c r="RJH807" s="3787"/>
      <c r="RJI807" s="3787"/>
      <c r="RJJ807" s="3787"/>
      <c r="RJK807" s="3787"/>
      <c r="RJL807" s="3787"/>
      <c r="RJM807" s="3787"/>
      <c r="RJN807" s="3787"/>
      <c r="RJO807" s="3787"/>
      <c r="RJP807" s="3787"/>
      <c r="RJQ807" s="3787"/>
      <c r="RJR807" s="3787"/>
      <c r="RJS807" s="3787"/>
      <c r="RJT807" s="3787"/>
      <c r="RJU807" s="3787"/>
      <c r="RJV807" s="3787"/>
      <c r="RJW807" s="3787"/>
      <c r="RJX807" s="3787"/>
      <c r="RJY807" s="3787"/>
      <c r="RJZ807" s="3787"/>
      <c r="RKA807" s="3787"/>
      <c r="RKB807" s="3787"/>
      <c r="RKC807" s="3787"/>
      <c r="RKD807" s="3787"/>
      <c r="RKE807" s="3787"/>
      <c r="RKF807" s="3787"/>
      <c r="RKG807" s="3787"/>
      <c r="RKH807" s="3787"/>
      <c r="RKI807" s="3787"/>
      <c r="RKJ807" s="3787"/>
      <c r="RKK807" s="3787"/>
      <c r="RKL807" s="3787"/>
      <c r="RKM807" s="3787"/>
      <c r="RKN807" s="3787"/>
      <c r="RKO807" s="3787"/>
      <c r="RKP807" s="3787"/>
      <c r="RKQ807" s="3787"/>
      <c r="RKR807" s="3787"/>
      <c r="RKS807" s="3787"/>
      <c r="RKT807" s="3787"/>
      <c r="RKU807" s="3787"/>
      <c r="RKV807" s="3787"/>
      <c r="RKW807" s="3787"/>
      <c r="RKX807" s="3787"/>
      <c r="RKY807" s="3787"/>
      <c r="RKZ807" s="3787"/>
      <c r="RLA807" s="3787"/>
      <c r="RLB807" s="3787"/>
      <c r="RLC807" s="3787"/>
      <c r="RLD807" s="3787"/>
      <c r="RLE807" s="3787"/>
      <c r="RLF807" s="3787"/>
      <c r="RLG807" s="3787"/>
      <c r="RLH807" s="3787"/>
      <c r="RLI807" s="3787"/>
      <c r="RLJ807" s="3787"/>
      <c r="RLK807" s="3787"/>
      <c r="RLL807" s="3787"/>
      <c r="RLM807" s="3787"/>
      <c r="RLN807" s="3787"/>
      <c r="RLO807" s="3787"/>
      <c r="RLP807" s="3787"/>
      <c r="RLQ807" s="3787"/>
      <c r="RLR807" s="3787"/>
      <c r="RLS807" s="3787"/>
      <c r="RLT807" s="3787"/>
      <c r="RLU807" s="3787"/>
      <c r="RLV807" s="3787"/>
      <c r="RLW807" s="3787"/>
      <c r="RLX807" s="3787"/>
      <c r="RLY807" s="3787"/>
      <c r="RLZ807" s="3787"/>
      <c r="RMA807" s="3787"/>
      <c r="RMB807" s="3787"/>
      <c r="RMC807" s="3787"/>
      <c r="RMD807" s="3787"/>
      <c r="RME807" s="3787"/>
      <c r="RMF807" s="3787"/>
      <c r="RMG807" s="3787"/>
      <c r="RMH807" s="3787"/>
      <c r="RMI807" s="3787"/>
      <c r="RMJ807" s="3787"/>
      <c r="RMK807" s="3787"/>
      <c r="RML807" s="3787"/>
      <c r="RMM807" s="3787"/>
      <c r="RMN807" s="3787"/>
      <c r="RMO807" s="3787"/>
      <c r="RMP807" s="3787"/>
      <c r="RMQ807" s="3787"/>
      <c r="RMR807" s="3787"/>
      <c r="RMS807" s="3787"/>
      <c r="RMT807" s="3787"/>
      <c r="RMU807" s="3787"/>
      <c r="RMV807" s="3787"/>
      <c r="RMW807" s="3787"/>
      <c r="RMX807" s="3787"/>
      <c r="RMY807" s="3787"/>
      <c r="RMZ807" s="3787"/>
      <c r="RNA807" s="3787"/>
      <c r="RNB807" s="3787"/>
      <c r="RNC807" s="3787"/>
      <c r="RND807" s="3787"/>
      <c r="RNE807" s="3787"/>
      <c r="RNF807" s="3787"/>
      <c r="RNG807" s="3787"/>
      <c r="RNH807" s="3787"/>
      <c r="RNI807" s="3787"/>
      <c r="RNJ807" s="3787"/>
      <c r="RNK807" s="3787"/>
      <c r="RNL807" s="3787"/>
      <c r="RNM807" s="3787"/>
      <c r="RNR807" s="3787"/>
      <c r="RNX807" s="3787"/>
      <c r="RNY807" s="3787"/>
      <c r="RNZ807" s="3787"/>
      <c r="ROD807" s="3787"/>
      <c r="ROK807" s="3787"/>
      <c r="ROL807" s="3787"/>
      <c r="ROM807" s="3787"/>
      <c r="RON807" s="3787"/>
      <c r="ROO807" s="3787"/>
      <c r="ROP807" s="3787"/>
      <c r="ROQ807" s="3787"/>
      <c r="ROR807" s="3787"/>
      <c r="ROS807" s="3787"/>
      <c r="ROT807" s="3787"/>
      <c r="ROU807" s="3787"/>
      <c r="ROV807" s="3787"/>
      <c r="ROW807" s="3787"/>
      <c r="ROX807" s="3787"/>
      <c r="ROY807" s="3787"/>
      <c r="ROZ807" s="3787"/>
      <c r="RPA807" s="3787"/>
      <c r="RPB807" s="3787"/>
      <c r="RPC807" s="3787"/>
      <c r="RPD807" s="3787"/>
      <c r="RPE807" s="3787"/>
      <c r="RPF807" s="3787"/>
      <c r="RPG807" s="3787"/>
      <c r="RPH807" s="3787"/>
      <c r="RPI807" s="3787"/>
      <c r="RPJ807" s="3787"/>
      <c r="RPK807" s="3787"/>
      <c r="RPL807" s="3787"/>
      <c r="RPM807" s="3787"/>
      <c r="RPN807" s="3787"/>
      <c r="RPO807" s="3787"/>
      <c r="RPP807" s="3787"/>
      <c r="RPQ807" s="3787"/>
      <c r="RPR807" s="3787"/>
      <c r="RPS807" s="3787"/>
      <c r="RPT807" s="3787"/>
      <c r="RPU807" s="3787"/>
      <c r="RPV807" s="3787"/>
      <c r="RPW807" s="3787"/>
      <c r="RPX807" s="3787"/>
      <c r="RPY807" s="3787"/>
      <c r="RPZ807" s="3787"/>
      <c r="RQA807" s="3787"/>
      <c r="RQB807" s="3787"/>
      <c r="RQC807" s="3787"/>
      <c r="RQD807" s="3787"/>
      <c r="RQE807" s="3787"/>
      <c r="RQF807" s="3787"/>
      <c r="RQG807" s="3787"/>
      <c r="RQH807" s="3787"/>
      <c r="RQI807" s="3787"/>
      <c r="RQJ807" s="3787"/>
      <c r="RQK807" s="3787"/>
      <c r="RQL807" s="3787"/>
      <c r="RQM807" s="3787"/>
      <c r="RQN807" s="3787"/>
      <c r="RQO807" s="3787"/>
      <c r="RQP807" s="3787"/>
      <c r="RQQ807" s="3787"/>
      <c r="RQR807" s="3787"/>
      <c r="RQS807" s="3787"/>
      <c r="RQT807" s="3787"/>
      <c r="RQU807" s="3787"/>
      <c r="RQV807" s="3787"/>
      <c r="RQW807" s="3787"/>
      <c r="RQX807" s="3787"/>
      <c r="RQY807" s="3787"/>
      <c r="RQZ807" s="3787"/>
      <c r="RRA807" s="3787"/>
      <c r="RRB807" s="3787"/>
      <c r="RRC807" s="3787"/>
      <c r="RRD807" s="3787"/>
      <c r="RRE807" s="3787"/>
      <c r="RRF807" s="3787"/>
      <c r="RRG807" s="3787"/>
      <c r="RRH807" s="3787"/>
      <c r="RRI807" s="3787"/>
      <c r="RRJ807" s="3787"/>
      <c r="RRK807" s="3787"/>
      <c r="RRL807" s="3787"/>
      <c r="RRM807" s="3787"/>
      <c r="RRN807" s="3787"/>
      <c r="RRO807" s="3787"/>
      <c r="RRP807" s="3787"/>
      <c r="RRQ807" s="3787"/>
      <c r="RRR807" s="3787"/>
      <c r="RRS807" s="3787"/>
      <c r="RRT807" s="3787"/>
      <c r="RRU807" s="3787"/>
      <c r="RRV807" s="3787"/>
      <c r="RRW807" s="3787"/>
      <c r="RRX807" s="3787"/>
      <c r="RRY807" s="3787"/>
      <c r="RRZ807" s="3787"/>
      <c r="RSA807" s="3787"/>
      <c r="RSB807" s="3787"/>
      <c r="RSC807" s="3787"/>
      <c r="RSD807" s="3787"/>
      <c r="RSE807" s="3787"/>
      <c r="RSF807" s="3787"/>
      <c r="RSG807" s="3787"/>
      <c r="RSH807" s="3787"/>
      <c r="RSI807" s="3787"/>
      <c r="RSJ807" s="3787"/>
      <c r="RSK807" s="3787"/>
      <c r="RSL807" s="3787"/>
      <c r="RSM807" s="3787"/>
      <c r="RSN807" s="3787"/>
      <c r="RSO807" s="3787"/>
      <c r="RSP807" s="3787"/>
      <c r="RSQ807" s="3787"/>
      <c r="RSR807" s="3787"/>
      <c r="RSS807" s="3787"/>
      <c r="RST807" s="3787"/>
      <c r="RSU807" s="3787"/>
      <c r="RSV807" s="3787"/>
      <c r="RSW807" s="3787"/>
      <c r="RSX807" s="3787"/>
      <c r="RSY807" s="3787"/>
      <c r="RSZ807" s="3787"/>
      <c r="RTA807" s="3787"/>
      <c r="RTB807" s="3787"/>
      <c r="RTC807" s="3787"/>
      <c r="RTD807" s="3787"/>
      <c r="RTE807" s="3787"/>
      <c r="RTF807" s="3787"/>
      <c r="RTG807" s="3787"/>
      <c r="RTH807" s="3787"/>
      <c r="RTI807" s="3787"/>
      <c r="RTJ807" s="3787"/>
      <c r="RTK807" s="3787"/>
      <c r="RTL807" s="3787"/>
      <c r="RTM807" s="3787"/>
      <c r="RTN807" s="3787"/>
      <c r="RTO807" s="3787"/>
      <c r="RTP807" s="3787"/>
      <c r="RTQ807" s="3787"/>
      <c r="RTR807" s="3787"/>
      <c r="RTS807" s="3787"/>
      <c r="RTT807" s="3787"/>
      <c r="RTU807" s="3787"/>
      <c r="RTV807" s="3787"/>
      <c r="RTW807" s="3787"/>
      <c r="RTX807" s="3787"/>
      <c r="RTY807" s="3787"/>
      <c r="RTZ807" s="3787"/>
      <c r="RUA807" s="3787"/>
      <c r="RUB807" s="3787"/>
      <c r="RUC807" s="3787"/>
      <c r="RUD807" s="3787"/>
      <c r="RUE807" s="3787"/>
      <c r="RUF807" s="3787"/>
      <c r="RUG807" s="3787"/>
      <c r="RUH807" s="3787"/>
      <c r="RUI807" s="3787"/>
      <c r="RUJ807" s="3787"/>
      <c r="RUK807" s="3787"/>
      <c r="RUL807" s="3787"/>
      <c r="RUM807" s="3787"/>
      <c r="RUN807" s="3787"/>
      <c r="RUO807" s="3787"/>
      <c r="RUP807" s="3787"/>
      <c r="RUQ807" s="3787"/>
      <c r="RUR807" s="3787"/>
      <c r="RUS807" s="3787"/>
      <c r="RUT807" s="3787"/>
      <c r="RUU807" s="3787"/>
      <c r="RUV807" s="3787"/>
      <c r="RUW807" s="3787"/>
      <c r="RUX807" s="3787"/>
      <c r="RUY807" s="3787"/>
      <c r="RUZ807" s="3787"/>
      <c r="RVA807" s="3787"/>
      <c r="RVB807" s="3787"/>
      <c r="RVC807" s="3787"/>
      <c r="RVD807" s="3787"/>
      <c r="RVE807" s="3787"/>
      <c r="RVF807" s="3787"/>
      <c r="RVG807" s="3787"/>
      <c r="RVH807" s="3787"/>
      <c r="RVI807" s="3787"/>
      <c r="RVJ807" s="3787"/>
      <c r="RVK807" s="3787"/>
      <c r="RVL807" s="3787"/>
      <c r="RVM807" s="3787"/>
      <c r="RVN807" s="3787"/>
      <c r="RVO807" s="3787"/>
      <c r="RVP807" s="3787"/>
      <c r="RVQ807" s="3787"/>
      <c r="RVR807" s="3787"/>
      <c r="RVS807" s="3787"/>
      <c r="RVT807" s="3787"/>
      <c r="RVU807" s="3787"/>
      <c r="RVV807" s="3787"/>
      <c r="RVW807" s="3787"/>
      <c r="RVX807" s="3787"/>
      <c r="RVY807" s="3787"/>
      <c r="RVZ807" s="3787"/>
      <c r="RWA807" s="3787"/>
      <c r="RWB807" s="3787"/>
      <c r="RWC807" s="3787"/>
      <c r="RWD807" s="3787"/>
      <c r="RWE807" s="3787"/>
      <c r="RWF807" s="3787"/>
      <c r="RWG807" s="3787"/>
      <c r="RWH807" s="3787"/>
      <c r="RWI807" s="3787"/>
      <c r="RWJ807" s="3787"/>
      <c r="RWK807" s="3787"/>
      <c r="RWL807" s="3787"/>
      <c r="RWM807" s="3787"/>
      <c r="RWN807" s="3787"/>
      <c r="RWO807" s="3787"/>
      <c r="RWP807" s="3787"/>
      <c r="RWQ807" s="3787"/>
      <c r="RWR807" s="3787"/>
      <c r="RWS807" s="3787"/>
      <c r="RWT807" s="3787"/>
      <c r="RWU807" s="3787"/>
      <c r="RWV807" s="3787"/>
      <c r="RWW807" s="3787"/>
      <c r="RWX807" s="3787"/>
      <c r="RWY807" s="3787"/>
      <c r="RWZ807" s="3787"/>
      <c r="RXA807" s="3787"/>
      <c r="RXB807" s="3787"/>
      <c r="RXC807" s="3787"/>
      <c r="RXD807" s="3787"/>
      <c r="RXE807" s="3787"/>
      <c r="RXF807" s="3787"/>
      <c r="RXG807" s="3787"/>
      <c r="RXH807" s="3787"/>
      <c r="RXI807" s="3787"/>
      <c r="RXN807" s="3787"/>
      <c r="RXT807" s="3787"/>
      <c r="RXU807" s="3787"/>
      <c r="RXV807" s="3787"/>
      <c r="RXZ807" s="3787"/>
      <c r="RYG807" s="3787"/>
      <c r="RYH807" s="3787"/>
      <c r="RYI807" s="3787"/>
      <c r="RYJ807" s="3787"/>
      <c r="RYK807" s="3787"/>
      <c r="RYL807" s="3787"/>
      <c r="RYM807" s="3787"/>
      <c r="RYN807" s="3787"/>
      <c r="RYO807" s="3787"/>
      <c r="RYP807" s="3787"/>
      <c r="RYQ807" s="3787"/>
      <c r="RYR807" s="3787"/>
      <c r="RYS807" s="3787"/>
      <c r="RYT807" s="3787"/>
      <c r="RYU807" s="3787"/>
      <c r="RYV807" s="3787"/>
      <c r="RYW807" s="3787"/>
      <c r="RYX807" s="3787"/>
      <c r="RYY807" s="3787"/>
      <c r="RYZ807" s="3787"/>
      <c r="RZA807" s="3787"/>
      <c r="RZB807" s="3787"/>
      <c r="RZC807" s="3787"/>
      <c r="RZD807" s="3787"/>
      <c r="RZE807" s="3787"/>
      <c r="RZF807" s="3787"/>
      <c r="RZG807" s="3787"/>
      <c r="RZH807" s="3787"/>
      <c r="RZI807" s="3787"/>
      <c r="RZJ807" s="3787"/>
      <c r="RZK807" s="3787"/>
      <c r="RZL807" s="3787"/>
      <c r="RZM807" s="3787"/>
      <c r="RZN807" s="3787"/>
      <c r="RZO807" s="3787"/>
      <c r="RZP807" s="3787"/>
      <c r="RZQ807" s="3787"/>
      <c r="RZR807" s="3787"/>
      <c r="RZS807" s="3787"/>
      <c r="RZT807" s="3787"/>
      <c r="RZU807" s="3787"/>
      <c r="RZV807" s="3787"/>
      <c r="RZW807" s="3787"/>
      <c r="RZX807" s="3787"/>
      <c r="RZY807" s="3787"/>
      <c r="RZZ807" s="3787"/>
      <c r="SAA807" s="3787"/>
      <c r="SAB807" s="3787"/>
      <c r="SAC807" s="3787"/>
      <c r="SAD807" s="3787"/>
      <c r="SAE807" s="3787"/>
      <c r="SAF807" s="3787"/>
      <c r="SAG807" s="3787"/>
      <c r="SAH807" s="3787"/>
      <c r="SAI807" s="3787"/>
      <c r="SAJ807" s="3787"/>
      <c r="SAK807" s="3787"/>
      <c r="SAL807" s="3787"/>
      <c r="SAM807" s="3787"/>
      <c r="SAN807" s="3787"/>
      <c r="SAO807" s="3787"/>
      <c r="SAP807" s="3787"/>
      <c r="SAQ807" s="3787"/>
      <c r="SAR807" s="3787"/>
      <c r="SAS807" s="3787"/>
      <c r="SAT807" s="3787"/>
      <c r="SAU807" s="3787"/>
      <c r="SAV807" s="3787"/>
      <c r="SAW807" s="3787"/>
      <c r="SAX807" s="3787"/>
      <c r="SAY807" s="3787"/>
      <c r="SAZ807" s="3787"/>
      <c r="SBA807" s="3787"/>
      <c r="SBB807" s="3787"/>
      <c r="SBC807" s="3787"/>
      <c r="SBD807" s="3787"/>
      <c r="SBE807" s="3787"/>
      <c r="SBF807" s="3787"/>
      <c r="SBG807" s="3787"/>
      <c r="SBH807" s="3787"/>
      <c r="SBI807" s="3787"/>
      <c r="SBJ807" s="3787"/>
      <c r="SBK807" s="3787"/>
      <c r="SBL807" s="3787"/>
      <c r="SBM807" s="3787"/>
      <c r="SBN807" s="3787"/>
      <c r="SBO807" s="3787"/>
      <c r="SBP807" s="3787"/>
      <c r="SBQ807" s="3787"/>
      <c r="SBR807" s="3787"/>
      <c r="SBS807" s="3787"/>
      <c r="SBT807" s="3787"/>
      <c r="SBU807" s="3787"/>
      <c r="SBV807" s="3787"/>
      <c r="SBW807" s="3787"/>
      <c r="SBX807" s="3787"/>
      <c r="SBY807" s="3787"/>
      <c r="SBZ807" s="3787"/>
      <c r="SCA807" s="3787"/>
      <c r="SCB807" s="3787"/>
      <c r="SCC807" s="3787"/>
      <c r="SCD807" s="3787"/>
      <c r="SCE807" s="3787"/>
      <c r="SCF807" s="3787"/>
      <c r="SCG807" s="3787"/>
      <c r="SCH807" s="3787"/>
      <c r="SCI807" s="3787"/>
      <c r="SCJ807" s="3787"/>
      <c r="SCK807" s="3787"/>
      <c r="SCL807" s="3787"/>
      <c r="SCM807" s="3787"/>
      <c r="SCN807" s="3787"/>
      <c r="SCO807" s="3787"/>
      <c r="SCP807" s="3787"/>
      <c r="SCQ807" s="3787"/>
      <c r="SCR807" s="3787"/>
      <c r="SCS807" s="3787"/>
      <c r="SCT807" s="3787"/>
      <c r="SCU807" s="3787"/>
      <c r="SCV807" s="3787"/>
      <c r="SCW807" s="3787"/>
      <c r="SCX807" s="3787"/>
      <c r="SCY807" s="3787"/>
      <c r="SCZ807" s="3787"/>
      <c r="SDA807" s="3787"/>
      <c r="SDB807" s="3787"/>
      <c r="SDC807" s="3787"/>
      <c r="SDD807" s="3787"/>
      <c r="SDE807" s="3787"/>
      <c r="SDF807" s="3787"/>
      <c r="SDG807" s="3787"/>
      <c r="SDH807" s="3787"/>
      <c r="SDI807" s="3787"/>
      <c r="SDJ807" s="3787"/>
      <c r="SDK807" s="3787"/>
      <c r="SDL807" s="3787"/>
      <c r="SDM807" s="3787"/>
      <c r="SDN807" s="3787"/>
      <c r="SDO807" s="3787"/>
      <c r="SDP807" s="3787"/>
      <c r="SDQ807" s="3787"/>
      <c r="SDR807" s="3787"/>
      <c r="SDS807" s="3787"/>
      <c r="SDT807" s="3787"/>
      <c r="SDU807" s="3787"/>
      <c r="SDV807" s="3787"/>
      <c r="SDW807" s="3787"/>
      <c r="SDX807" s="3787"/>
      <c r="SDY807" s="3787"/>
      <c r="SDZ807" s="3787"/>
      <c r="SEA807" s="3787"/>
      <c r="SEB807" s="3787"/>
      <c r="SEC807" s="3787"/>
      <c r="SED807" s="3787"/>
      <c r="SEE807" s="3787"/>
      <c r="SEF807" s="3787"/>
      <c r="SEG807" s="3787"/>
      <c r="SEH807" s="3787"/>
      <c r="SEI807" s="3787"/>
      <c r="SEJ807" s="3787"/>
      <c r="SEK807" s="3787"/>
      <c r="SEL807" s="3787"/>
      <c r="SEM807" s="3787"/>
      <c r="SEN807" s="3787"/>
      <c r="SEO807" s="3787"/>
      <c r="SEP807" s="3787"/>
      <c r="SEQ807" s="3787"/>
      <c r="SER807" s="3787"/>
      <c r="SES807" s="3787"/>
      <c r="SET807" s="3787"/>
      <c r="SEU807" s="3787"/>
      <c r="SEV807" s="3787"/>
      <c r="SEW807" s="3787"/>
      <c r="SEX807" s="3787"/>
      <c r="SEY807" s="3787"/>
      <c r="SEZ807" s="3787"/>
      <c r="SFA807" s="3787"/>
      <c r="SFB807" s="3787"/>
      <c r="SFC807" s="3787"/>
      <c r="SFD807" s="3787"/>
      <c r="SFE807" s="3787"/>
      <c r="SFF807" s="3787"/>
      <c r="SFG807" s="3787"/>
      <c r="SFH807" s="3787"/>
      <c r="SFI807" s="3787"/>
      <c r="SFJ807" s="3787"/>
      <c r="SFK807" s="3787"/>
      <c r="SFL807" s="3787"/>
      <c r="SFM807" s="3787"/>
      <c r="SFN807" s="3787"/>
      <c r="SFO807" s="3787"/>
      <c r="SFP807" s="3787"/>
      <c r="SFQ807" s="3787"/>
      <c r="SFR807" s="3787"/>
      <c r="SFS807" s="3787"/>
      <c r="SFT807" s="3787"/>
      <c r="SFU807" s="3787"/>
      <c r="SFV807" s="3787"/>
      <c r="SFW807" s="3787"/>
      <c r="SFX807" s="3787"/>
      <c r="SFY807" s="3787"/>
      <c r="SFZ807" s="3787"/>
      <c r="SGA807" s="3787"/>
      <c r="SGB807" s="3787"/>
      <c r="SGC807" s="3787"/>
      <c r="SGD807" s="3787"/>
      <c r="SGE807" s="3787"/>
      <c r="SGF807" s="3787"/>
      <c r="SGG807" s="3787"/>
      <c r="SGH807" s="3787"/>
      <c r="SGI807" s="3787"/>
      <c r="SGJ807" s="3787"/>
      <c r="SGK807" s="3787"/>
      <c r="SGL807" s="3787"/>
      <c r="SGM807" s="3787"/>
      <c r="SGN807" s="3787"/>
      <c r="SGO807" s="3787"/>
      <c r="SGP807" s="3787"/>
      <c r="SGQ807" s="3787"/>
      <c r="SGR807" s="3787"/>
      <c r="SGS807" s="3787"/>
      <c r="SGT807" s="3787"/>
      <c r="SGU807" s="3787"/>
      <c r="SGV807" s="3787"/>
      <c r="SGW807" s="3787"/>
      <c r="SGX807" s="3787"/>
      <c r="SGY807" s="3787"/>
      <c r="SGZ807" s="3787"/>
      <c r="SHA807" s="3787"/>
      <c r="SHB807" s="3787"/>
      <c r="SHC807" s="3787"/>
      <c r="SHD807" s="3787"/>
      <c r="SHE807" s="3787"/>
      <c r="SHJ807" s="3787"/>
      <c r="SHP807" s="3787"/>
      <c r="SHQ807" s="3787"/>
      <c r="SHR807" s="3787"/>
      <c r="SHV807" s="3787"/>
      <c r="SIC807" s="3787"/>
      <c r="SID807" s="3787"/>
      <c r="SIE807" s="3787"/>
      <c r="SIF807" s="3787"/>
      <c r="SIG807" s="3787"/>
      <c r="SIH807" s="3787"/>
      <c r="SII807" s="3787"/>
      <c r="SIJ807" s="3787"/>
      <c r="SIK807" s="3787"/>
      <c r="SIL807" s="3787"/>
      <c r="SIM807" s="3787"/>
      <c r="SIN807" s="3787"/>
      <c r="SIO807" s="3787"/>
      <c r="SIP807" s="3787"/>
      <c r="SIQ807" s="3787"/>
      <c r="SIR807" s="3787"/>
      <c r="SIS807" s="3787"/>
      <c r="SIT807" s="3787"/>
      <c r="SIU807" s="3787"/>
      <c r="SIV807" s="3787"/>
      <c r="SIW807" s="3787"/>
      <c r="SIX807" s="3787"/>
      <c r="SIY807" s="3787"/>
      <c r="SIZ807" s="3787"/>
      <c r="SJA807" s="3787"/>
      <c r="SJB807" s="3787"/>
      <c r="SJC807" s="3787"/>
      <c r="SJD807" s="3787"/>
      <c r="SJE807" s="3787"/>
      <c r="SJF807" s="3787"/>
      <c r="SJG807" s="3787"/>
      <c r="SJH807" s="3787"/>
      <c r="SJI807" s="3787"/>
      <c r="SJJ807" s="3787"/>
      <c r="SJK807" s="3787"/>
      <c r="SJL807" s="3787"/>
      <c r="SJM807" s="3787"/>
      <c r="SJN807" s="3787"/>
      <c r="SJO807" s="3787"/>
      <c r="SJP807" s="3787"/>
      <c r="SJQ807" s="3787"/>
      <c r="SJR807" s="3787"/>
      <c r="SJS807" s="3787"/>
      <c r="SJT807" s="3787"/>
      <c r="SJU807" s="3787"/>
      <c r="SJV807" s="3787"/>
      <c r="SJW807" s="3787"/>
      <c r="SJX807" s="3787"/>
      <c r="SJY807" s="3787"/>
      <c r="SJZ807" s="3787"/>
      <c r="SKA807" s="3787"/>
      <c r="SKB807" s="3787"/>
      <c r="SKC807" s="3787"/>
      <c r="SKD807" s="3787"/>
      <c r="SKE807" s="3787"/>
      <c r="SKF807" s="3787"/>
      <c r="SKG807" s="3787"/>
      <c r="SKH807" s="3787"/>
      <c r="SKI807" s="3787"/>
      <c r="SKJ807" s="3787"/>
      <c r="SKK807" s="3787"/>
      <c r="SKL807" s="3787"/>
      <c r="SKM807" s="3787"/>
      <c r="SKN807" s="3787"/>
      <c r="SKO807" s="3787"/>
      <c r="SKP807" s="3787"/>
      <c r="SKQ807" s="3787"/>
      <c r="SKR807" s="3787"/>
      <c r="SKS807" s="3787"/>
      <c r="SKT807" s="3787"/>
      <c r="SKU807" s="3787"/>
      <c r="SKV807" s="3787"/>
      <c r="SKW807" s="3787"/>
      <c r="SKX807" s="3787"/>
      <c r="SKY807" s="3787"/>
      <c r="SKZ807" s="3787"/>
      <c r="SLA807" s="3787"/>
      <c r="SLB807" s="3787"/>
      <c r="SLC807" s="3787"/>
      <c r="SLD807" s="3787"/>
      <c r="SLE807" s="3787"/>
      <c r="SLF807" s="3787"/>
      <c r="SLG807" s="3787"/>
      <c r="SLH807" s="3787"/>
      <c r="SLI807" s="3787"/>
      <c r="SLJ807" s="3787"/>
      <c r="SLK807" s="3787"/>
      <c r="SLL807" s="3787"/>
      <c r="SLM807" s="3787"/>
      <c r="SLN807" s="3787"/>
      <c r="SLO807" s="3787"/>
      <c r="SLP807" s="3787"/>
      <c r="SLQ807" s="3787"/>
      <c r="SLR807" s="3787"/>
      <c r="SLS807" s="3787"/>
      <c r="SLT807" s="3787"/>
      <c r="SLU807" s="3787"/>
      <c r="SLV807" s="3787"/>
      <c r="SLW807" s="3787"/>
      <c r="SLX807" s="3787"/>
      <c r="SLY807" s="3787"/>
      <c r="SLZ807" s="3787"/>
      <c r="SMA807" s="3787"/>
      <c r="SMB807" s="3787"/>
      <c r="SMC807" s="3787"/>
      <c r="SMD807" s="3787"/>
      <c r="SME807" s="3787"/>
      <c r="SMF807" s="3787"/>
      <c r="SMG807" s="3787"/>
      <c r="SMH807" s="3787"/>
      <c r="SMI807" s="3787"/>
      <c r="SMJ807" s="3787"/>
      <c r="SMK807" s="3787"/>
      <c r="SML807" s="3787"/>
      <c r="SMM807" s="3787"/>
      <c r="SMN807" s="3787"/>
      <c r="SMO807" s="3787"/>
      <c r="SMP807" s="3787"/>
      <c r="SMQ807" s="3787"/>
      <c r="SMR807" s="3787"/>
      <c r="SMS807" s="3787"/>
      <c r="SMT807" s="3787"/>
      <c r="SMU807" s="3787"/>
      <c r="SMV807" s="3787"/>
      <c r="SMW807" s="3787"/>
      <c r="SMX807" s="3787"/>
      <c r="SMY807" s="3787"/>
      <c r="SMZ807" s="3787"/>
      <c r="SNA807" s="3787"/>
      <c r="SNB807" s="3787"/>
      <c r="SNC807" s="3787"/>
      <c r="SND807" s="3787"/>
      <c r="SNE807" s="3787"/>
      <c r="SNF807" s="3787"/>
      <c r="SNG807" s="3787"/>
      <c r="SNH807" s="3787"/>
      <c r="SNI807" s="3787"/>
      <c r="SNJ807" s="3787"/>
      <c r="SNK807" s="3787"/>
      <c r="SNL807" s="3787"/>
      <c r="SNM807" s="3787"/>
      <c r="SNN807" s="3787"/>
      <c r="SNO807" s="3787"/>
      <c r="SNP807" s="3787"/>
      <c r="SNQ807" s="3787"/>
      <c r="SNR807" s="3787"/>
      <c r="SNS807" s="3787"/>
      <c r="SNT807" s="3787"/>
      <c r="SNU807" s="3787"/>
      <c r="SNV807" s="3787"/>
      <c r="SNW807" s="3787"/>
      <c r="SNX807" s="3787"/>
      <c r="SNY807" s="3787"/>
      <c r="SNZ807" s="3787"/>
      <c r="SOA807" s="3787"/>
      <c r="SOB807" s="3787"/>
      <c r="SOC807" s="3787"/>
      <c r="SOD807" s="3787"/>
      <c r="SOE807" s="3787"/>
      <c r="SOF807" s="3787"/>
      <c r="SOG807" s="3787"/>
      <c r="SOH807" s="3787"/>
      <c r="SOI807" s="3787"/>
      <c r="SOJ807" s="3787"/>
      <c r="SOK807" s="3787"/>
      <c r="SOL807" s="3787"/>
      <c r="SOM807" s="3787"/>
      <c r="SON807" s="3787"/>
      <c r="SOO807" s="3787"/>
      <c r="SOP807" s="3787"/>
      <c r="SOQ807" s="3787"/>
      <c r="SOR807" s="3787"/>
      <c r="SOS807" s="3787"/>
      <c r="SOT807" s="3787"/>
      <c r="SOU807" s="3787"/>
      <c r="SOV807" s="3787"/>
      <c r="SOW807" s="3787"/>
      <c r="SOX807" s="3787"/>
      <c r="SOY807" s="3787"/>
      <c r="SOZ807" s="3787"/>
      <c r="SPA807" s="3787"/>
      <c r="SPB807" s="3787"/>
      <c r="SPC807" s="3787"/>
      <c r="SPD807" s="3787"/>
      <c r="SPE807" s="3787"/>
      <c r="SPF807" s="3787"/>
      <c r="SPG807" s="3787"/>
      <c r="SPH807" s="3787"/>
      <c r="SPI807" s="3787"/>
      <c r="SPJ807" s="3787"/>
      <c r="SPK807" s="3787"/>
      <c r="SPL807" s="3787"/>
      <c r="SPM807" s="3787"/>
      <c r="SPN807" s="3787"/>
      <c r="SPO807" s="3787"/>
      <c r="SPP807" s="3787"/>
      <c r="SPQ807" s="3787"/>
      <c r="SPR807" s="3787"/>
      <c r="SPS807" s="3787"/>
      <c r="SPT807" s="3787"/>
      <c r="SPU807" s="3787"/>
      <c r="SPV807" s="3787"/>
      <c r="SPW807" s="3787"/>
      <c r="SPX807" s="3787"/>
      <c r="SPY807" s="3787"/>
      <c r="SPZ807" s="3787"/>
      <c r="SQA807" s="3787"/>
      <c r="SQB807" s="3787"/>
      <c r="SQC807" s="3787"/>
      <c r="SQD807" s="3787"/>
      <c r="SQE807" s="3787"/>
      <c r="SQF807" s="3787"/>
      <c r="SQG807" s="3787"/>
      <c r="SQH807" s="3787"/>
      <c r="SQI807" s="3787"/>
      <c r="SQJ807" s="3787"/>
      <c r="SQK807" s="3787"/>
      <c r="SQL807" s="3787"/>
      <c r="SQM807" s="3787"/>
      <c r="SQN807" s="3787"/>
      <c r="SQO807" s="3787"/>
      <c r="SQP807" s="3787"/>
      <c r="SQQ807" s="3787"/>
      <c r="SQR807" s="3787"/>
      <c r="SQS807" s="3787"/>
      <c r="SQT807" s="3787"/>
      <c r="SQU807" s="3787"/>
      <c r="SQV807" s="3787"/>
      <c r="SQW807" s="3787"/>
      <c r="SQX807" s="3787"/>
      <c r="SQY807" s="3787"/>
      <c r="SQZ807" s="3787"/>
      <c r="SRA807" s="3787"/>
      <c r="SRF807" s="3787"/>
      <c r="SRL807" s="3787"/>
      <c r="SRM807" s="3787"/>
      <c r="SRN807" s="3787"/>
      <c r="SRR807" s="3787"/>
      <c r="SRY807" s="3787"/>
      <c r="SRZ807" s="3787"/>
      <c r="SSA807" s="3787"/>
      <c r="SSB807" s="3787"/>
      <c r="SSC807" s="3787"/>
      <c r="SSD807" s="3787"/>
      <c r="SSE807" s="3787"/>
      <c r="SSF807" s="3787"/>
      <c r="SSG807" s="3787"/>
      <c r="SSH807" s="3787"/>
      <c r="SSI807" s="3787"/>
      <c r="SSJ807" s="3787"/>
      <c r="SSK807" s="3787"/>
      <c r="SSL807" s="3787"/>
      <c r="SSM807" s="3787"/>
      <c r="SSN807" s="3787"/>
      <c r="SSO807" s="3787"/>
      <c r="SSP807" s="3787"/>
      <c r="SSQ807" s="3787"/>
      <c r="SSR807" s="3787"/>
      <c r="SSS807" s="3787"/>
      <c r="SST807" s="3787"/>
      <c r="SSU807" s="3787"/>
      <c r="SSV807" s="3787"/>
      <c r="SSW807" s="3787"/>
      <c r="SSX807" s="3787"/>
      <c r="SSY807" s="3787"/>
      <c r="SSZ807" s="3787"/>
      <c r="STA807" s="3787"/>
      <c r="STB807" s="3787"/>
      <c r="STC807" s="3787"/>
      <c r="STD807" s="3787"/>
      <c r="STE807" s="3787"/>
      <c r="STF807" s="3787"/>
      <c r="STG807" s="3787"/>
      <c r="STH807" s="3787"/>
      <c r="STI807" s="3787"/>
      <c r="STJ807" s="3787"/>
      <c r="STK807" s="3787"/>
      <c r="STL807" s="3787"/>
      <c r="STM807" s="3787"/>
      <c r="STN807" s="3787"/>
      <c r="STO807" s="3787"/>
      <c r="STP807" s="3787"/>
      <c r="STQ807" s="3787"/>
      <c r="STR807" s="3787"/>
      <c r="STS807" s="3787"/>
      <c r="STT807" s="3787"/>
      <c r="STU807" s="3787"/>
      <c r="STV807" s="3787"/>
      <c r="STW807" s="3787"/>
      <c r="STX807" s="3787"/>
      <c r="STY807" s="3787"/>
      <c r="STZ807" s="3787"/>
      <c r="SUA807" s="3787"/>
      <c r="SUB807" s="3787"/>
      <c r="SUC807" s="3787"/>
      <c r="SUD807" s="3787"/>
      <c r="SUE807" s="3787"/>
      <c r="SUF807" s="3787"/>
      <c r="SUG807" s="3787"/>
      <c r="SUH807" s="3787"/>
      <c r="SUI807" s="3787"/>
      <c r="SUJ807" s="3787"/>
      <c r="SUK807" s="3787"/>
      <c r="SUL807" s="3787"/>
      <c r="SUM807" s="3787"/>
      <c r="SUN807" s="3787"/>
      <c r="SUO807" s="3787"/>
      <c r="SUP807" s="3787"/>
      <c r="SUQ807" s="3787"/>
      <c r="SUR807" s="3787"/>
      <c r="SUS807" s="3787"/>
      <c r="SUT807" s="3787"/>
      <c r="SUU807" s="3787"/>
      <c r="SUV807" s="3787"/>
      <c r="SUW807" s="3787"/>
      <c r="SUX807" s="3787"/>
      <c r="SUY807" s="3787"/>
      <c r="SUZ807" s="3787"/>
      <c r="SVA807" s="3787"/>
      <c r="SVB807" s="3787"/>
      <c r="SVC807" s="3787"/>
      <c r="SVD807" s="3787"/>
      <c r="SVE807" s="3787"/>
      <c r="SVF807" s="3787"/>
      <c r="SVG807" s="3787"/>
      <c r="SVH807" s="3787"/>
      <c r="SVI807" s="3787"/>
      <c r="SVJ807" s="3787"/>
      <c r="SVK807" s="3787"/>
      <c r="SVL807" s="3787"/>
      <c r="SVM807" s="3787"/>
      <c r="SVN807" s="3787"/>
      <c r="SVO807" s="3787"/>
      <c r="SVP807" s="3787"/>
      <c r="SVQ807" s="3787"/>
      <c r="SVR807" s="3787"/>
      <c r="SVS807" s="3787"/>
      <c r="SVT807" s="3787"/>
      <c r="SVU807" s="3787"/>
      <c r="SVV807" s="3787"/>
      <c r="SVW807" s="3787"/>
      <c r="SVX807" s="3787"/>
      <c r="SVY807" s="3787"/>
      <c r="SVZ807" s="3787"/>
      <c r="SWA807" s="3787"/>
      <c r="SWB807" s="3787"/>
      <c r="SWC807" s="3787"/>
      <c r="SWD807" s="3787"/>
      <c r="SWE807" s="3787"/>
      <c r="SWF807" s="3787"/>
      <c r="SWG807" s="3787"/>
      <c r="SWH807" s="3787"/>
      <c r="SWI807" s="3787"/>
      <c r="SWJ807" s="3787"/>
      <c r="SWK807" s="3787"/>
      <c r="SWL807" s="3787"/>
      <c r="SWM807" s="3787"/>
      <c r="SWN807" s="3787"/>
      <c r="SWO807" s="3787"/>
      <c r="SWP807" s="3787"/>
      <c r="SWQ807" s="3787"/>
      <c r="SWR807" s="3787"/>
      <c r="SWS807" s="3787"/>
      <c r="SWT807" s="3787"/>
      <c r="SWU807" s="3787"/>
      <c r="SWV807" s="3787"/>
      <c r="SWW807" s="3787"/>
      <c r="SWX807" s="3787"/>
      <c r="SWY807" s="3787"/>
      <c r="SWZ807" s="3787"/>
      <c r="SXA807" s="3787"/>
      <c r="SXB807" s="3787"/>
      <c r="SXC807" s="3787"/>
      <c r="SXD807" s="3787"/>
      <c r="SXE807" s="3787"/>
      <c r="SXF807" s="3787"/>
      <c r="SXG807" s="3787"/>
      <c r="SXH807" s="3787"/>
      <c r="SXI807" s="3787"/>
      <c r="SXJ807" s="3787"/>
      <c r="SXK807" s="3787"/>
      <c r="SXL807" s="3787"/>
      <c r="SXM807" s="3787"/>
      <c r="SXN807" s="3787"/>
      <c r="SXO807" s="3787"/>
      <c r="SXP807" s="3787"/>
      <c r="SXQ807" s="3787"/>
      <c r="SXR807" s="3787"/>
      <c r="SXS807" s="3787"/>
      <c r="SXT807" s="3787"/>
      <c r="SXU807" s="3787"/>
      <c r="SXV807" s="3787"/>
      <c r="SXW807" s="3787"/>
      <c r="SXX807" s="3787"/>
      <c r="SXY807" s="3787"/>
      <c r="SXZ807" s="3787"/>
      <c r="SYA807" s="3787"/>
      <c r="SYB807" s="3787"/>
      <c r="SYC807" s="3787"/>
      <c r="SYD807" s="3787"/>
      <c r="SYE807" s="3787"/>
      <c r="SYF807" s="3787"/>
      <c r="SYG807" s="3787"/>
      <c r="SYH807" s="3787"/>
      <c r="SYI807" s="3787"/>
      <c r="SYJ807" s="3787"/>
      <c r="SYK807" s="3787"/>
      <c r="SYL807" s="3787"/>
      <c r="SYM807" s="3787"/>
      <c r="SYN807" s="3787"/>
      <c r="SYO807" s="3787"/>
      <c r="SYP807" s="3787"/>
      <c r="SYQ807" s="3787"/>
      <c r="SYR807" s="3787"/>
      <c r="SYS807" s="3787"/>
      <c r="SYT807" s="3787"/>
      <c r="SYU807" s="3787"/>
      <c r="SYV807" s="3787"/>
      <c r="SYW807" s="3787"/>
      <c r="SYX807" s="3787"/>
      <c r="SYY807" s="3787"/>
      <c r="SYZ807" s="3787"/>
      <c r="SZA807" s="3787"/>
      <c r="SZB807" s="3787"/>
      <c r="SZC807" s="3787"/>
      <c r="SZD807" s="3787"/>
      <c r="SZE807" s="3787"/>
      <c r="SZF807" s="3787"/>
      <c r="SZG807" s="3787"/>
      <c r="SZH807" s="3787"/>
      <c r="SZI807" s="3787"/>
      <c r="SZJ807" s="3787"/>
      <c r="SZK807" s="3787"/>
      <c r="SZL807" s="3787"/>
      <c r="SZM807" s="3787"/>
      <c r="SZN807" s="3787"/>
      <c r="SZO807" s="3787"/>
      <c r="SZP807" s="3787"/>
      <c r="SZQ807" s="3787"/>
      <c r="SZR807" s="3787"/>
      <c r="SZS807" s="3787"/>
      <c r="SZT807" s="3787"/>
      <c r="SZU807" s="3787"/>
      <c r="SZV807" s="3787"/>
      <c r="SZW807" s="3787"/>
      <c r="SZX807" s="3787"/>
      <c r="SZY807" s="3787"/>
      <c r="SZZ807" s="3787"/>
      <c r="TAA807" s="3787"/>
      <c r="TAB807" s="3787"/>
      <c r="TAC807" s="3787"/>
      <c r="TAD807" s="3787"/>
      <c r="TAE807" s="3787"/>
      <c r="TAF807" s="3787"/>
      <c r="TAG807" s="3787"/>
      <c r="TAH807" s="3787"/>
      <c r="TAI807" s="3787"/>
      <c r="TAJ807" s="3787"/>
      <c r="TAK807" s="3787"/>
      <c r="TAL807" s="3787"/>
      <c r="TAM807" s="3787"/>
      <c r="TAN807" s="3787"/>
      <c r="TAO807" s="3787"/>
      <c r="TAP807" s="3787"/>
      <c r="TAQ807" s="3787"/>
      <c r="TAR807" s="3787"/>
      <c r="TAS807" s="3787"/>
      <c r="TAT807" s="3787"/>
      <c r="TAU807" s="3787"/>
      <c r="TAV807" s="3787"/>
      <c r="TAW807" s="3787"/>
      <c r="TBB807" s="3787"/>
      <c r="TBH807" s="3787"/>
      <c r="TBI807" s="3787"/>
      <c r="TBJ807" s="3787"/>
      <c r="TBN807" s="3787"/>
      <c r="TBU807" s="3787"/>
      <c r="TBV807" s="3787"/>
      <c r="TBW807" s="3787"/>
      <c r="TBX807" s="3787"/>
      <c r="TBY807" s="3787"/>
      <c r="TBZ807" s="3787"/>
      <c r="TCA807" s="3787"/>
      <c r="TCB807" s="3787"/>
      <c r="TCC807" s="3787"/>
      <c r="TCD807" s="3787"/>
      <c r="TCE807" s="3787"/>
      <c r="TCF807" s="3787"/>
      <c r="TCG807" s="3787"/>
      <c r="TCH807" s="3787"/>
      <c r="TCI807" s="3787"/>
      <c r="TCJ807" s="3787"/>
      <c r="TCK807" s="3787"/>
      <c r="TCL807" s="3787"/>
      <c r="TCM807" s="3787"/>
      <c r="TCN807" s="3787"/>
      <c r="TCO807" s="3787"/>
      <c r="TCP807" s="3787"/>
      <c r="TCQ807" s="3787"/>
      <c r="TCR807" s="3787"/>
      <c r="TCS807" s="3787"/>
      <c r="TCT807" s="3787"/>
      <c r="TCU807" s="3787"/>
      <c r="TCV807" s="3787"/>
      <c r="TCW807" s="3787"/>
      <c r="TCX807" s="3787"/>
      <c r="TCY807" s="3787"/>
      <c r="TCZ807" s="3787"/>
      <c r="TDA807" s="3787"/>
      <c r="TDB807" s="3787"/>
      <c r="TDC807" s="3787"/>
      <c r="TDD807" s="3787"/>
      <c r="TDE807" s="3787"/>
      <c r="TDF807" s="3787"/>
      <c r="TDG807" s="3787"/>
      <c r="TDH807" s="3787"/>
      <c r="TDI807" s="3787"/>
      <c r="TDJ807" s="3787"/>
      <c r="TDK807" s="3787"/>
      <c r="TDL807" s="3787"/>
      <c r="TDM807" s="3787"/>
      <c r="TDN807" s="3787"/>
      <c r="TDO807" s="3787"/>
      <c r="TDP807" s="3787"/>
      <c r="TDQ807" s="3787"/>
      <c r="TDR807" s="3787"/>
      <c r="TDS807" s="3787"/>
      <c r="TDT807" s="3787"/>
      <c r="TDU807" s="3787"/>
      <c r="TDV807" s="3787"/>
      <c r="TDW807" s="3787"/>
      <c r="TDX807" s="3787"/>
      <c r="TDY807" s="3787"/>
      <c r="TDZ807" s="3787"/>
      <c r="TEA807" s="3787"/>
      <c r="TEB807" s="3787"/>
      <c r="TEC807" s="3787"/>
      <c r="TED807" s="3787"/>
      <c r="TEE807" s="3787"/>
      <c r="TEF807" s="3787"/>
      <c r="TEG807" s="3787"/>
      <c r="TEH807" s="3787"/>
      <c r="TEI807" s="3787"/>
      <c r="TEJ807" s="3787"/>
      <c r="TEK807" s="3787"/>
      <c r="TEL807" s="3787"/>
      <c r="TEM807" s="3787"/>
      <c r="TEN807" s="3787"/>
      <c r="TEO807" s="3787"/>
      <c r="TEP807" s="3787"/>
      <c r="TEQ807" s="3787"/>
      <c r="TER807" s="3787"/>
      <c r="TES807" s="3787"/>
      <c r="TET807" s="3787"/>
      <c r="TEU807" s="3787"/>
      <c r="TEV807" s="3787"/>
      <c r="TEW807" s="3787"/>
      <c r="TEX807" s="3787"/>
      <c r="TEY807" s="3787"/>
      <c r="TEZ807" s="3787"/>
      <c r="TFA807" s="3787"/>
      <c r="TFB807" s="3787"/>
      <c r="TFC807" s="3787"/>
      <c r="TFD807" s="3787"/>
      <c r="TFE807" s="3787"/>
      <c r="TFF807" s="3787"/>
      <c r="TFG807" s="3787"/>
      <c r="TFH807" s="3787"/>
      <c r="TFI807" s="3787"/>
      <c r="TFJ807" s="3787"/>
      <c r="TFK807" s="3787"/>
      <c r="TFL807" s="3787"/>
      <c r="TFM807" s="3787"/>
      <c r="TFN807" s="3787"/>
      <c r="TFO807" s="3787"/>
      <c r="TFP807" s="3787"/>
      <c r="TFQ807" s="3787"/>
      <c r="TFR807" s="3787"/>
      <c r="TFS807" s="3787"/>
      <c r="TFT807" s="3787"/>
      <c r="TFU807" s="3787"/>
      <c r="TFV807" s="3787"/>
      <c r="TFW807" s="3787"/>
      <c r="TFX807" s="3787"/>
      <c r="TFY807" s="3787"/>
      <c r="TFZ807" s="3787"/>
      <c r="TGA807" s="3787"/>
      <c r="TGB807" s="3787"/>
      <c r="TGC807" s="3787"/>
      <c r="TGD807" s="3787"/>
      <c r="TGE807" s="3787"/>
      <c r="TGF807" s="3787"/>
      <c r="TGG807" s="3787"/>
      <c r="TGH807" s="3787"/>
      <c r="TGI807" s="3787"/>
      <c r="TGJ807" s="3787"/>
      <c r="TGK807" s="3787"/>
      <c r="TGL807" s="3787"/>
      <c r="TGM807" s="3787"/>
      <c r="TGN807" s="3787"/>
      <c r="TGO807" s="3787"/>
      <c r="TGP807" s="3787"/>
      <c r="TGQ807" s="3787"/>
      <c r="TGR807" s="3787"/>
      <c r="TGS807" s="3787"/>
      <c r="TGT807" s="3787"/>
      <c r="TGU807" s="3787"/>
      <c r="TGV807" s="3787"/>
      <c r="TGW807" s="3787"/>
      <c r="TGX807" s="3787"/>
      <c r="TGY807" s="3787"/>
      <c r="TGZ807" s="3787"/>
      <c r="THA807" s="3787"/>
      <c r="THB807" s="3787"/>
      <c r="THC807" s="3787"/>
      <c r="THD807" s="3787"/>
      <c r="THE807" s="3787"/>
      <c r="THF807" s="3787"/>
      <c r="THG807" s="3787"/>
      <c r="THH807" s="3787"/>
      <c r="THI807" s="3787"/>
      <c r="THJ807" s="3787"/>
      <c r="THK807" s="3787"/>
      <c r="THL807" s="3787"/>
      <c r="THM807" s="3787"/>
      <c r="THN807" s="3787"/>
      <c r="THO807" s="3787"/>
      <c r="THP807" s="3787"/>
      <c r="THQ807" s="3787"/>
      <c r="THR807" s="3787"/>
      <c r="THS807" s="3787"/>
      <c r="THT807" s="3787"/>
      <c r="THU807" s="3787"/>
      <c r="THV807" s="3787"/>
      <c r="THW807" s="3787"/>
      <c r="THX807" s="3787"/>
      <c r="THY807" s="3787"/>
      <c r="THZ807" s="3787"/>
      <c r="TIA807" s="3787"/>
      <c r="TIB807" s="3787"/>
      <c r="TIC807" s="3787"/>
      <c r="TID807" s="3787"/>
      <c r="TIE807" s="3787"/>
      <c r="TIF807" s="3787"/>
      <c r="TIG807" s="3787"/>
      <c r="TIH807" s="3787"/>
      <c r="TII807" s="3787"/>
      <c r="TIJ807" s="3787"/>
      <c r="TIK807" s="3787"/>
      <c r="TIL807" s="3787"/>
      <c r="TIM807" s="3787"/>
      <c r="TIN807" s="3787"/>
      <c r="TIO807" s="3787"/>
      <c r="TIP807" s="3787"/>
      <c r="TIQ807" s="3787"/>
      <c r="TIR807" s="3787"/>
      <c r="TIS807" s="3787"/>
      <c r="TIT807" s="3787"/>
      <c r="TIU807" s="3787"/>
      <c r="TIV807" s="3787"/>
      <c r="TIW807" s="3787"/>
      <c r="TIX807" s="3787"/>
      <c r="TIY807" s="3787"/>
      <c r="TIZ807" s="3787"/>
      <c r="TJA807" s="3787"/>
      <c r="TJB807" s="3787"/>
      <c r="TJC807" s="3787"/>
      <c r="TJD807" s="3787"/>
      <c r="TJE807" s="3787"/>
      <c r="TJF807" s="3787"/>
      <c r="TJG807" s="3787"/>
      <c r="TJH807" s="3787"/>
      <c r="TJI807" s="3787"/>
      <c r="TJJ807" s="3787"/>
      <c r="TJK807" s="3787"/>
      <c r="TJL807" s="3787"/>
      <c r="TJM807" s="3787"/>
      <c r="TJN807" s="3787"/>
      <c r="TJO807" s="3787"/>
      <c r="TJP807" s="3787"/>
      <c r="TJQ807" s="3787"/>
      <c r="TJR807" s="3787"/>
      <c r="TJS807" s="3787"/>
      <c r="TJT807" s="3787"/>
      <c r="TJU807" s="3787"/>
      <c r="TJV807" s="3787"/>
      <c r="TJW807" s="3787"/>
      <c r="TJX807" s="3787"/>
      <c r="TJY807" s="3787"/>
      <c r="TJZ807" s="3787"/>
      <c r="TKA807" s="3787"/>
      <c r="TKB807" s="3787"/>
      <c r="TKC807" s="3787"/>
      <c r="TKD807" s="3787"/>
      <c r="TKE807" s="3787"/>
      <c r="TKF807" s="3787"/>
      <c r="TKG807" s="3787"/>
      <c r="TKH807" s="3787"/>
      <c r="TKI807" s="3787"/>
      <c r="TKJ807" s="3787"/>
      <c r="TKK807" s="3787"/>
      <c r="TKL807" s="3787"/>
      <c r="TKM807" s="3787"/>
      <c r="TKN807" s="3787"/>
      <c r="TKO807" s="3787"/>
      <c r="TKP807" s="3787"/>
      <c r="TKQ807" s="3787"/>
      <c r="TKR807" s="3787"/>
      <c r="TKS807" s="3787"/>
      <c r="TKX807" s="3787"/>
      <c r="TLD807" s="3787"/>
      <c r="TLE807" s="3787"/>
      <c r="TLF807" s="3787"/>
      <c r="TLJ807" s="3787"/>
      <c r="TLQ807" s="3787"/>
      <c r="TLR807" s="3787"/>
      <c r="TLS807" s="3787"/>
      <c r="TLT807" s="3787"/>
      <c r="TLU807" s="3787"/>
      <c r="TLV807" s="3787"/>
      <c r="TLW807" s="3787"/>
      <c r="TLX807" s="3787"/>
      <c r="TLY807" s="3787"/>
      <c r="TLZ807" s="3787"/>
      <c r="TMA807" s="3787"/>
      <c r="TMB807" s="3787"/>
      <c r="TMC807" s="3787"/>
      <c r="TMD807" s="3787"/>
      <c r="TME807" s="3787"/>
      <c r="TMF807" s="3787"/>
      <c r="TMG807" s="3787"/>
      <c r="TMH807" s="3787"/>
      <c r="TMI807" s="3787"/>
      <c r="TMJ807" s="3787"/>
      <c r="TMK807" s="3787"/>
      <c r="TML807" s="3787"/>
      <c r="TMM807" s="3787"/>
      <c r="TMN807" s="3787"/>
      <c r="TMO807" s="3787"/>
      <c r="TMP807" s="3787"/>
      <c r="TMQ807" s="3787"/>
      <c r="TMR807" s="3787"/>
      <c r="TMS807" s="3787"/>
      <c r="TMT807" s="3787"/>
      <c r="TMU807" s="3787"/>
      <c r="TMV807" s="3787"/>
      <c r="TMW807" s="3787"/>
      <c r="TMX807" s="3787"/>
      <c r="TMY807" s="3787"/>
      <c r="TMZ807" s="3787"/>
      <c r="TNA807" s="3787"/>
      <c r="TNB807" s="3787"/>
      <c r="TNC807" s="3787"/>
      <c r="TND807" s="3787"/>
      <c r="TNE807" s="3787"/>
      <c r="TNF807" s="3787"/>
      <c r="TNG807" s="3787"/>
      <c r="TNH807" s="3787"/>
      <c r="TNI807" s="3787"/>
      <c r="TNJ807" s="3787"/>
      <c r="TNK807" s="3787"/>
      <c r="TNL807" s="3787"/>
      <c r="TNM807" s="3787"/>
      <c r="TNN807" s="3787"/>
      <c r="TNO807" s="3787"/>
      <c r="TNP807" s="3787"/>
      <c r="TNQ807" s="3787"/>
      <c r="TNR807" s="3787"/>
      <c r="TNS807" s="3787"/>
      <c r="TNT807" s="3787"/>
      <c r="TNU807" s="3787"/>
      <c r="TNV807" s="3787"/>
      <c r="TNW807" s="3787"/>
      <c r="TNX807" s="3787"/>
      <c r="TNY807" s="3787"/>
      <c r="TNZ807" s="3787"/>
      <c r="TOA807" s="3787"/>
      <c r="TOB807" s="3787"/>
      <c r="TOC807" s="3787"/>
      <c r="TOD807" s="3787"/>
      <c r="TOE807" s="3787"/>
      <c r="TOF807" s="3787"/>
      <c r="TOG807" s="3787"/>
      <c r="TOH807" s="3787"/>
      <c r="TOI807" s="3787"/>
      <c r="TOJ807" s="3787"/>
      <c r="TOK807" s="3787"/>
      <c r="TOL807" s="3787"/>
      <c r="TOM807" s="3787"/>
      <c r="TON807" s="3787"/>
      <c r="TOO807" s="3787"/>
      <c r="TOP807" s="3787"/>
      <c r="TOQ807" s="3787"/>
      <c r="TOR807" s="3787"/>
      <c r="TOS807" s="3787"/>
      <c r="TOT807" s="3787"/>
      <c r="TOU807" s="3787"/>
      <c r="TOV807" s="3787"/>
      <c r="TOW807" s="3787"/>
      <c r="TOX807" s="3787"/>
      <c r="TOY807" s="3787"/>
      <c r="TOZ807" s="3787"/>
      <c r="TPA807" s="3787"/>
      <c r="TPB807" s="3787"/>
      <c r="TPC807" s="3787"/>
      <c r="TPD807" s="3787"/>
      <c r="TPE807" s="3787"/>
      <c r="TPF807" s="3787"/>
      <c r="TPG807" s="3787"/>
      <c r="TPH807" s="3787"/>
      <c r="TPI807" s="3787"/>
      <c r="TPJ807" s="3787"/>
      <c r="TPK807" s="3787"/>
      <c r="TPL807" s="3787"/>
      <c r="TPM807" s="3787"/>
      <c r="TPN807" s="3787"/>
      <c r="TPO807" s="3787"/>
      <c r="TPP807" s="3787"/>
      <c r="TPQ807" s="3787"/>
      <c r="TPR807" s="3787"/>
      <c r="TPS807" s="3787"/>
      <c r="TPT807" s="3787"/>
      <c r="TPU807" s="3787"/>
      <c r="TPV807" s="3787"/>
      <c r="TPW807" s="3787"/>
      <c r="TPX807" s="3787"/>
      <c r="TPY807" s="3787"/>
      <c r="TPZ807" s="3787"/>
      <c r="TQA807" s="3787"/>
      <c r="TQB807" s="3787"/>
      <c r="TQC807" s="3787"/>
      <c r="TQD807" s="3787"/>
      <c r="TQE807" s="3787"/>
      <c r="TQF807" s="3787"/>
      <c r="TQG807" s="3787"/>
      <c r="TQH807" s="3787"/>
      <c r="TQI807" s="3787"/>
      <c r="TQJ807" s="3787"/>
      <c r="TQK807" s="3787"/>
      <c r="TQL807" s="3787"/>
      <c r="TQM807" s="3787"/>
      <c r="TQN807" s="3787"/>
      <c r="TQO807" s="3787"/>
      <c r="TQP807" s="3787"/>
      <c r="TQQ807" s="3787"/>
      <c r="TQR807" s="3787"/>
      <c r="TQS807" s="3787"/>
      <c r="TQT807" s="3787"/>
      <c r="TQU807" s="3787"/>
      <c r="TQV807" s="3787"/>
      <c r="TQW807" s="3787"/>
      <c r="TQX807" s="3787"/>
      <c r="TQY807" s="3787"/>
      <c r="TQZ807" s="3787"/>
      <c r="TRA807" s="3787"/>
      <c r="TRB807" s="3787"/>
      <c r="TRC807" s="3787"/>
      <c r="TRD807" s="3787"/>
      <c r="TRE807" s="3787"/>
      <c r="TRF807" s="3787"/>
      <c r="TRG807" s="3787"/>
      <c r="TRH807" s="3787"/>
      <c r="TRI807" s="3787"/>
      <c r="TRJ807" s="3787"/>
      <c r="TRK807" s="3787"/>
      <c r="TRL807" s="3787"/>
      <c r="TRM807" s="3787"/>
      <c r="TRN807" s="3787"/>
      <c r="TRO807" s="3787"/>
      <c r="TRP807" s="3787"/>
      <c r="TRQ807" s="3787"/>
      <c r="TRR807" s="3787"/>
      <c r="TRS807" s="3787"/>
      <c r="TRT807" s="3787"/>
      <c r="TRU807" s="3787"/>
      <c r="TRV807" s="3787"/>
      <c r="TRW807" s="3787"/>
      <c r="TRX807" s="3787"/>
      <c r="TRY807" s="3787"/>
      <c r="TRZ807" s="3787"/>
      <c r="TSA807" s="3787"/>
      <c r="TSB807" s="3787"/>
      <c r="TSC807" s="3787"/>
      <c r="TSD807" s="3787"/>
      <c r="TSE807" s="3787"/>
      <c r="TSF807" s="3787"/>
      <c r="TSG807" s="3787"/>
      <c r="TSH807" s="3787"/>
      <c r="TSI807" s="3787"/>
      <c r="TSJ807" s="3787"/>
      <c r="TSK807" s="3787"/>
      <c r="TSL807" s="3787"/>
      <c r="TSM807" s="3787"/>
      <c r="TSN807" s="3787"/>
      <c r="TSO807" s="3787"/>
      <c r="TSP807" s="3787"/>
      <c r="TSQ807" s="3787"/>
      <c r="TSR807" s="3787"/>
      <c r="TSS807" s="3787"/>
      <c r="TST807" s="3787"/>
      <c r="TSU807" s="3787"/>
      <c r="TSV807" s="3787"/>
      <c r="TSW807" s="3787"/>
      <c r="TSX807" s="3787"/>
      <c r="TSY807" s="3787"/>
      <c r="TSZ807" s="3787"/>
      <c r="TTA807" s="3787"/>
      <c r="TTB807" s="3787"/>
      <c r="TTC807" s="3787"/>
      <c r="TTD807" s="3787"/>
      <c r="TTE807" s="3787"/>
      <c r="TTF807" s="3787"/>
      <c r="TTG807" s="3787"/>
      <c r="TTH807" s="3787"/>
      <c r="TTI807" s="3787"/>
      <c r="TTJ807" s="3787"/>
      <c r="TTK807" s="3787"/>
      <c r="TTL807" s="3787"/>
      <c r="TTM807" s="3787"/>
      <c r="TTN807" s="3787"/>
      <c r="TTO807" s="3787"/>
      <c r="TTP807" s="3787"/>
      <c r="TTQ807" s="3787"/>
      <c r="TTR807" s="3787"/>
      <c r="TTS807" s="3787"/>
      <c r="TTT807" s="3787"/>
      <c r="TTU807" s="3787"/>
      <c r="TTV807" s="3787"/>
      <c r="TTW807" s="3787"/>
      <c r="TTX807" s="3787"/>
      <c r="TTY807" s="3787"/>
      <c r="TTZ807" s="3787"/>
      <c r="TUA807" s="3787"/>
      <c r="TUB807" s="3787"/>
      <c r="TUC807" s="3787"/>
      <c r="TUD807" s="3787"/>
      <c r="TUE807" s="3787"/>
      <c r="TUF807" s="3787"/>
      <c r="TUG807" s="3787"/>
      <c r="TUH807" s="3787"/>
      <c r="TUI807" s="3787"/>
      <c r="TUJ807" s="3787"/>
      <c r="TUK807" s="3787"/>
      <c r="TUL807" s="3787"/>
      <c r="TUM807" s="3787"/>
      <c r="TUN807" s="3787"/>
      <c r="TUO807" s="3787"/>
      <c r="TUT807" s="3787"/>
      <c r="TUZ807" s="3787"/>
      <c r="TVA807" s="3787"/>
      <c r="TVB807" s="3787"/>
      <c r="TVF807" s="3787"/>
      <c r="TVM807" s="3787"/>
      <c r="TVN807" s="3787"/>
      <c r="TVO807" s="3787"/>
      <c r="TVP807" s="3787"/>
      <c r="TVQ807" s="3787"/>
      <c r="TVR807" s="3787"/>
      <c r="TVS807" s="3787"/>
      <c r="TVT807" s="3787"/>
      <c r="TVU807" s="3787"/>
      <c r="TVV807" s="3787"/>
      <c r="TVW807" s="3787"/>
      <c r="TVX807" s="3787"/>
      <c r="TVY807" s="3787"/>
      <c r="TVZ807" s="3787"/>
      <c r="TWA807" s="3787"/>
      <c r="TWB807" s="3787"/>
      <c r="TWC807" s="3787"/>
      <c r="TWD807" s="3787"/>
      <c r="TWE807" s="3787"/>
      <c r="TWF807" s="3787"/>
      <c r="TWG807" s="3787"/>
      <c r="TWH807" s="3787"/>
      <c r="TWI807" s="3787"/>
      <c r="TWJ807" s="3787"/>
      <c r="TWK807" s="3787"/>
      <c r="TWL807" s="3787"/>
      <c r="TWM807" s="3787"/>
      <c r="TWN807" s="3787"/>
      <c r="TWO807" s="3787"/>
      <c r="TWP807" s="3787"/>
      <c r="TWQ807" s="3787"/>
      <c r="TWR807" s="3787"/>
      <c r="TWS807" s="3787"/>
      <c r="TWT807" s="3787"/>
      <c r="TWU807" s="3787"/>
      <c r="TWV807" s="3787"/>
      <c r="TWW807" s="3787"/>
      <c r="TWX807" s="3787"/>
      <c r="TWY807" s="3787"/>
      <c r="TWZ807" s="3787"/>
      <c r="TXA807" s="3787"/>
      <c r="TXB807" s="3787"/>
      <c r="TXC807" s="3787"/>
      <c r="TXD807" s="3787"/>
      <c r="TXE807" s="3787"/>
      <c r="TXF807" s="3787"/>
      <c r="TXG807" s="3787"/>
      <c r="TXH807" s="3787"/>
      <c r="TXI807" s="3787"/>
      <c r="TXJ807" s="3787"/>
      <c r="TXK807" s="3787"/>
      <c r="TXL807" s="3787"/>
      <c r="TXM807" s="3787"/>
      <c r="TXN807" s="3787"/>
      <c r="TXO807" s="3787"/>
      <c r="TXP807" s="3787"/>
      <c r="TXQ807" s="3787"/>
      <c r="TXR807" s="3787"/>
      <c r="TXS807" s="3787"/>
      <c r="TXT807" s="3787"/>
      <c r="TXU807" s="3787"/>
      <c r="TXV807" s="3787"/>
      <c r="TXW807" s="3787"/>
      <c r="TXX807" s="3787"/>
      <c r="TXY807" s="3787"/>
      <c r="TXZ807" s="3787"/>
      <c r="TYA807" s="3787"/>
      <c r="TYB807" s="3787"/>
      <c r="TYC807" s="3787"/>
      <c r="TYD807" s="3787"/>
      <c r="TYE807" s="3787"/>
      <c r="TYF807" s="3787"/>
      <c r="TYG807" s="3787"/>
      <c r="TYH807" s="3787"/>
      <c r="TYI807" s="3787"/>
      <c r="TYJ807" s="3787"/>
      <c r="TYK807" s="3787"/>
      <c r="TYL807" s="3787"/>
      <c r="TYM807" s="3787"/>
      <c r="TYN807" s="3787"/>
      <c r="TYO807" s="3787"/>
      <c r="TYP807" s="3787"/>
      <c r="TYQ807" s="3787"/>
      <c r="TYR807" s="3787"/>
      <c r="TYS807" s="3787"/>
      <c r="TYT807" s="3787"/>
      <c r="TYU807" s="3787"/>
      <c r="TYV807" s="3787"/>
      <c r="TYW807" s="3787"/>
      <c r="TYX807" s="3787"/>
      <c r="TYY807" s="3787"/>
      <c r="TYZ807" s="3787"/>
      <c r="TZA807" s="3787"/>
      <c r="TZB807" s="3787"/>
      <c r="TZC807" s="3787"/>
      <c r="TZD807" s="3787"/>
      <c r="TZE807" s="3787"/>
      <c r="TZF807" s="3787"/>
      <c r="TZG807" s="3787"/>
      <c r="TZH807" s="3787"/>
      <c r="TZI807" s="3787"/>
      <c r="TZJ807" s="3787"/>
      <c r="TZK807" s="3787"/>
      <c r="TZL807" s="3787"/>
      <c r="TZM807" s="3787"/>
      <c r="TZN807" s="3787"/>
      <c r="TZO807" s="3787"/>
      <c r="TZP807" s="3787"/>
      <c r="TZQ807" s="3787"/>
      <c r="TZR807" s="3787"/>
      <c r="TZS807" s="3787"/>
      <c r="TZT807" s="3787"/>
      <c r="TZU807" s="3787"/>
      <c r="TZV807" s="3787"/>
      <c r="TZW807" s="3787"/>
      <c r="TZX807" s="3787"/>
      <c r="TZY807" s="3787"/>
      <c r="TZZ807" s="3787"/>
      <c r="UAA807" s="3787"/>
      <c r="UAB807" s="3787"/>
      <c r="UAC807" s="3787"/>
      <c r="UAD807" s="3787"/>
      <c r="UAE807" s="3787"/>
      <c r="UAF807" s="3787"/>
      <c r="UAG807" s="3787"/>
      <c r="UAH807" s="3787"/>
      <c r="UAI807" s="3787"/>
      <c r="UAJ807" s="3787"/>
      <c r="UAK807" s="3787"/>
      <c r="UAL807" s="3787"/>
      <c r="UAM807" s="3787"/>
      <c r="UAN807" s="3787"/>
      <c r="UAO807" s="3787"/>
      <c r="UAP807" s="3787"/>
      <c r="UAQ807" s="3787"/>
      <c r="UAR807" s="3787"/>
      <c r="UAS807" s="3787"/>
      <c r="UAT807" s="3787"/>
      <c r="UAU807" s="3787"/>
      <c r="UAV807" s="3787"/>
      <c r="UAW807" s="3787"/>
      <c r="UAX807" s="3787"/>
      <c r="UAY807" s="3787"/>
      <c r="UAZ807" s="3787"/>
      <c r="UBA807" s="3787"/>
      <c r="UBB807" s="3787"/>
      <c r="UBC807" s="3787"/>
      <c r="UBD807" s="3787"/>
      <c r="UBE807" s="3787"/>
      <c r="UBF807" s="3787"/>
      <c r="UBG807" s="3787"/>
      <c r="UBH807" s="3787"/>
      <c r="UBI807" s="3787"/>
      <c r="UBJ807" s="3787"/>
      <c r="UBK807" s="3787"/>
      <c r="UBL807" s="3787"/>
      <c r="UBM807" s="3787"/>
      <c r="UBN807" s="3787"/>
      <c r="UBO807" s="3787"/>
      <c r="UBP807" s="3787"/>
      <c r="UBQ807" s="3787"/>
      <c r="UBR807" s="3787"/>
      <c r="UBS807" s="3787"/>
      <c r="UBT807" s="3787"/>
      <c r="UBU807" s="3787"/>
      <c r="UBV807" s="3787"/>
      <c r="UBW807" s="3787"/>
      <c r="UBX807" s="3787"/>
      <c r="UBY807" s="3787"/>
      <c r="UBZ807" s="3787"/>
      <c r="UCA807" s="3787"/>
      <c r="UCB807" s="3787"/>
      <c r="UCC807" s="3787"/>
      <c r="UCD807" s="3787"/>
      <c r="UCE807" s="3787"/>
      <c r="UCF807" s="3787"/>
      <c r="UCG807" s="3787"/>
      <c r="UCH807" s="3787"/>
      <c r="UCI807" s="3787"/>
      <c r="UCJ807" s="3787"/>
      <c r="UCK807" s="3787"/>
      <c r="UCL807" s="3787"/>
      <c r="UCM807" s="3787"/>
      <c r="UCN807" s="3787"/>
      <c r="UCO807" s="3787"/>
      <c r="UCP807" s="3787"/>
      <c r="UCQ807" s="3787"/>
      <c r="UCR807" s="3787"/>
      <c r="UCS807" s="3787"/>
      <c r="UCT807" s="3787"/>
      <c r="UCU807" s="3787"/>
      <c r="UCV807" s="3787"/>
      <c r="UCW807" s="3787"/>
      <c r="UCX807" s="3787"/>
      <c r="UCY807" s="3787"/>
      <c r="UCZ807" s="3787"/>
      <c r="UDA807" s="3787"/>
      <c r="UDB807" s="3787"/>
      <c r="UDC807" s="3787"/>
      <c r="UDD807" s="3787"/>
      <c r="UDE807" s="3787"/>
      <c r="UDF807" s="3787"/>
      <c r="UDG807" s="3787"/>
      <c r="UDH807" s="3787"/>
      <c r="UDI807" s="3787"/>
      <c r="UDJ807" s="3787"/>
      <c r="UDK807" s="3787"/>
      <c r="UDL807" s="3787"/>
      <c r="UDM807" s="3787"/>
      <c r="UDN807" s="3787"/>
      <c r="UDO807" s="3787"/>
      <c r="UDP807" s="3787"/>
      <c r="UDQ807" s="3787"/>
      <c r="UDR807" s="3787"/>
      <c r="UDS807" s="3787"/>
      <c r="UDT807" s="3787"/>
      <c r="UDU807" s="3787"/>
      <c r="UDV807" s="3787"/>
      <c r="UDW807" s="3787"/>
      <c r="UDX807" s="3787"/>
      <c r="UDY807" s="3787"/>
      <c r="UDZ807" s="3787"/>
      <c r="UEA807" s="3787"/>
      <c r="UEB807" s="3787"/>
      <c r="UEC807" s="3787"/>
      <c r="UED807" s="3787"/>
      <c r="UEE807" s="3787"/>
      <c r="UEF807" s="3787"/>
      <c r="UEG807" s="3787"/>
      <c r="UEH807" s="3787"/>
      <c r="UEI807" s="3787"/>
      <c r="UEJ807" s="3787"/>
      <c r="UEK807" s="3787"/>
      <c r="UEP807" s="3787"/>
      <c r="UEV807" s="3787"/>
      <c r="UEW807" s="3787"/>
      <c r="UEX807" s="3787"/>
      <c r="UFB807" s="3787"/>
      <c r="UFI807" s="3787"/>
      <c r="UFJ807" s="3787"/>
      <c r="UFK807" s="3787"/>
      <c r="UFL807" s="3787"/>
      <c r="UFM807" s="3787"/>
      <c r="UFN807" s="3787"/>
      <c r="UFO807" s="3787"/>
      <c r="UFP807" s="3787"/>
      <c r="UFQ807" s="3787"/>
      <c r="UFR807" s="3787"/>
      <c r="UFS807" s="3787"/>
      <c r="UFT807" s="3787"/>
      <c r="UFU807" s="3787"/>
      <c r="UFV807" s="3787"/>
      <c r="UFW807" s="3787"/>
      <c r="UFX807" s="3787"/>
      <c r="UFY807" s="3787"/>
      <c r="UFZ807" s="3787"/>
      <c r="UGA807" s="3787"/>
      <c r="UGB807" s="3787"/>
      <c r="UGC807" s="3787"/>
      <c r="UGD807" s="3787"/>
      <c r="UGE807" s="3787"/>
      <c r="UGF807" s="3787"/>
      <c r="UGG807" s="3787"/>
      <c r="UGH807" s="3787"/>
      <c r="UGI807" s="3787"/>
      <c r="UGJ807" s="3787"/>
      <c r="UGK807" s="3787"/>
      <c r="UGL807" s="3787"/>
      <c r="UGM807" s="3787"/>
      <c r="UGN807" s="3787"/>
      <c r="UGO807" s="3787"/>
      <c r="UGP807" s="3787"/>
      <c r="UGQ807" s="3787"/>
      <c r="UGR807" s="3787"/>
      <c r="UGS807" s="3787"/>
      <c r="UGT807" s="3787"/>
      <c r="UGU807" s="3787"/>
      <c r="UGV807" s="3787"/>
      <c r="UGW807" s="3787"/>
      <c r="UGX807" s="3787"/>
      <c r="UGY807" s="3787"/>
      <c r="UGZ807" s="3787"/>
      <c r="UHA807" s="3787"/>
      <c r="UHB807" s="3787"/>
      <c r="UHC807" s="3787"/>
      <c r="UHD807" s="3787"/>
      <c r="UHE807" s="3787"/>
      <c r="UHF807" s="3787"/>
      <c r="UHG807" s="3787"/>
      <c r="UHH807" s="3787"/>
      <c r="UHI807" s="3787"/>
      <c r="UHJ807" s="3787"/>
      <c r="UHK807" s="3787"/>
      <c r="UHL807" s="3787"/>
      <c r="UHM807" s="3787"/>
      <c r="UHN807" s="3787"/>
      <c r="UHO807" s="3787"/>
      <c r="UHP807" s="3787"/>
      <c r="UHQ807" s="3787"/>
      <c r="UHR807" s="3787"/>
      <c r="UHS807" s="3787"/>
      <c r="UHT807" s="3787"/>
      <c r="UHU807" s="3787"/>
      <c r="UHV807" s="3787"/>
      <c r="UHW807" s="3787"/>
      <c r="UHX807" s="3787"/>
      <c r="UHY807" s="3787"/>
      <c r="UHZ807" s="3787"/>
      <c r="UIA807" s="3787"/>
      <c r="UIB807" s="3787"/>
      <c r="UIC807" s="3787"/>
      <c r="UID807" s="3787"/>
      <c r="UIE807" s="3787"/>
      <c r="UIF807" s="3787"/>
      <c r="UIG807" s="3787"/>
      <c r="UIH807" s="3787"/>
      <c r="UII807" s="3787"/>
      <c r="UIJ807" s="3787"/>
      <c r="UIK807" s="3787"/>
      <c r="UIL807" s="3787"/>
      <c r="UIM807" s="3787"/>
      <c r="UIN807" s="3787"/>
      <c r="UIO807" s="3787"/>
      <c r="UIP807" s="3787"/>
      <c r="UIQ807" s="3787"/>
      <c r="UIR807" s="3787"/>
      <c r="UIS807" s="3787"/>
      <c r="UIT807" s="3787"/>
      <c r="UIU807" s="3787"/>
      <c r="UIV807" s="3787"/>
      <c r="UIW807" s="3787"/>
      <c r="UIX807" s="3787"/>
      <c r="UIY807" s="3787"/>
      <c r="UIZ807" s="3787"/>
      <c r="UJA807" s="3787"/>
      <c r="UJB807" s="3787"/>
      <c r="UJC807" s="3787"/>
      <c r="UJD807" s="3787"/>
      <c r="UJE807" s="3787"/>
      <c r="UJF807" s="3787"/>
      <c r="UJG807" s="3787"/>
      <c r="UJH807" s="3787"/>
      <c r="UJI807" s="3787"/>
      <c r="UJJ807" s="3787"/>
      <c r="UJK807" s="3787"/>
      <c r="UJL807" s="3787"/>
      <c r="UJM807" s="3787"/>
      <c r="UJN807" s="3787"/>
      <c r="UJO807" s="3787"/>
      <c r="UJP807" s="3787"/>
      <c r="UJQ807" s="3787"/>
      <c r="UJR807" s="3787"/>
      <c r="UJS807" s="3787"/>
      <c r="UJT807" s="3787"/>
      <c r="UJU807" s="3787"/>
      <c r="UJV807" s="3787"/>
      <c r="UJW807" s="3787"/>
      <c r="UJX807" s="3787"/>
      <c r="UJY807" s="3787"/>
      <c r="UJZ807" s="3787"/>
      <c r="UKA807" s="3787"/>
      <c r="UKB807" s="3787"/>
      <c r="UKC807" s="3787"/>
      <c r="UKD807" s="3787"/>
      <c r="UKE807" s="3787"/>
      <c r="UKF807" s="3787"/>
      <c r="UKG807" s="3787"/>
      <c r="UKH807" s="3787"/>
      <c r="UKI807" s="3787"/>
      <c r="UKJ807" s="3787"/>
      <c r="UKK807" s="3787"/>
      <c r="UKL807" s="3787"/>
      <c r="UKM807" s="3787"/>
      <c r="UKN807" s="3787"/>
      <c r="UKO807" s="3787"/>
      <c r="UKP807" s="3787"/>
      <c r="UKQ807" s="3787"/>
      <c r="UKR807" s="3787"/>
      <c r="UKS807" s="3787"/>
      <c r="UKT807" s="3787"/>
      <c r="UKU807" s="3787"/>
      <c r="UKV807" s="3787"/>
      <c r="UKW807" s="3787"/>
      <c r="UKX807" s="3787"/>
      <c r="UKY807" s="3787"/>
      <c r="UKZ807" s="3787"/>
      <c r="ULA807" s="3787"/>
      <c r="ULB807" s="3787"/>
      <c r="ULC807" s="3787"/>
      <c r="ULD807" s="3787"/>
      <c r="ULE807" s="3787"/>
      <c r="ULF807" s="3787"/>
      <c r="ULG807" s="3787"/>
      <c r="ULH807" s="3787"/>
      <c r="ULI807" s="3787"/>
      <c r="ULJ807" s="3787"/>
      <c r="ULK807" s="3787"/>
      <c r="ULL807" s="3787"/>
      <c r="ULM807" s="3787"/>
      <c r="ULN807" s="3787"/>
      <c r="ULO807" s="3787"/>
      <c r="ULP807" s="3787"/>
      <c r="ULQ807" s="3787"/>
      <c r="ULR807" s="3787"/>
      <c r="ULS807" s="3787"/>
      <c r="ULT807" s="3787"/>
      <c r="ULU807" s="3787"/>
      <c r="ULV807" s="3787"/>
      <c r="ULW807" s="3787"/>
      <c r="ULX807" s="3787"/>
      <c r="ULY807" s="3787"/>
      <c r="ULZ807" s="3787"/>
      <c r="UMA807" s="3787"/>
      <c r="UMB807" s="3787"/>
      <c r="UMC807" s="3787"/>
      <c r="UMD807" s="3787"/>
      <c r="UME807" s="3787"/>
      <c r="UMF807" s="3787"/>
      <c r="UMG807" s="3787"/>
      <c r="UMH807" s="3787"/>
      <c r="UMI807" s="3787"/>
      <c r="UMJ807" s="3787"/>
      <c r="UMK807" s="3787"/>
      <c r="UML807" s="3787"/>
      <c r="UMM807" s="3787"/>
      <c r="UMN807" s="3787"/>
      <c r="UMO807" s="3787"/>
      <c r="UMP807" s="3787"/>
      <c r="UMQ807" s="3787"/>
      <c r="UMR807" s="3787"/>
      <c r="UMS807" s="3787"/>
      <c r="UMT807" s="3787"/>
      <c r="UMU807" s="3787"/>
      <c r="UMV807" s="3787"/>
      <c r="UMW807" s="3787"/>
      <c r="UMX807" s="3787"/>
      <c r="UMY807" s="3787"/>
      <c r="UMZ807" s="3787"/>
      <c r="UNA807" s="3787"/>
      <c r="UNB807" s="3787"/>
      <c r="UNC807" s="3787"/>
      <c r="UND807" s="3787"/>
      <c r="UNE807" s="3787"/>
      <c r="UNF807" s="3787"/>
      <c r="UNG807" s="3787"/>
      <c r="UNH807" s="3787"/>
      <c r="UNI807" s="3787"/>
      <c r="UNJ807" s="3787"/>
      <c r="UNK807" s="3787"/>
      <c r="UNL807" s="3787"/>
      <c r="UNM807" s="3787"/>
      <c r="UNN807" s="3787"/>
      <c r="UNO807" s="3787"/>
      <c r="UNP807" s="3787"/>
      <c r="UNQ807" s="3787"/>
      <c r="UNR807" s="3787"/>
      <c r="UNS807" s="3787"/>
      <c r="UNT807" s="3787"/>
      <c r="UNU807" s="3787"/>
      <c r="UNV807" s="3787"/>
      <c r="UNW807" s="3787"/>
      <c r="UNX807" s="3787"/>
      <c r="UNY807" s="3787"/>
      <c r="UNZ807" s="3787"/>
      <c r="UOA807" s="3787"/>
      <c r="UOB807" s="3787"/>
      <c r="UOC807" s="3787"/>
      <c r="UOD807" s="3787"/>
      <c r="UOE807" s="3787"/>
      <c r="UOF807" s="3787"/>
      <c r="UOG807" s="3787"/>
      <c r="UOL807" s="3787"/>
      <c r="UOR807" s="3787"/>
      <c r="UOS807" s="3787"/>
      <c r="UOT807" s="3787"/>
      <c r="UOX807" s="3787"/>
      <c r="UPE807" s="3787"/>
      <c r="UPF807" s="3787"/>
      <c r="UPG807" s="3787"/>
      <c r="UPH807" s="3787"/>
      <c r="UPI807" s="3787"/>
      <c r="UPJ807" s="3787"/>
      <c r="UPK807" s="3787"/>
      <c r="UPL807" s="3787"/>
      <c r="UPM807" s="3787"/>
      <c r="UPN807" s="3787"/>
      <c r="UPO807" s="3787"/>
      <c r="UPP807" s="3787"/>
      <c r="UPQ807" s="3787"/>
      <c r="UPR807" s="3787"/>
      <c r="UPS807" s="3787"/>
      <c r="UPT807" s="3787"/>
      <c r="UPU807" s="3787"/>
      <c r="UPV807" s="3787"/>
      <c r="UPW807" s="3787"/>
      <c r="UPX807" s="3787"/>
      <c r="UPY807" s="3787"/>
      <c r="UPZ807" s="3787"/>
      <c r="UQA807" s="3787"/>
      <c r="UQB807" s="3787"/>
      <c r="UQC807" s="3787"/>
      <c r="UQD807" s="3787"/>
      <c r="UQE807" s="3787"/>
      <c r="UQF807" s="3787"/>
      <c r="UQG807" s="3787"/>
      <c r="UQH807" s="3787"/>
      <c r="UQI807" s="3787"/>
      <c r="UQJ807" s="3787"/>
      <c r="UQK807" s="3787"/>
      <c r="UQL807" s="3787"/>
      <c r="UQM807" s="3787"/>
      <c r="UQN807" s="3787"/>
      <c r="UQO807" s="3787"/>
      <c r="UQP807" s="3787"/>
      <c r="UQQ807" s="3787"/>
      <c r="UQR807" s="3787"/>
      <c r="UQS807" s="3787"/>
      <c r="UQT807" s="3787"/>
      <c r="UQU807" s="3787"/>
      <c r="UQV807" s="3787"/>
      <c r="UQW807" s="3787"/>
      <c r="UQX807" s="3787"/>
      <c r="UQY807" s="3787"/>
      <c r="UQZ807" s="3787"/>
      <c r="URA807" s="3787"/>
      <c r="URB807" s="3787"/>
      <c r="URC807" s="3787"/>
      <c r="URD807" s="3787"/>
      <c r="URE807" s="3787"/>
      <c r="URF807" s="3787"/>
      <c r="URG807" s="3787"/>
      <c r="URH807" s="3787"/>
      <c r="URI807" s="3787"/>
      <c r="URJ807" s="3787"/>
      <c r="URK807" s="3787"/>
      <c r="URL807" s="3787"/>
      <c r="URM807" s="3787"/>
      <c r="URN807" s="3787"/>
      <c r="URO807" s="3787"/>
      <c r="URP807" s="3787"/>
      <c r="URQ807" s="3787"/>
      <c r="URR807" s="3787"/>
      <c r="URS807" s="3787"/>
      <c r="URT807" s="3787"/>
      <c r="URU807" s="3787"/>
      <c r="URV807" s="3787"/>
      <c r="URW807" s="3787"/>
      <c r="URX807" s="3787"/>
      <c r="URY807" s="3787"/>
      <c r="URZ807" s="3787"/>
      <c r="USA807" s="3787"/>
      <c r="USB807" s="3787"/>
      <c r="USC807" s="3787"/>
      <c r="USD807" s="3787"/>
      <c r="USE807" s="3787"/>
      <c r="USF807" s="3787"/>
      <c r="USG807" s="3787"/>
      <c r="USH807" s="3787"/>
      <c r="USI807" s="3787"/>
      <c r="USJ807" s="3787"/>
      <c r="USK807" s="3787"/>
      <c r="USL807" s="3787"/>
      <c r="USM807" s="3787"/>
      <c r="USN807" s="3787"/>
      <c r="USO807" s="3787"/>
      <c r="USP807" s="3787"/>
      <c r="USQ807" s="3787"/>
      <c r="USR807" s="3787"/>
      <c r="USS807" s="3787"/>
      <c r="UST807" s="3787"/>
      <c r="USU807" s="3787"/>
      <c r="USV807" s="3787"/>
      <c r="USW807" s="3787"/>
      <c r="USX807" s="3787"/>
      <c r="USY807" s="3787"/>
      <c r="USZ807" s="3787"/>
      <c r="UTA807" s="3787"/>
      <c r="UTB807" s="3787"/>
      <c r="UTC807" s="3787"/>
      <c r="UTD807" s="3787"/>
      <c r="UTE807" s="3787"/>
      <c r="UTF807" s="3787"/>
      <c r="UTG807" s="3787"/>
      <c r="UTH807" s="3787"/>
      <c r="UTI807" s="3787"/>
      <c r="UTJ807" s="3787"/>
      <c r="UTK807" s="3787"/>
      <c r="UTL807" s="3787"/>
      <c r="UTM807" s="3787"/>
      <c r="UTN807" s="3787"/>
      <c r="UTO807" s="3787"/>
      <c r="UTP807" s="3787"/>
      <c r="UTQ807" s="3787"/>
      <c r="UTR807" s="3787"/>
      <c r="UTS807" s="3787"/>
      <c r="UTT807" s="3787"/>
      <c r="UTU807" s="3787"/>
      <c r="UTV807" s="3787"/>
      <c r="UTW807" s="3787"/>
      <c r="UTX807" s="3787"/>
      <c r="UTY807" s="3787"/>
      <c r="UTZ807" s="3787"/>
      <c r="UUA807" s="3787"/>
      <c r="UUB807" s="3787"/>
      <c r="UUC807" s="3787"/>
      <c r="UUD807" s="3787"/>
      <c r="UUE807" s="3787"/>
      <c r="UUF807" s="3787"/>
      <c r="UUG807" s="3787"/>
      <c r="UUH807" s="3787"/>
      <c r="UUI807" s="3787"/>
      <c r="UUJ807" s="3787"/>
      <c r="UUK807" s="3787"/>
      <c r="UUL807" s="3787"/>
      <c r="UUM807" s="3787"/>
      <c r="UUN807" s="3787"/>
      <c r="UUO807" s="3787"/>
      <c r="UUP807" s="3787"/>
      <c r="UUQ807" s="3787"/>
      <c r="UUR807" s="3787"/>
      <c r="UUS807" s="3787"/>
      <c r="UUT807" s="3787"/>
      <c r="UUU807" s="3787"/>
      <c r="UUV807" s="3787"/>
      <c r="UUW807" s="3787"/>
      <c r="UUX807" s="3787"/>
      <c r="UUY807" s="3787"/>
      <c r="UUZ807" s="3787"/>
      <c r="UVA807" s="3787"/>
      <c r="UVB807" s="3787"/>
      <c r="UVC807" s="3787"/>
      <c r="UVD807" s="3787"/>
      <c r="UVE807" s="3787"/>
      <c r="UVF807" s="3787"/>
      <c r="UVG807" s="3787"/>
      <c r="UVH807" s="3787"/>
      <c r="UVI807" s="3787"/>
      <c r="UVJ807" s="3787"/>
      <c r="UVK807" s="3787"/>
      <c r="UVL807" s="3787"/>
      <c r="UVM807" s="3787"/>
      <c r="UVN807" s="3787"/>
      <c r="UVO807" s="3787"/>
      <c r="UVP807" s="3787"/>
      <c r="UVQ807" s="3787"/>
      <c r="UVR807" s="3787"/>
      <c r="UVS807" s="3787"/>
      <c r="UVT807" s="3787"/>
      <c r="UVU807" s="3787"/>
      <c r="UVV807" s="3787"/>
      <c r="UVW807" s="3787"/>
      <c r="UVX807" s="3787"/>
      <c r="UVY807" s="3787"/>
      <c r="UVZ807" s="3787"/>
      <c r="UWA807" s="3787"/>
      <c r="UWB807" s="3787"/>
      <c r="UWC807" s="3787"/>
      <c r="UWD807" s="3787"/>
      <c r="UWE807" s="3787"/>
      <c r="UWF807" s="3787"/>
      <c r="UWG807" s="3787"/>
      <c r="UWH807" s="3787"/>
      <c r="UWI807" s="3787"/>
      <c r="UWJ807" s="3787"/>
      <c r="UWK807" s="3787"/>
      <c r="UWL807" s="3787"/>
      <c r="UWM807" s="3787"/>
      <c r="UWN807" s="3787"/>
      <c r="UWO807" s="3787"/>
      <c r="UWP807" s="3787"/>
      <c r="UWQ807" s="3787"/>
      <c r="UWR807" s="3787"/>
      <c r="UWS807" s="3787"/>
      <c r="UWT807" s="3787"/>
      <c r="UWU807" s="3787"/>
      <c r="UWV807" s="3787"/>
      <c r="UWW807" s="3787"/>
      <c r="UWX807" s="3787"/>
      <c r="UWY807" s="3787"/>
      <c r="UWZ807" s="3787"/>
      <c r="UXA807" s="3787"/>
      <c r="UXB807" s="3787"/>
      <c r="UXC807" s="3787"/>
      <c r="UXD807" s="3787"/>
      <c r="UXE807" s="3787"/>
      <c r="UXF807" s="3787"/>
      <c r="UXG807" s="3787"/>
      <c r="UXH807" s="3787"/>
      <c r="UXI807" s="3787"/>
      <c r="UXJ807" s="3787"/>
      <c r="UXK807" s="3787"/>
      <c r="UXL807" s="3787"/>
      <c r="UXM807" s="3787"/>
      <c r="UXN807" s="3787"/>
      <c r="UXO807" s="3787"/>
      <c r="UXP807" s="3787"/>
      <c r="UXQ807" s="3787"/>
      <c r="UXR807" s="3787"/>
      <c r="UXS807" s="3787"/>
      <c r="UXT807" s="3787"/>
      <c r="UXU807" s="3787"/>
      <c r="UXV807" s="3787"/>
      <c r="UXW807" s="3787"/>
      <c r="UXX807" s="3787"/>
      <c r="UXY807" s="3787"/>
      <c r="UXZ807" s="3787"/>
      <c r="UYA807" s="3787"/>
      <c r="UYB807" s="3787"/>
      <c r="UYC807" s="3787"/>
      <c r="UYH807" s="3787"/>
      <c r="UYN807" s="3787"/>
      <c r="UYO807" s="3787"/>
      <c r="UYP807" s="3787"/>
      <c r="UYT807" s="3787"/>
      <c r="UZA807" s="3787"/>
      <c r="UZB807" s="3787"/>
      <c r="UZC807" s="3787"/>
      <c r="UZD807" s="3787"/>
      <c r="UZE807" s="3787"/>
      <c r="UZF807" s="3787"/>
      <c r="UZG807" s="3787"/>
      <c r="UZH807" s="3787"/>
      <c r="UZI807" s="3787"/>
      <c r="UZJ807" s="3787"/>
      <c r="UZK807" s="3787"/>
      <c r="UZL807" s="3787"/>
      <c r="UZM807" s="3787"/>
      <c r="UZN807" s="3787"/>
      <c r="UZO807" s="3787"/>
      <c r="UZP807" s="3787"/>
      <c r="UZQ807" s="3787"/>
      <c r="UZR807" s="3787"/>
      <c r="UZS807" s="3787"/>
      <c r="UZT807" s="3787"/>
      <c r="UZU807" s="3787"/>
      <c r="UZV807" s="3787"/>
      <c r="UZW807" s="3787"/>
      <c r="UZX807" s="3787"/>
      <c r="UZY807" s="3787"/>
      <c r="UZZ807" s="3787"/>
      <c r="VAA807" s="3787"/>
      <c r="VAB807" s="3787"/>
      <c r="VAC807" s="3787"/>
      <c r="VAD807" s="3787"/>
      <c r="VAE807" s="3787"/>
      <c r="VAF807" s="3787"/>
      <c r="VAG807" s="3787"/>
      <c r="VAH807" s="3787"/>
      <c r="VAI807" s="3787"/>
      <c r="VAJ807" s="3787"/>
      <c r="VAK807" s="3787"/>
      <c r="VAL807" s="3787"/>
      <c r="VAM807" s="3787"/>
      <c r="VAN807" s="3787"/>
      <c r="VAO807" s="3787"/>
      <c r="VAP807" s="3787"/>
      <c r="VAQ807" s="3787"/>
      <c r="VAR807" s="3787"/>
      <c r="VAS807" s="3787"/>
      <c r="VAT807" s="3787"/>
      <c r="VAU807" s="3787"/>
      <c r="VAV807" s="3787"/>
      <c r="VAW807" s="3787"/>
      <c r="VAX807" s="3787"/>
      <c r="VAY807" s="3787"/>
      <c r="VAZ807" s="3787"/>
      <c r="VBA807" s="3787"/>
      <c r="VBB807" s="3787"/>
      <c r="VBC807" s="3787"/>
      <c r="VBD807" s="3787"/>
      <c r="VBE807" s="3787"/>
      <c r="VBF807" s="3787"/>
      <c r="VBG807" s="3787"/>
      <c r="VBH807" s="3787"/>
      <c r="VBI807" s="3787"/>
      <c r="VBJ807" s="3787"/>
      <c r="VBK807" s="3787"/>
      <c r="VBL807" s="3787"/>
      <c r="VBM807" s="3787"/>
      <c r="VBN807" s="3787"/>
      <c r="VBO807" s="3787"/>
      <c r="VBP807" s="3787"/>
      <c r="VBQ807" s="3787"/>
      <c r="VBR807" s="3787"/>
      <c r="VBS807" s="3787"/>
      <c r="VBT807" s="3787"/>
      <c r="VBU807" s="3787"/>
      <c r="VBV807" s="3787"/>
      <c r="VBW807" s="3787"/>
      <c r="VBX807" s="3787"/>
      <c r="VBY807" s="3787"/>
      <c r="VBZ807" s="3787"/>
      <c r="VCA807" s="3787"/>
      <c r="VCB807" s="3787"/>
      <c r="VCC807" s="3787"/>
      <c r="VCD807" s="3787"/>
      <c r="VCE807" s="3787"/>
      <c r="VCF807" s="3787"/>
      <c r="VCG807" s="3787"/>
      <c r="VCH807" s="3787"/>
      <c r="VCI807" s="3787"/>
      <c r="VCJ807" s="3787"/>
      <c r="VCK807" s="3787"/>
      <c r="VCL807" s="3787"/>
      <c r="VCM807" s="3787"/>
      <c r="VCN807" s="3787"/>
      <c r="VCO807" s="3787"/>
      <c r="VCP807" s="3787"/>
      <c r="VCQ807" s="3787"/>
      <c r="VCR807" s="3787"/>
      <c r="VCS807" s="3787"/>
      <c r="VCT807" s="3787"/>
      <c r="VCU807" s="3787"/>
      <c r="VCV807" s="3787"/>
      <c r="VCW807" s="3787"/>
      <c r="VCX807" s="3787"/>
      <c r="VCY807" s="3787"/>
      <c r="VCZ807" s="3787"/>
      <c r="VDA807" s="3787"/>
      <c r="VDB807" s="3787"/>
      <c r="VDC807" s="3787"/>
      <c r="VDD807" s="3787"/>
      <c r="VDE807" s="3787"/>
      <c r="VDF807" s="3787"/>
      <c r="VDG807" s="3787"/>
      <c r="VDH807" s="3787"/>
      <c r="VDI807" s="3787"/>
      <c r="VDJ807" s="3787"/>
      <c r="VDK807" s="3787"/>
      <c r="VDL807" s="3787"/>
      <c r="VDM807" s="3787"/>
      <c r="VDN807" s="3787"/>
      <c r="VDO807" s="3787"/>
      <c r="VDP807" s="3787"/>
      <c r="VDQ807" s="3787"/>
      <c r="VDR807" s="3787"/>
      <c r="VDS807" s="3787"/>
      <c r="VDT807" s="3787"/>
      <c r="VDU807" s="3787"/>
      <c r="VDV807" s="3787"/>
      <c r="VDW807" s="3787"/>
      <c r="VDX807" s="3787"/>
      <c r="VDY807" s="3787"/>
      <c r="VDZ807" s="3787"/>
      <c r="VEA807" s="3787"/>
      <c r="VEB807" s="3787"/>
      <c r="VEC807" s="3787"/>
      <c r="VED807" s="3787"/>
      <c r="VEE807" s="3787"/>
      <c r="VEF807" s="3787"/>
      <c r="VEG807" s="3787"/>
      <c r="VEH807" s="3787"/>
      <c r="VEI807" s="3787"/>
      <c r="VEJ807" s="3787"/>
      <c r="VEK807" s="3787"/>
      <c r="VEL807" s="3787"/>
      <c r="VEM807" s="3787"/>
      <c r="VEN807" s="3787"/>
      <c r="VEO807" s="3787"/>
      <c r="VEP807" s="3787"/>
      <c r="VEQ807" s="3787"/>
      <c r="VER807" s="3787"/>
      <c r="VES807" s="3787"/>
      <c r="VET807" s="3787"/>
      <c r="VEU807" s="3787"/>
      <c r="VEV807" s="3787"/>
      <c r="VEW807" s="3787"/>
      <c r="VEX807" s="3787"/>
      <c r="VEY807" s="3787"/>
      <c r="VEZ807" s="3787"/>
      <c r="VFA807" s="3787"/>
      <c r="VFB807" s="3787"/>
      <c r="VFC807" s="3787"/>
      <c r="VFD807" s="3787"/>
      <c r="VFE807" s="3787"/>
      <c r="VFF807" s="3787"/>
      <c r="VFG807" s="3787"/>
      <c r="VFH807" s="3787"/>
      <c r="VFI807" s="3787"/>
      <c r="VFJ807" s="3787"/>
      <c r="VFK807" s="3787"/>
      <c r="VFL807" s="3787"/>
      <c r="VFM807" s="3787"/>
      <c r="VFN807" s="3787"/>
      <c r="VFO807" s="3787"/>
      <c r="VFP807" s="3787"/>
      <c r="VFQ807" s="3787"/>
      <c r="VFR807" s="3787"/>
      <c r="VFS807" s="3787"/>
      <c r="VFT807" s="3787"/>
      <c r="VFU807" s="3787"/>
      <c r="VFV807" s="3787"/>
      <c r="VFW807" s="3787"/>
      <c r="VFX807" s="3787"/>
      <c r="VFY807" s="3787"/>
      <c r="VFZ807" s="3787"/>
      <c r="VGA807" s="3787"/>
      <c r="VGB807" s="3787"/>
      <c r="VGC807" s="3787"/>
      <c r="VGD807" s="3787"/>
      <c r="VGE807" s="3787"/>
      <c r="VGF807" s="3787"/>
      <c r="VGG807" s="3787"/>
      <c r="VGH807" s="3787"/>
      <c r="VGI807" s="3787"/>
      <c r="VGJ807" s="3787"/>
      <c r="VGK807" s="3787"/>
      <c r="VGL807" s="3787"/>
      <c r="VGM807" s="3787"/>
      <c r="VGN807" s="3787"/>
      <c r="VGO807" s="3787"/>
      <c r="VGP807" s="3787"/>
      <c r="VGQ807" s="3787"/>
      <c r="VGR807" s="3787"/>
      <c r="VGS807" s="3787"/>
      <c r="VGT807" s="3787"/>
      <c r="VGU807" s="3787"/>
      <c r="VGV807" s="3787"/>
      <c r="VGW807" s="3787"/>
      <c r="VGX807" s="3787"/>
      <c r="VGY807" s="3787"/>
      <c r="VGZ807" s="3787"/>
      <c r="VHA807" s="3787"/>
      <c r="VHB807" s="3787"/>
      <c r="VHC807" s="3787"/>
      <c r="VHD807" s="3787"/>
      <c r="VHE807" s="3787"/>
      <c r="VHF807" s="3787"/>
      <c r="VHG807" s="3787"/>
      <c r="VHH807" s="3787"/>
      <c r="VHI807" s="3787"/>
      <c r="VHJ807" s="3787"/>
      <c r="VHK807" s="3787"/>
      <c r="VHL807" s="3787"/>
      <c r="VHM807" s="3787"/>
      <c r="VHN807" s="3787"/>
      <c r="VHO807" s="3787"/>
      <c r="VHP807" s="3787"/>
      <c r="VHQ807" s="3787"/>
      <c r="VHR807" s="3787"/>
      <c r="VHS807" s="3787"/>
      <c r="VHT807" s="3787"/>
      <c r="VHU807" s="3787"/>
      <c r="VHV807" s="3787"/>
      <c r="VHW807" s="3787"/>
      <c r="VHX807" s="3787"/>
      <c r="VHY807" s="3787"/>
      <c r="VID807" s="3787"/>
      <c r="VIJ807" s="3787"/>
      <c r="VIK807" s="3787"/>
      <c r="VIL807" s="3787"/>
      <c r="VIP807" s="3787"/>
      <c r="VIW807" s="3787"/>
      <c r="VIX807" s="3787"/>
      <c r="VIY807" s="3787"/>
      <c r="VIZ807" s="3787"/>
      <c r="VJA807" s="3787"/>
      <c r="VJB807" s="3787"/>
      <c r="VJC807" s="3787"/>
      <c r="VJD807" s="3787"/>
      <c r="VJE807" s="3787"/>
      <c r="VJF807" s="3787"/>
      <c r="VJG807" s="3787"/>
      <c r="VJH807" s="3787"/>
      <c r="VJI807" s="3787"/>
      <c r="VJJ807" s="3787"/>
      <c r="VJK807" s="3787"/>
      <c r="VJL807" s="3787"/>
      <c r="VJM807" s="3787"/>
      <c r="VJN807" s="3787"/>
      <c r="VJO807" s="3787"/>
      <c r="VJP807" s="3787"/>
      <c r="VJQ807" s="3787"/>
      <c r="VJR807" s="3787"/>
      <c r="VJS807" s="3787"/>
      <c r="VJT807" s="3787"/>
      <c r="VJU807" s="3787"/>
      <c r="VJV807" s="3787"/>
      <c r="VJW807" s="3787"/>
      <c r="VJX807" s="3787"/>
      <c r="VJY807" s="3787"/>
      <c r="VJZ807" s="3787"/>
      <c r="VKA807" s="3787"/>
      <c r="VKB807" s="3787"/>
      <c r="VKC807" s="3787"/>
      <c r="VKD807" s="3787"/>
      <c r="VKE807" s="3787"/>
      <c r="VKF807" s="3787"/>
      <c r="VKG807" s="3787"/>
      <c r="VKH807" s="3787"/>
      <c r="VKI807" s="3787"/>
      <c r="VKJ807" s="3787"/>
      <c r="VKK807" s="3787"/>
      <c r="VKL807" s="3787"/>
      <c r="VKM807" s="3787"/>
      <c r="VKN807" s="3787"/>
      <c r="VKO807" s="3787"/>
      <c r="VKP807" s="3787"/>
      <c r="VKQ807" s="3787"/>
      <c r="VKR807" s="3787"/>
      <c r="VKS807" s="3787"/>
      <c r="VKT807" s="3787"/>
      <c r="VKU807" s="3787"/>
      <c r="VKV807" s="3787"/>
      <c r="VKW807" s="3787"/>
      <c r="VKX807" s="3787"/>
      <c r="VKY807" s="3787"/>
      <c r="VKZ807" s="3787"/>
      <c r="VLA807" s="3787"/>
      <c r="VLB807" s="3787"/>
      <c r="VLC807" s="3787"/>
      <c r="VLD807" s="3787"/>
      <c r="VLE807" s="3787"/>
      <c r="VLF807" s="3787"/>
      <c r="VLG807" s="3787"/>
      <c r="VLH807" s="3787"/>
      <c r="VLI807" s="3787"/>
      <c r="VLJ807" s="3787"/>
      <c r="VLK807" s="3787"/>
      <c r="VLL807" s="3787"/>
      <c r="VLM807" s="3787"/>
      <c r="VLN807" s="3787"/>
      <c r="VLO807" s="3787"/>
      <c r="VLP807" s="3787"/>
      <c r="VLQ807" s="3787"/>
      <c r="VLR807" s="3787"/>
      <c r="VLS807" s="3787"/>
      <c r="VLT807" s="3787"/>
      <c r="VLU807" s="3787"/>
      <c r="VLV807" s="3787"/>
      <c r="VLW807" s="3787"/>
      <c r="VLX807" s="3787"/>
      <c r="VLY807" s="3787"/>
      <c r="VLZ807" s="3787"/>
      <c r="VMA807" s="3787"/>
      <c r="VMB807" s="3787"/>
      <c r="VMC807" s="3787"/>
      <c r="VMD807" s="3787"/>
      <c r="VME807" s="3787"/>
      <c r="VMF807" s="3787"/>
      <c r="VMG807" s="3787"/>
      <c r="VMH807" s="3787"/>
      <c r="VMI807" s="3787"/>
      <c r="VMJ807" s="3787"/>
      <c r="VMK807" s="3787"/>
      <c r="VML807" s="3787"/>
      <c r="VMM807" s="3787"/>
      <c r="VMN807" s="3787"/>
      <c r="VMO807" s="3787"/>
      <c r="VMP807" s="3787"/>
      <c r="VMQ807" s="3787"/>
      <c r="VMR807" s="3787"/>
      <c r="VMS807" s="3787"/>
      <c r="VMT807" s="3787"/>
      <c r="VMU807" s="3787"/>
      <c r="VMV807" s="3787"/>
      <c r="VMW807" s="3787"/>
      <c r="VMX807" s="3787"/>
      <c r="VMY807" s="3787"/>
      <c r="VMZ807" s="3787"/>
      <c r="VNA807" s="3787"/>
      <c r="VNB807" s="3787"/>
      <c r="VNC807" s="3787"/>
      <c r="VND807" s="3787"/>
      <c r="VNE807" s="3787"/>
      <c r="VNF807" s="3787"/>
      <c r="VNG807" s="3787"/>
      <c r="VNH807" s="3787"/>
      <c r="VNI807" s="3787"/>
      <c r="VNJ807" s="3787"/>
      <c r="VNK807" s="3787"/>
      <c r="VNL807" s="3787"/>
      <c r="VNM807" s="3787"/>
      <c r="VNN807" s="3787"/>
      <c r="VNO807" s="3787"/>
      <c r="VNP807" s="3787"/>
      <c r="VNQ807" s="3787"/>
      <c r="VNR807" s="3787"/>
      <c r="VNS807" s="3787"/>
      <c r="VNT807" s="3787"/>
      <c r="VNU807" s="3787"/>
      <c r="VNV807" s="3787"/>
      <c r="VNW807" s="3787"/>
      <c r="VNX807" s="3787"/>
      <c r="VNY807" s="3787"/>
      <c r="VNZ807" s="3787"/>
      <c r="VOA807" s="3787"/>
      <c r="VOB807" s="3787"/>
      <c r="VOC807" s="3787"/>
      <c r="VOD807" s="3787"/>
      <c r="VOE807" s="3787"/>
      <c r="VOF807" s="3787"/>
      <c r="VOG807" s="3787"/>
      <c r="VOH807" s="3787"/>
      <c r="VOI807" s="3787"/>
      <c r="VOJ807" s="3787"/>
      <c r="VOK807" s="3787"/>
      <c r="VOL807" s="3787"/>
      <c r="VOM807" s="3787"/>
      <c r="VON807" s="3787"/>
      <c r="VOO807" s="3787"/>
      <c r="VOP807" s="3787"/>
      <c r="VOQ807" s="3787"/>
      <c r="VOR807" s="3787"/>
      <c r="VOS807" s="3787"/>
      <c r="VOT807" s="3787"/>
      <c r="VOU807" s="3787"/>
      <c r="VOV807" s="3787"/>
      <c r="VOW807" s="3787"/>
      <c r="VOX807" s="3787"/>
      <c r="VOY807" s="3787"/>
      <c r="VOZ807" s="3787"/>
      <c r="VPA807" s="3787"/>
      <c r="VPB807" s="3787"/>
      <c r="VPC807" s="3787"/>
      <c r="VPD807" s="3787"/>
      <c r="VPE807" s="3787"/>
      <c r="VPF807" s="3787"/>
      <c r="VPG807" s="3787"/>
      <c r="VPH807" s="3787"/>
      <c r="VPI807" s="3787"/>
      <c r="VPJ807" s="3787"/>
      <c r="VPK807" s="3787"/>
      <c r="VPL807" s="3787"/>
      <c r="VPM807" s="3787"/>
      <c r="VPN807" s="3787"/>
      <c r="VPO807" s="3787"/>
      <c r="VPP807" s="3787"/>
      <c r="VPQ807" s="3787"/>
      <c r="VPR807" s="3787"/>
      <c r="VPS807" s="3787"/>
      <c r="VPT807" s="3787"/>
      <c r="VPU807" s="3787"/>
      <c r="VPV807" s="3787"/>
      <c r="VPW807" s="3787"/>
      <c r="VPX807" s="3787"/>
      <c r="VPY807" s="3787"/>
      <c r="VPZ807" s="3787"/>
      <c r="VQA807" s="3787"/>
      <c r="VQB807" s="3787"/>
      <c r="VQC807" s="3787"/>
      <c r="VQD807" s="3787"/>
      <c r="VQE807" s="3787"/>
      <c r="VQF807" s="3787"/>
      <c r="VQG807" s="3787"/>
      <c r="VQH807" s="3787"/>
      <c r="VQI807" s="3787"/>
      <c r="VQJ807" s="3787"/>
      <c r="VQK807" s="3787"/>
      <c r="VQL807" s="3787"/>
      <c r="VQM807" s="3787"/>
      <c r="VQN807" s="3787"/>
      <c r="VQO807" s="3787"/>
      <c r="VQP807" s="3787"/>
      <c r="VQQ807" s="3787"/>
      <c r="VQR807" s="3787"/>
      <c r="VQS807" s="3787"/>
      <c r="VQT807" s="3787"/>
      <c r="VQU807" s="3787"/>
      <c r="VQV807" s="3787"/>
      <c r="VQW807" s="3787"/>
      <c r="VQX807" s="3787"/>
      <c r="VQY807" s="3787"/>
      <c r="VQZ807" s="3787"/>
      <c r="VRA807" s="3787"/>
      <c r="VRB807" s="3787"/>
      <c r="VRC807" s="3787"/>
      <c r="VRD807" s="3787"/>
      <c r="VRE807" s="3787"/>
      <c r="VRF807" s="3787"/>
      <c r="VRG807" s="3787"/>
      <c r="VRH807" s="3787"/>
      <c r="VRI807" s="3787"/>
      <c r="VRJ807" s="3787"/>
      <c r="VRK807" s="3787"/>
      <c r="VRL807" s="3787"/>
      <c r="VRM807" s="3787"/>
      <c r="VRN807" s="3787"/>
      <c r="VRO807" s="3787"/>
      <c r="VRP807" s="3787"/>
      <c r="VRQ807" s="3787"/>
      <c r="VRR807" s="3787"/>
      <c r="VRS807" s="3787"/>
      <c r="VRT807" s="3787"/>
      <c r="VRU807" s="3787"/>
      <c r="VRZ807" s="3787"/>
      <c r="VSF807" s="3787"/>
      <c r="VSG807" s="3787"/>
      <c r="VSH807" s="3787"/>
      <c r="VSL807" s="3787"/>
      <c r="VSS807" s="3787"/>
      <c r="VST807" s="3787"/>
      <c r="VSU807" s="3787"/>
      <c r="VSV807" s="3787"/>
      <c r="VSW807" s="3787"/>
      <c r="VSX807" s="3787"/>
      <c r="VSY807" s="3787"/>
      <c r="VSZ807" s="3787"/>
      <c r="VTA807" s="3787"/>
      <c r="VTB807" s="3787"/>
      <c r="VTC807" s="3787"/>
      <c r="VTD807" s="3787"/>
      <c r="VTE807" s="3787"/>
      <c r="VTF807" s="3787"/>
      <c r="VTG807" s="3787"/>
      <c r="VTH807" s="3787"/>
      <c r="VTI807" s="3787"/>
      <c r="VTJ807" s="3787"/>
      <c r="VTK807" s="3787"/>
      <c r="VTL807" s="3787"/>
      <c r="VTM807" s="3787"/>
      <c r="VTN807" s="3787"/>
      <c r="VTO807" s="3787"/>
      <c r="VTP807" s="3787"/>
      <c r="VTQ807" s="3787"/>
      <c r="VTR807" s="3787"/>
      <c r="VTS807" s="3787"/>
      <c r="VTT807" s="3787"/>
      <c r="VTU807" s="3787"/>
      <c r="VTV807" s="3787"/>
      <c r="VTW807" s="3787"/>
      <c r="VTX807" s="3787"/>
      <c r="VTY807" s="3787"/>
      <c r="VTZ807" s="3787"/>
      <c r="VUA807" s="3787"/>
      <c r="VUB807" s="3787"/>
      <c r="VUC807" s="3787"/>
      <c r="VUD807" s="3787"/>
      <c r="VUE807" s="3787"/>
      <c r="VUF807" s="3787"/>
      <c r="VUG807" s="3787"/>
      <c r="VUH807" s="3787"/>
      <c r="VUI807" s="3787"/>
      <c r="VUJ807" s="3787"/>
      <c r="VUK807" s="3787"/>
      <c r="VUL807" s="3787"/>
      <c r="VUM807" s="3787"/>
      <c r="VUN807" s="3787"/>
      <c r="VUO807" s="3787"/>
      <c r="VUP807" s="3787"/>
      <c r="VUQ807" s="3787"/>
      <c r="VUR807" s="3787"/>
      <c r="VUS807" s="3787"/>
      <c r="VUT807" s="3787"/>
      <c r="VUU807" s="3787"/>
      <c r="VUV807" s="3787"/>
      <c r="VUW807" s="3787"/>
      <c r="VUX807" s="3787"/>
      <c r="VUY807" s="3787"/>
      <c r="VUZ807" s="3787"/>
      <c r="VVA807" s="3787"/>
      <c r="VVB807" s="3787"/>
      <c r="VVC807" s="3787"/>
      <c r="VVD807" s="3787"/>
      <c r="VVE807" s="3787"/>
      <c r="VVF807" s="3787"/>
      <c r="VVG807" s="3787"/>
      <c r="VVH807" s="3787"/>
      <c r="VVI807" s="3787"/>
      <c r="VVJ807" s="3787"/>
      <c r="VVK807" s="3787"/>
      <c r="VVL807" s="3787"/>
      <c r="VVM807" s="3787"/>
      <c r="VVN807" s="3787"/>
      <c r="VVO807" s="3787"/>
      <c r="VVP807" s="3787"/>
      <c r="VVQ807" s="3787"/>
      <c r="VVR807" s="3787"/>
      <c r="VVS807" s="3787"/>
      <c r="VVT807" s="3787"/>
      <c r="VVU807" s="3787"/>
      <c r="VVV807" s="3787"/>
      <c r="VVW807" s="3787"/>
      <c r="VVX807" s="3787"/>
      <c r="VVY807" s="3787"/>
      <c r="VVZ807" s="3787"/>
      <c r="VWA807" s="3787"/>
      <c r="VWB807" s="3787"/>
      <c r="VWC807" s="3787"/>
      <c r="VWD807" s="3787"/>
      <c r="VWE807" s="3787"/>
      <c r="VWF807" s="3787"/>
      <c r="VWG807" s="3787"/>
      <c r="VWH807" s="3787"/>
      <c r="VWI807" s="3787"/>
      <c r="VWJ807" s="3787"/>
      <c r="VWK807" s="3787"/>
      <c r="VWL807" s="3787"/>
      <c r="VWM807" s="3787"/>
      <c r="VWN807" s="3787"/>
      <c r="VWO807" s="3787"/>
      <c r="VWP807" s="3787"/>
      <c r="VWQ807" s="3787"/>
      <c r="VWR807" s="3787"/>
      <c r="VWS807" s="3787"/>
      <c r="VWT807" s="3787"/>
      <c r="VWU807" s="3787"/>
      <c r="VWV807" s="3787"/>
      <c r="VWW807" s="3787"/>
      <c r="VWX807" s="3787"/>
      <c r="VWY807" s="3787"/>
      <c r="VWZ807" s="3787"/>
      <c r="VXA807" s="3787"/>
      <c r="VXB807" s="3787"/>
      <c r="VXC807" s="3787"/>
      <c r="VXD807" s="3787"/>
      <c r="VXE807" s="3787"/>
      <c r="VXF807" s="3787"/>
      <c r="VXG807" s="3787"/>
      <c r="VXH807" s="3787"/>
      <c r="VXI807" s="3787"/>
      <c r="VXJ807" s="3787"/>
      <c r="VXK807" s="3787"/>
      <c r="VXL807" s="3787"/>
      <c r="VXM807" s="3787"/>
      <c r="VXN807" s="3787"/>
      <c r="VXO807" s="3787"/>
      <c r="VXP807" s="3787"/>
      <c r="VXQ807" s="3787"/>
      <c r="VXR807" s="3787"/>
      <c r="VXS807" s="3787"/>
      <c r="VXT807" s="3787"/>
      <c r="VXU807" s="3787"/>
      <c r="VXV807" s="3787"/>
      <c r="VXW807" s="3787"/>
      <c r="VXX807" s="3787"/>
      <c r="VXY807" s="3787"/>
      <c r="VXZ807" s="3787"/>
      <c r="VYA807" s="3787"/>
      <c r="VYB807" s="3787"/>
      <c r="VYC807" s="3787"/>
      <c r="VYD807" s="3787"/>
      <c r="VYE807" s="3787"/>
      <c r="VYF807" s="3787"/>
      <c r="VYG807" s="3787"/>
      <c r="VYH807" s="3787"/>
      <c r="VYI807" s="3787"/>
      <c r="VYJ807" s="3787"/>
      <c r="VYK807" s="3787"/>
      <c r="VYL807" s="3787"/>
      <c r="VYM807" s="3787"/>
      <c r="VYN807" s="3787"/>
      <c r="VYO807" s="3787"/>
      <c r="VYP807" s="3787"/>
      <c r="VYQ807" s="3787"/>
      <c r="VYR807" s="3787"/>
      <c r="VYS807" s="3787"/>
      <c r="VYT807" s="3787"/>
      <c r="VYU807" s="3787"/>
      <c r="VYV807" s="3787"/>
      <c r="VYW807" s="3787"/>
      <c r="VYX807" s="3787"/>
      <c r="VYY807" s="3787"/>
      <c r="VYZ807" s="3787"/>
      <c r="VZA807" s="3787"/>
      <c r="VZB807" s="3787"/>
      <c r="VZC807" s="3787"/>
      <c r="VZD807" s="3787"/>
      <c r="VZE807" s="3787"/>
      <c r="VZF807" s="3787"/>
      <c r="VZG807" s="3787"/>
      <c r="VZH807" s="3787"/>
      <c r="VZI807" s="3787"/>
      <c r="VZJ807" s="3787"/>
      <c r="VZK807" s="3787"/>
      <c r="VZL807" s="3787"/>
      <c r="VZM807" s="3787"/>
      <c r="VZN807" s="3787"/>
      <c r="VZO807" s="3787"/>
      <c r="VZP807" s="3787"/>
      <c r="VZQ807" s="3787"/>
      <c r="VZR807" s="3787"/>
      <c r="VZS807" s="3787"/>
      <c r="VZT807" s="3787"/>
      <c r="VZU807" s="3787"/>
      <c r="VZV807" s="3787"/>
      <c r="VZW807" s="3787"/>
      <c r="VZX807" s="3787"/>
      <c r="VZY807" s="3787"/>
      <c r="VZZ807" s="3787"/>
      <c r="WAA807" s="3787"/>
      <c r="WAB807" s="3787"/>
      <c r="WAC807" s="3787"/>
      <c r="WAD807" s="3787"/>
      <c r="WAE807" s="3787"/>
      <c r="WAF807" s="3787"/>
      <c r="WAG807" s="3787"/>
      <c r="WAH807" s="3787"/>
      <c r="WAI807" s="3787"/>
      <c r="WAJ807" s="3787"/>
      <c r="WAK807" s="3787"/>
      <c r="WAL807" s="3787"/>
      <c r="WAM807" s="3787"/>
      <c r="WAN807" s="3787"/>
      <c r="WAO807" s="3787"/>
      <c r="WAP807" s="3787"/>
      <c r="WAQ807" s="3787"/>
      <c r="WAR807" s="3787"/>
      <c r="WAS807" s="3787"/>
      <c r="WAT807" s="3787"/>
      <c r="WAU807" s="3787"/>
      <c r="WAV807" s="3787"/>
      <c r="WAW807" s="3787"/>
      <c r="WAX807" s="3787"/>
      <c r="WAY807" s="3787"/>
      <c r="WAZ807" s="3787"/>
      <c r="WBA807" s="3787"/>
      <c r="WBB807" s="3787"/>
      <c r="WBC807" s="3787"/>
      <c r="WBD807" s="3787"/>
      <c r="WBE807" s="3787"/>
      <c r="WBF807" s="3787"/>
      <c r="WBG807" s="3787"/>
      <c r="WBH807" s="3787"/>
      <c r="WBI807" s="3787"/>
      <c r="WBJ807" s="3787"/>
      <c r="WBK807" s="3787"/>
      <c r="WBL807" s="3787"/>
      <c r="WBM807" s="3787"/>
      <c r="WBN807" s="3787"/>
      <c r="WBO807" s="3787"/>
      <c r="WBP807" s="3787"/>
      <c r="WBQ807" s="3787"/>
      <c r="WBV807" s="3787"/>
      <c r="WCB807" s="3787"/>
      <c r="WCC807" s="3787"/>
      <c r="WCD807" s="3787"/>
      <c r="WCH807" s="3787"/>
      <c r="WCO807" s="3787"/>
      <c r="WCP807" s="3787"/>
      <c r="WCQ807" s="3787"/>
      <c r="WCR807" s="3787"/>
      <c r="WCS807" s="3787"/>
      <c r="WCT807" s="3787"/>
      <c r="WCU807" s="3787"/>
      <c r="WCV807" s="3787"/>
      <c r="WCW807" s="3787"/>
      <c r="WCX807" s="3787"/>
      <c r="WCY807" s="3787"/>
      <c r="WCZ807" s="3787"/>
      <c r="WDA807" s="3787"/>
      <c r="WDB807" s="3787"/>
      <c r="WDC807" s="3787"/>
      <c r="WDD807" s="3787"/>
      <c r="WDE807" s="3787"/>
      <c r="WDF807" s="3787"/>
      <c r="WDG807" s="3787"/>
      <c r="WDH807" s="3787"/>
      <c r="WDI807" s="3787"/>
      <c r="WDJ807" s="3787"/>
      <c r="WDK807" s="3787"/>
      <c r="WDL807" s="3787"/>
      <c r="WDM807" s="3787"/>
      <c r="WDN807" s="3787"/>
      <c r="WDO807" s="3787"/>
      <c r="WDP807" s="3787"/>
      <c r="WDQ807" s="3787"/>
      <c r="WDR807" s="3787"/>
      <c r="WDS807" s="3787"/>
      <c r="WDT807" s="3787"/>
      <c r="WDU807" s="3787"/>
      <c r="WDV807" s="3787"/>
      <c r="WDW807" s="3787"/>
      <c r="WDX807" s="3787"/>
      <c r="WDY807" s="3787"/>
      <c r="WDZ807" s="3787"/>
      <c r="WEA807" s="3787"/>
      <c r="WEB807" s="3787"/>
      <c r="WEC807" s="3787"/>
      <c r="WED807" s="3787"/>
      <c r="WEE807" s="3787"/>
      <c r="WEF807" s="3787"/>
      <c r="WEG807" s="3787"/>
      <c r="WEH807" s="3787"/>
      <c r="WEI807" s="3787"/>
      <c r="WEJ807" s="3787"/>
      <c r="WEK807" s="3787"/>
      <c r="WEL807" s="3787"/>
      <c r="WEM807" s="3787"/>
      <c r="WEN807" s="3787"/>
      <c r="WEO807" s="3787"/>
      <c r="WEP807" s="3787"/>
      <c r="WEQ807" s="3787"/>
      <c r="WER807" s="3787"/>
      <c r="WES807" s="3787"/>
      <c r="WET807" s="3787"/>
      <c r="WEU807" s="3787"/>
      <c r="WEV807" s="3787"/>
      <c r="WEW807" s="3787"/>
      <c r="WEX807" s="3787"/>
      <c r="WEY807" s="3787"/>
      <c r="WEZ807" s="3787"/>
      <c r="WFA807" s="3787"/>
      <c r="WFB807" s="3787"/>
      <c r="WFC807" s="3787"/>
      <c r="WFD807" s="3787"/>
      <c r="WFE807" s="3787"/>
      <c r="WFF807" s="3787"/>
      <c r="WFG807" s="3787"/>
      <c r="WFH807" s="3787"/>
      <c r="WFI807" s="3787"/>
      <c r="WFJ807" s="3787"/>
      <c r="WFK807" s="3787"/>
      <c r="WFL807" s="3787"/>
      <c r="WFM807" s="3787"/>
      <c r="WFN807" s="3787"/>
      <c r="WFO807" s="3787"/>
      <c r="WFP807" s="3787"/>
      <c r="WFQ807" s="3787"/>
      <c r="WFR807" s="3787"/>
      <c r="WFS807" s="3787"/>
      <c r="WFT807" s="3787"/>
      <c r="WFU807" s="3787"/>
      <c r="WFV807" s="3787"/>
      <c r="WFW807" s="3787"/>
      <c r="WFX807" s="3787"/>
      <c r="WFY807" s="3787"/>
      <c r="WFZ807" s="3787"/>
      <c r="WGA807" s="3787"/>
      <c r="WGB807" s="3787"/>
      <c r="WGC807" s="3787"/>
      <c r="WGD807" s="3787"/>
      <c r="WGE807" s="3787"/>
      <c r="WGF807" s="3787"/>
      <c r="WGG807" s="3787"/>
      <c r="WGH807" s="3787"/>
      <c r="WGI807" s="3787"/>
      <c r="WGJ807" s="3787"/>
      <c r="WGK807" s="3787"/>
      <c r="WGL807" s="3787"/>
      <c r="WGM807" s="3787"/>
      <c r="WGN807" s="3787"/>
      <c r="WGO807" s="3787"/>
      <c r="WGP807" s="3787"/>
      <c r="WGQ807" s="3787"/>
      <c r="WGR807" s="3787"/>
      <c r="WGS807" s="3787"/>
      <c r="WGT807" s="3787"/>
      <c r="WGU807" s="3787"/>
      <c r="WGV807" s="3787"/>
      <c r="WGW807" s="3787"/>
      <c r="WGX807" s="3787"/>
      <c r="WGY807" s="3787"/>
      <c r="WGZ807" s="3787"/>
      <c r="WHA807" s="3787"/>
      <c r="WHB807" s="3787"/>
      <c r="WHC807" s="3787"/>
      <c r="WHD807" s="3787"/>
      <c r="WHE807" s="3787"/>
      <c r="WHF807" s="3787"/>
      <c r="WHG807" s="3787"/>
      <c r="WHH807" s="3787"/>
      <c r="WHI807" s="3787"/>
      <c r="WHJ807" s="3787"/>
      <c r="WHK807" s="3787"/>
      <c r="WHL807" s="3787"/>
      <c r="WHM807" s="3787"/>
      <c r="WHN807" s="3787"/>
      <c r="WHO807" s="3787"/>
      <c r="WHP807" s="3787"/>
      <c r="WHQ807" s="3787"/>
      <c r="WHR807" s="3787"/>
      <c r="WHS807" s="3787"/>
      <c r="WHT807" s="3787"/>
      <c r="WHU807" s="3787"/>
      <c r="WHV807" s="3787"/>
      <c r="WHW807" s="3787"/>
      <c r="WHX807" s="3787"/>
      <c r="WHY807" s="3787"/>
      <c r="WHZ807" s="3787"/>
      <c r="WIA807" s="3787"/>
      <c r="WIB807" s="3787"/>
      <c r="WIC807" s="3787"/>
      <c r="WID807" s="3787"/>
      <c r="WIE807" s="3787"/>
      <c r="WIF807" s="3787"/>
      <c r="WIG807" s="3787"/>
      <c r="WIH807" s="3787"/>
      <c r="WII807" s="3787"/>
      <c r="WIJ807" s="3787"/>
      <c r="WIK807" s="3787"/>
      <c r="WIL807" s="3787"/>
      <c r="WIM807" s="3787"/>
      <c r="WIN807" s="3787"/>
      <c r="WIO807" s="3787"/>
      <c r="WIP807" s="3787"/>
      <c r="WIQ807" s="3787"/>
      <c r="WIR807" s="3787"/>
      <c r="WIS807" s="3787"/>
      <c r="WIT807" s="3787"/>
      <c r="WIU807" s="3787"/>
      <c r="WIV807" s="3787"/>
      <c r="WIW807" s="3787"/>
      <c r="WIX807" s="3787"/>
      <c r="WIY807" s="3787"/>
      <c r="WIZ807" s="3787"/>
      <c r="WJA807" s="3787"/>
      <c r="WJB807" s="3787"/>
      <c r="WJC807" s="3787"/>
      <c r="WJD807" s="3787"/>
      <c r="WJE807" s="3787"/>
      <c r="WJF807" s="3787"/>
      <c r="WJG807" s="3787"/>
      <c r="WJH807" s="3787"/>
      <c r="WJI807" s="3787"/>
      <c r="WJJ807" s="3787"/>
      <c r="WJK807" s="3787"/>
      <c r="WJL807" s="3787"/>
      <c r="WJM807" s="3787"/>
      <c r="WJN807" s="3787"/>
      <c r="WJO807" s="3787"/>
      <c r="WJP807" s="3787"/>
      <c r="WJQ807" s="3787"/>
      <c r="WJR807" s="3787"/>
      <c r="WJS807" s="3787"/>
      <c r="WJT807" s="3787"/>
      <c r="WJU807" s="3787"/>
      <c r="WJV807" s="3787"/>
      <c r="WJW807" s="3787"/>
      <c r="WJX807" s="3787"/>
      <c r="WJY807" s="3787"/>
      <c r="WJZ807" s="3787"/>
      <c r="WKA807" s="3787"/>
      <c r="WKB807" s="3787"/>
      <c r="WKC807" s="3787"/>
      <c r="WKD807" s="3787"/>
      <c r="WKE807" s="3787"/>
      <c r="WKF807" s="3787"/>
      <c r="WKG807" s="3787"/>
      <c r="WKH807" s="3787"/>
      <c r="WKI807" s="3787"/>
      <c r="WKJ807" s="3787"/>
      <c r="WKK807" s="3787"/>
      <c r="WKL807" s="3787"/>
      <c r="WKM807" s="3787"/>
      <c r="WKN807" s="3787"/>
      <c r="WKO807" s="3787"/>
      <c r="WKP807" s="3787"/>
      <c r="WKQ807" s="3787"/>
      <c r="WKR807" s="3787"/>
      <c r="WKS807" s="3787"/>
      <c r="WKT807" s="3787"/>
      <c r="WKU807" s="3787"/>
      <c r="WKV807" s="3787"/>
      <c r="WKW807" s="3787"/>
      <c r="WKX807" s="3787"/>
      <c r="WKY807" s="3787"/>
      <c r="WKZ807" s="3787"/>
      <c r="WLA807" s="3787"/>
      <c r="WLB807" s="3787"/>
      <c r="WLC807" s="3787"/>
      <c r="WLD807" s="3787"/>
      <c r="WLE807" s="3787"/>
      <c r="WLF807" s="3787"/>
      <c r="WLG807" s="3787"/>
      <c r="WLH807" s="3787"/>
      <c r="WLI807" s="3787"/>
      <c r="WLJ807" s="3787"/>
      <c r="WLK807" s="3787"/>
      <c r="WLL807" s="3787"/>
      <c r="WLM807" s="3787"/>
      <c r="WLR807" s="3787"/>
      <c r="WLX807" s="3787"/>
      <c r="WLY807" s="3787"/>
      <c r="WLZ807" s="3787"/>
      <c r="WMD807" s="3787"/>
      <c r="WMK807" s="3787"/>
      <c r="WML807" s="3787"/>
      <c r="WMM807" s="3787"/>
      <c r="WMN807" s="3787"/>
      <c r="WMO807" s="3787"/>
      <c r="WMP807" s="3787"/>
      <c r="WMQ807" s="3787"/>
      <c r="WMR807" s="3787"/>
      <c r="WMS807" s="3787"/>
      <c r="WMT807" s="3787"/>
      <c r="WMU807" s="3787"/>
      <c r="WMV807" s="3787"/>
      <c r="WMW807" s="3787"/>
      <c r="WMX807" s="3787"/>
      <c r="WMY807" s="3787"/>
      <c r="WMZ807" s="3787"/>
      <c r="WNA807" s="3787"/>
      <c r="WNB807" s="3787"/>
      <c r="WNC807" s="3787"/>
      <c r="WND807" s="3787"/>
      <c r="WNE807" s="3787"/>
      <c r="WNF807" s="3787"/>
      <c r="WNG807" s="3787"/>
      <c r="WNH807" s="3787"/>
      <c r="WNI807" s="3787"/>
      <c r="WNJ807" s="3787"/>
      <c r="WNK807" s="3787"/>
      <c r="WNL807" s="3787"/>
      <c r="WNM807" s="3787"/>
      <c r="WNN807" s="3787"/>
      <c r="WNO807" s="3787"/>
      <c r="WNP807" s="3787"/>
      <c r="WNQ807" s="3787"/>
      <c r="WNR807" s="3787"/>
      <c r="WNS807" s="3787"/>
      <c r="WNT807" s="3787"/>
      <c r="WNU807" s="3787"/>
      <c r="WNV807" s="3787"/>
      <c r="WNW807" s="3787"/>
      <c r="WNX807" s="3787"/>
      <c r="WNY807" s="3787"/>
      <c r="WNZ807" s="3787"/>
      <c r="WOA807" s="3787"/>
      <c r="WOB807" s="3787"/>
      <c r="WOC807" s="3787"/>
      <c r="WOD807" s="3787"/>
      <c r="WOE807" s="3787"/>
      <c r="WOF807" s="3787"/>
      <c r="WOG807" s="3787"/>
      <c r="WOH807" s="3787"/>
      <c r="WOI807" s="3787"/>
      <c r="WOJ807" s="3787"/>
      <c r="WOK807" s="3787"/>
      <c r="WOL807" s="3787"/>
      <c r="WOM807" s="3787"/>
      <c r="WON807" s="3787"/>
      <c r="WOO807" s="3787"/>
      <c r="WOP807" s="3787"/>
      <c r="WOQ807" s="3787"/>
      <c r="WOR807" s="3787"/>
      <c r="WOS807" s="3787"/>
      <c r="WOT807" s="3787"/>
      <c r="WOU807" s="3787"/>
      <c r="WOV807" s="3787"/>
      <c r="WOW807" s="3787"/>
      <c r="WOX807" s="3787"/>
      <c r="WOY807" s="3787"/>
      <c r="WOZ807" s="3787"/>
      <c r="WPA807" s="3787"/>
      <c r="WPB807" s="3787"/>
      <c r="WPC807" s="3787"/>
      <c r="WPD807" s="3787"/>
      <c r="WPE807" s="3787"/>
      <c r="WPF807" s="3787"/>
      <c r="WPG807" s="3787"/>
      <c r="WPH807" s="3787"/>
      <c r="WPI807" s="3787"/>
      <c r="WPJ807" s="3787"/>
      <c r="WPK807" s="3787"/>
      <c r="WPL807" s="3787"/>
      <c r="WPM807" s="3787"/>
      <c r="WPN807" s="3787"/>
      <c r="WPO807" s="3787"/>
      <c r="WPP807" s="3787"/>
      <c r="WPQ807" s="3787"/>
      <c r="WPR807" s="3787"/>
      <c r="WPS807" s="3787"/>
      <c r="WPT807" s="3787"/>
      <c r="WPU807" s="3787"/>
      <c r="WPV807" s="3787"/>
      <c r="WPW807" s="3787"/>
      <c r="WPX807" s="3787"/>
      <c r="WPY807" s="3787"/>
      <c r="WPZ807" s="3787"/>
      <c r="WQA807" s="3787"/>
      <c r="WQB807" s="3787"/>
      <c r="WQC807" s="3787"/>
      <c r="WQD807" s="3787"/>
      <c r="WQE807" s="3787"/>
      <c r="WQF807" s="3787"/>
      <c r="WQG807" s="3787"/>
      <c r="WQH807" s="3787"/>
      <c r="WQI807" s="3787"/>
      <c r="WQJ807" s="3787"/>
      <c r="WQK807" s="3787"/>
      <c r="WQL807" s="3787"/>
      <c r="WQM807" s="3787"/>
      <c r="WQN807" s="3787"/>
      <c r="WQO807" s="3787"/>
      <c r="WQP807" s="3787"/>
      <c r="WQQ807" s="3787"/>
      <c r="WQR807" s="3787"/>
      <c r="WQS807" s="3787"/>
      <c r="WQT807" s="3787"/>
      <c r="WQU807" s="3787"/>
      <c r="WQV807" s="3787"/>
      <c r="WQW807" s="3787"/>
      <c r="WQX807" s="3787"/>
      <c r="WQY807" s="3787"/>
      <c r="WQZ807" s="3787"/>
      <c r="WRA807" s="3787"/>
      <c r="WRB807" s="3787"/>
      <c r="WRC807" s="3787"/>
      <c r="WRD807" s="3787"/>
      <c r="WRE807" s="3787"/>
      <c r="WRF807" s="3787"/>
      <c r="WRG807" s="3787"/>
      <c r="WRH807" s="3787"/>
      <c r="WRI807" s="3787"/>
      <c r="WRJ807" s="3787"/>
      <c r="WRK807" s="3787"/>
      <c r="WRL807" s="3787"/>
      <c r="WRM807" s="3787"/>
      <c r="WRN807" s="3787"/>
      <c r="WRO807" s="3787"/>
      <c r="WRP807" s="3787"/>
      <c r="WRQ807" s="3787"/>
      <c r="WRR807" s="3787"/>
      <c r="WRS807" s="3787"/>
      <c r="WRT807" s="3787"/>
      <c r="WRU807" s="3787"/>
      <c r="WRV807" s="3787"/>
      <c r="WRW807" s="3787"/>
      <c r="WRX807" s="3787"/>
      <c r="WRY807" s="3787"/>
      <c r="WRZ807" s="3787"/>
      <c r="WSA807" s="3787"/>
      <c r="WSB807" s="3787"/>
      <c r="WSC807" s="3787"/>
      <c r="WSD807" s="3787"/>
      <c r="WSE807" s="3787"/>
      <c r="WSF807" s="3787"/>
      <c r="WSG807" s="3787"/>
      <c r="WSH807" s="3787"/>
      <c r="WSI807" s="3787"/>
      <c r="WSJ807" s="3787"/>
      <c r="WSK807" s="3787"/>
      <c r="WSL807" s="3787"/>
      <c r="WSM807" s="3787"/>
      <c r="WSN807" s="3787"/>
      <c r="WSO807" s="3787"/>
      <c r="WSP807" s="3787"/>
      <c r="WSQ807" s="3787"/>
      <c r="WSR807" s="3787"/>
      <c r="WSS807" s="3787"/>
      <c r="WST807" s="3787"/>
      <c r="WSU807" s="3787"/>
      <c r="WSV807" s="3787"/>
      <c r="WSW807" s="3787"/>
      <c r="WSX807" s="3787"/>
      <c r="WSY807" s="3787"/>
      <c r="WSZ807" s="3787"/>
      <c r="WTA807" s="3787"/>
      <c r="WTB807" s="3787"/>
      <c r="WTC807" s="3787"/>
      <c r="WTD807" s="3787"/>
      <c r="WTE807" s="3787"/>
      <c r="WTF807" s="3787"/>
      <c r="WTG807" s="3787"/>
      <c r="WTH807" s="3787"/>
      <c r="WTI807" s="3787"/>
      <c r="WTJ807" s="3787"/>
      <c r="WTK807" s="3787"/>
      <c r="WTL807" s="3787"/>
      <c r="WTM807" s="3787"/>
      <c r="WTN807" s="3787"/>
      <c r="WTO807" s="3787"/>
      <c r="WTP807" s="3787"/>
      <c r="WTQ807" s="3787"/>
      <c r="WTR807" s="3787"/>
      <c r="WTS807" s="3787"/>
      <c r="WTT807" s="3787"/>
      <c r="WTU807" s="3787"/>
      <c r="WTV807" s="3787"/>
      <c r="WTW807" s="3787"/>
      <c r="WTX807" s="3787"/>
      <c r="WTY807" s="3787"/>
      <c r="WTZ807" s="3787"/>
      <c r="WUA807" s="3787"/>
      <c r="WUB807" s="3787"/>
      <c r="WUC807" s="3787"/>
      <c r="WUD807" s="3787"/>
      <c r="WUE807" s="3787"/>
      <c r="WUF807" s="3787"/>
      <c r="WUG807" s="3787"/>
      <c r="WUH807" s="3787"/>
      <c r="WUI807" s="3787"/>
      <c r="WUJ807" s="3787"/>
      <c r="WUK807" s="3787"/>
      <c r="WUL807" s="3787"/>
      <c r="WUM807" s="3787"/>
      <c r="WUN807" s="3787"/>
      <c r="WUO807" s="3787"/>
      <c r="WUP807" s="3787"/>
      <c r="WUQ807" s="3787"/>
      <c r="WUR807" s="3787"/>
      <c r="WUS807" s="3787"/>
      <c r="WUT807" s="3787"/>
      <c r="WUU807" s="3787"/>
      <c r="WUV807" s="3787"/>
      <c r="WUW807" s="3787"/>
      <c r="WUX807" s="3787"/>
      <c r="WUY807" s="3787"/>
      <c r="WUZ807" s="3787"/>
      <c r="WVA807" s="3787"/>
      <c r="WVB807" s="3787"/>
      <c r="WVC807" s="3787"/>
      <c r="WVD807" s="3787"/>
      <c r="WVE807" s="3787"/>
      <c r="WVF807" s="3787"/>
      <c r="WVG807" s="3787"/>
      <c r="WVH807" s="3787"/>
      <c r="WVI807" s="3787"/>
      <c r="WVN807" s="3787"/>
      <c r="WVT807" s="3787"/>
      <c r="WVU807" s="3787"/>
      <c r="WVV807" s="3787"/>
      <c r="WVZ807" s="3787"/>
      <c r="WWG807" s="3787"/>
      <c r="WWH807" s="3787"/>
      <c r="WWI807" s="3787"/>
      <c r="WWJ807" s="3787"/>
      <c r="WWK807" s="3787"/>
      <c r="WWL807" s="3787"/>
      <c r="WWM807" s="3787"/>
      <c r="WWN807" s="3787"/>
      <c r="WWO807" s="3787"/>
      <c r="WWP807" s="3787"/>
      <c r="WWQ807" s="3787"/>
      <c r="WWR807" s="3787"/>
      <c r="WWS807" s="3787"/>
      <c r="WWT807" s="3787"/>
      <c r="WWU807" s="3787"/>
      <c r="WWV807" s="3787"/>
      <c r="WWW807" s="3787"/>
      <c r="WWX807" s="3787"/>
      <c r="WWY807" s="3787"/>
      <c r="WWZ807" s="3787"/>
      <c r="WXA807" s="3787"/>
      <c r="WXB807" s="3787"/>
      <c r="WXC807" s="3787"/>
      <c r="WXD807" s="3787"/>
      <c r="WXE807" s="3787"/>
      <c r="WXF807" s="3787"/>
      <c r="WXG807" s="3787"/>
      <c r="WXH807" s="3787"/>
      <c r="WXI807" s="3787"/>
      <c r="WXJ807" s="3787"/>
      <c r="WXK807" s="3787"/>
      <c r="WXL807" s="3787"/>
      <c r="WXM807" s="3787"/>
      <c r="WXN807" s="3787"/>
      <c r="WXO807" s="3787"/>
      <c r="WXP807" s="3787"/>
      <c r="WXQ807" s="3787"/>
      <c r="WXR807" s="3787"/>
      <c r="WXS807" s="3787"/>
      <c r="WXT807" s="3787"/>
      <c r="WXU807" s="3787"/>
      <c r="WXV807" s="3787"/>
      <c r="WXW807" s="3787"/>
      <c r="WXX807" s="3787"/>
      <c r="WXY807" s="3787"/>
      <c r="WXZ807" s="3787"/>
      <c r="WYA807" s="3787"/>
      <c r="WYB807" s="3787"/>
      <c r="WYC807" s="3787"/>
      <c r="WYD807" s="3787"/>
      <c r="WYE807" s="3787"/>
      <c r="WYF807" s="3787"/>
      <c r="WYG807" s="3787"/>
      <c r="WYH807" s="3787"/>
      <c r="WYI807" s="3787"/>
      <c r="WYJ807" s="3787"/>
      <c r="WYK807" s="3787"/>
      <c r="WYL807" s="3787"/>
      <c r="WYM807" s="3787"/>
      <c r="WYN807" s="3787"/>
      <c r="WYO807" s="3787"/>
      <c r="WYP807" s="3787"/>
      <c r="WYQ807" s="3787"/>
      <c r="WYR807" s="3787"/>
      <c r="WYS807" s="3787"/>
      <c r="WYT807" s="3787"/>
      <c r="WYU807" s="3787"/>
      <c r="WYV807" s="3787"/>
      <c r="WYW807" s="3787"/>
      <c r="WYX807" s="3787"/>
      <c r="WYY807" s="3787"/>
      <c r="WYZ807" s="3787"/>
      <c r="WZA807" s="3787"/>
      <c r="WZB807" s="3787"/>
      <c r="WZC807" s="3787"/>
      <c r="WZD807" s="3787"/>
      <c r="WZE807" s="3787"/>
      <c r="WZF807" s="3787"/>
      <c r="WZG807" s="3787"/>
      <c r="WZH807" s="3787"/>
      <c r="WZI807" s="3787"/>
      <c r="WZJ807" s="3787"/>
      <c r="WZK807" s="3787"/>
      <c r="WZL807" s="3787"/>
      <c r="WZM807" s="3787"/>
      <c r="WZN807" s="3787"/>
      <c r="WZO807" s="3787"/>
      <c r="WZP807" s="3787"/>
      <c r="WZQ807" s="3787"/>
      <c r="WZR807" s="3787"/>
      <c r="WZS807" s="3787"/>
      <c r="WZT807" s="3787"/>
      <c r="WZU807" s="3787"/>
      <c r="WZV807" s="3787"/>
      <c r="WZW807" s="3787"/>
      <c r="WZX807" s="3787"/>
      <c r="WZY807" s="3787"/>
      <c r="WZZ807" s="3787"/>
      <c r="XAA807" s="3787"/>
      <c r="XAB807" s="3787"/>
      <c r="XAC807" s="3787"/>
      <c r="XAD807" s="3787"/>
      <c r="XAE807" s="3787"/>
      <c r="XAF807" s="3787"/>
      <c r="XAG807" s="3787"/>
      <c r="XAH807" s="3787"/>
      <c r="XAI807" s="3787"/>
      <c r="XAJ807" s="3787"/>
      <c r="XAK807" s="3787"/>
      <c r="XAL807" s="3787"/>
      <c r="XAM807" s="3787"/>
      <c r="XAN807" s="3787"/>
      <c r="XAO807" s="3787"/>
      <c r="XAP807" s="3787"/>
      <c r="XAQ807" s="3787"/>
      <c r="XAR807" s="3787"/>
      <c r="XAS807" s="3787"/>
      <c r="XAT807" s="3787"/>
      <c r="XAU807" s="3787"/>
      <c r="XAV807" s="3787"/>
      <c r="XAW807" s="3787"/>
      <c r="XAX807" s="3787"/>
      <c r="XAY807" s="3787"/>
      <c r="XAZ807" s="3787"/>
      <c r="XBA807" s="3787"/>
      <c r="XBB807" s="3787"/>
      <c r="XBC807" s="3787"/>
      <c r="XBD807" s="3787"/>
      <c r="XBE807" s="3787"/>
      <c r="XBF807" s="3787"/>
      <c r="XBG807" s="3787"/>
      <c r="XBH807" s="3787"/>
      <c r="XBI807" s="3787"/>
      <c r="XBJ807" s="3787"/>
      <c r="XBK807" s="3787"/>
      <c r="XBL807" s="3787"/>
      <c r="XBM807" s="3787"/>
      <c r="XBN807" s="3787"/>
      <c r="XBO807" s="3787"/>
      <c r="XBP807" s="3787"/>
      <c r="XBQ807" s="3787"/>
      <c r="XBR807" s="3787"/>
      <c r="XBS807" s="3787"/>
      <c r="XBT807" s="3787"/>
      <c r="XBU807" s="3787"/>
      <c r="XBV807" s="3787"/>
      <c r="XBW807" s="3787"/>
      <c r="XBX807" s="3787"/>
      <c r="XBY807" s="3787"/>
      <c r="XBZ807" s="3787"/>
      <c r="XCA807" s="3787"/>
      <c r="XCB807" s="3787"/>
      <c r="XCC807" s="3787"/>
      <c r="XCD807" s="3787"/>
      <c r="XCE807" s="3787"/>
      <c r="XCF807" s="3787"/>
      <c r="XCG807" s="3787"/>
      <c r="XCH807" s="3787"/>
      <c r="XCI807" s="3787"/>
      <c r="XCJ807" s="3787"/>
      <c r="XCK807" s="3787"/>
      <c r="XCL807" s="3787"/>
      <c r="XCM807" s="3787"/>
      <c r="XCN807" s="3787"/>
      <c r="XCO807" s="3787"/>
      <c r="XCP807" s="3787"/>
      <c r="XCQ807" s="3787"/>
      <c r="XCR807" s="3787"/>
      <c r="XCS807" s="3787"/>
      <c r="XCT807" s="3787"/>
      <c r="XCU807" s="3787"/>
      <c r="XCV807" s="3787"/>
      <c r="XCW807" s="3787"/>
      <c r="XCX807" s="3787"/>
      <c r="XCY807" s="3787"/>
      <c r="XCZ807" s="3787"/>
      <c r="XDA807" s="3787"/>
      <c r="XDB807" s="3787"/>
      <c r="XDC807" s="3787"/>
      <c r="XDD807" s="3787"/>
      <c r="XDE807" s="3787"/>
      <c r="XDF807" s="3787"/>
      <c r="XDG807" s="3787"/>
      <c r="XDH807" s="3787"/>
      <c r="XDI807" s="3787"/>
      <c r="XDJ807" s="3787"/>
      <c r="XDK807" s="3787"/>
      <c r="XDL807" s="3787"/>
      <c r="XDM807" s="3787"/>
      <c r="XDN807" s="3787"/>
      <c r="XDO807" s="3787"/>
      <c r="XDP807" s="3787"/>
      <c r="XDQ807" s="3787"/>
      <c r="XDR807" s="3787"/>
      <c r="XDS807" s="3787"/>
      <c r="XDT807" s="3787"/>
      <c r="XDU807" s="3787"/>
      <c r="XDV807" s="3787"/>
      <c r="XDW807" s="3787"/>
      <c r="XDX807" s="3787"/>
      <c r="XDY807" s="3787"/>
      <c r="XDZ807" s="3787"/>
      <c r="XEA807" s="3787"/>
      <c r="XEB807" s="3787"/>
      <c r="XEC807" s="3787"/>
      <c r="XED807" s="3787"/>
      <c r="XEE807" s="3787"/>
      <c r="XEF807" s="3787"/>
      <c r="XEG807" s="3787"/>
      <c r="XEH807" s="3787"/>
      <c r="XEI807" s="3787"/>
      <c r="XEJ807" s="3787"/>
      <c r="XEK807" s="3787"/>
      <c r="XEL807" s="3787"/>
      <c r="XEM807" s="3787"/>
      <c r="XEN807" s="3787"/>
      <c r="XEO807" s="3787"/>
      <c r="XEP807" s="3787"/>
      <c r="XEQ807" s="3787"/>
      <c r="XER807" s="3787"/>
      <c r="XES807" s="3787"/>
      <c r="XET807" s="3787"/>
      <c r="XEU807" s="3787"/>
      <c r="XEV807" s="3787"/>
      <c r="XEW807" s="3787"/>
      <c r="XEX807" s="3787"/>
      <c r="XEY807" s="3787"/>
      <c r="XEZ807" s="3787"/>
      <c r="XFA807" s="3787"/>
      <c r="XFB807" s="3787"/>
      <c r="XFC807" s="3787"/>
      <c r="XFD807" s="3787"/>
    </row>
    <row r="808" spans="1:16384" hidden="1">
      <c r="A808" s="3267" t="s">
        <v>8655</v>
      </c>
      <c r="B808" s="3267" t="s">
        <v>8656</v>
      </c>
      <c r="C808" s="3269" t="s">
        <v>8657</v>
      </c>
      <c r="D808" s="3269" t="s">
        <v>8658</v>
      </c>
      <c r="E808" s="3267" t="s">
        <v>2985</v>
      </c>
      <c r="F808" s="3269" t="s">
        <v>8659</v>
      </c>
      <c r="G808" s="3267"/>
      <c r="H808" s="3267" t="s">
        <v>3351</v>
      </c>
      <c r="I808" s="3268" t="s">
        <v>3254</v>
      </c>
      <c r="J808" s="3268" t="s">
        <v>3528</v>
      </c>
      <c r="K808" s="3267" t="s">
        <v>8656</v>
      </c>
      <c r="L808" s="3267">
        <v>66.2</v>
      </c>
      <c r="M808" s="3267">
        <v>6</v>
      </c>
      <c r="N808" s="3267" t="s">
        <v>3152</v>
      </c>
      <c r="O808" s="3267"/>
      <c r="P808" s="3267" t="s">
        <v>2963</v>
      </c>
      <c r="Q808" s="3271">
        <v>380000</v>
      </c>
      <c r="R808" s="3267">
        <v>5740</v>
      </c>
      <c r="S808" s="3272">
        <v>37.76</v>
      </c>
      <c r="T808" s="3273">
        <v>377600</v>
      </c>
      <c r="U808" s="3267">
        <v>5704</v>
      </c>
      <c r="V808" s="3289">
        <v>0.2</v>
      </c>
      <c r="W808" s="3272">
        <v>30.2</v>
      </c>
      <c r="X808" s="3275">
        <v>302000</v>
      </c>
      <c r="Y808" s="3276">
        <v>2006</v>
      </c>
      <c r="Z808" s="3276">
        <v>10</v>
      </c>
      <c r="AA808" s="3276">
        <v>20</v>
      </c>
      <c r="AB808" s="3267">
        <v>1130</v>
      </c>
      <c r="AC808" s="3267" t="s">
        <v>2980</v>
      </c>
      <c r="AD808" s="3366">
        <v>91302006091793</v>
      </c>
      <c r="AE808" s="3279" t="s">
        <v>2991</v>
      </c>
      <c r="AF808" s="3268"/>
      <c r="AG808" s="3279" t="s">
        <v>2967</v>
      </c>
      <c r="AH808" s="3267"/>
      <c r="AI808" s="3279" t="s">
        <v>2992</v>
      </c>
      <c r="AJ808" s="3284"/>
      <c r="AK808" s="3278" t="s">
        <v>3148</v>
      </c>
      <c r="AL808" s="3276">
        <v>46</v>
      </c>
      <c r="AM808" s="3267" t="s">
        <v>8660</v>
      </c>
      <c r="AN808" s="3279" t="s">
        <v>3114</v>
      </c>
      <c r="AO808" s="3267"/>
      <c r="AP808" s="3279" t="s">
        <v>2991</v>
      </c>
      <c r="AQ808" s="3267" t="s">
        <v>3228</v>
      </c>
      <c r="AR808" s="3276">
        <v>2006</v>
      </c>
      <c r="AS808" s="3276">
        <v>10</v>
      </c>
      <c r="AT808" s="3276">
        <v>20</v>
      </c>
      <c r="AU808" s="3276"/>
      <c r="AV808" s="3276"/>
      <c r="AW808" s="3276" t="s">
        <v>2997</v>
      </c>
      <c r="AX808" s="3276"/>
      <c r="AY808" s="3291"/>
      <c r="AZ808" s="3267" t="s">
        <v>8661</v>
      </c>
      <c r="BA808" s="3296"/>
      <c r="BB808" s="3297"/>
      <c r="BC808" s="3296"/>
      <c r="BD808" s="3298"/>
      <c r="BE808" s="3276"/>
      <c r="BF808" s="3281"/>
      <c r="BG808" s="3293">
        <v>38985</v>
      </c>
      <c r="BH808" s="3267"/>
      <c r="BI808" s="3267" t="s">
        <v>2991</v>
      </c>
      <c r="BJ808" s="3299">
        <v>38987</v>
      </c>
      <c r="BK808" s="3283"/>
      <c r="BL808" s="3267" t="s">
        <v>2998</v>
      </c>
      <c r="BM808" s="3276" t="s">
        <v>2879</v>
      </c>
      <c r="BN808" s="3276" t="s">
        <v>2999</v>
      </c>
      <c r="BO808" s="3276" t="s">
        <v>3146</v>
      </c>
      <c r="BP808" s="3276"/>
      <c r="BQ808" s="3276" t="e">
        <v>#DIV/0!</v>
      </c>
      <c r="BR808" s="3276" t="e">
        <v>#DIV/0!</v>
      </c>
      <c r="BS808" s="3285"/>
      <c r="BT808" s="3285"/>
      <c r="BU808" s="3285"/>
      <c r="BY808" s="3262" t="s">
        <v>3262</v>
      </c>
      <c r="BZ808" s="3262" t="s">
        <v>3262</v>
      </c>
      <c r="CA808" s="3262" t="s">
        <v>3262</v>
      </c>
      <c r="CB808" s="3262" t="s">
        <v>3262</v>
      </c>
      <c r="CC808" s="3262" t="s">
        <v>3262</v>
      </c>
      <c r="CD808" s="3262" t="s">
        <v>3262</v>
      </c>
      <c r="CE808" s="3262" t="s">
        <v>3262</v>
      </c>
      <c r="CF808" s="3262" t="s">
        <v>3262</v>
      </c>
      <c r="CG808" s="3262" t="s">
        <v>3262</v>
      </c>
      <c r="CH808" s="3262" t="s">
        <v>3262</v>
      </c>
      <c r="CI808" s="3262" t="s">
        <v>3262</v>
      </c>
      <c r="CJ808" s="3262" t="s">
        <v>3262</v>
      </c>
      <c r="CK808" s="3262" t="s">
        <v>3262</v>
      </c>
      <c r="CL808" s="3262" t="s">
        <v>3262</v>
      </c>
      <c r="CM808" s="3262" t="s">
        <v>3262</v>
      </c>
      <c r="CN808" s="3262" t="s">
        <v>3262</v>
      </c>
      <c r="CO808" s="3262" t="s">
        <v>3262</v>
      </c>
      <c r="CP808" s="3262" t="s">
        <v>3262</v>
      </c>
      <c r="CQ808" s="3262" t="s">
        <v>3262</v>
      </c>
      <c r="CR808" s="3262" t="s">
        <v>3262</v>
      </c>
      <c r="CS808" s="3262" t="s">
        <v>3262</v>
      </c>
      <c r="CT808" s="3262" t="s">
        <v>3262</v>
      </c>
      <c r="CU808" s="3262" t="s">
        <v>3262</v>
      </c>
      <c r="CV808" s="3262" t="s">
        <v>3262</v>
      </c>
      <c r="CW808" s="3262" t="s">
        <v>3262</v>
      </c>
      <c r="CX808" s="3262" t="s">
        <v>3262</v>
      </c>
      <c r="CY808" s="3262" t="s">
        <v>3262</v>
      </c>
      <c r="CZ808" s="3262" t="s">
        <v>3262</v>
      </c>
      <c r="DA808" s="3262" t="s">
        <v>3262</v>
      </c>
      <c r="DB808" s="3262" t="s">
        <v>3262</v>
      </c>
      <c r="DC808" s="3262" t="s">
        <v>3262</v>
      </c>
      <c r="DD808" s="3262" t="s">
        <v>3262</v>
      </c>
      <c r="DE808" s="3262" t="s">
        <v>3262</v>
      </c>
      <c r="DF808" s="3262" t="s">
        <v>3262</v>
      </c>
      <c r="DG808" s="3262" t="s">
        <v>3262</v>
      </c>
      <c r="DH808" s="3262" t="s">
        <v>3262</v>
      </c>
      <c r="DI808" s="3262" t="s">
        <v>3262</v>
      </c>
      <c r="DJ808" s="3262" t="s">
        <v>3262</v>
      </c>
      <c r="DK808" s="3262" t="s">
        <v>3262</v>
      </c>
      <c r="DL808" s="3262" t="s">
        <v>3262</v>
      </c>
      <c r="DM808" s="3262" t="s">
        <v>3262</v>
      </c>
      <c r="DN808" s="3262" t="s">
        <v>3262</v>
      </c>
      <c r="DO808" s="3262" t="s">
        <v>3262</v>
      </c>
      <c r="DP808" s="3262" t="s">
        <v>3262</v>
      </c>
      <c r="DQ808" s="3262" t="s">
        <v>3262</v>
      </c>
      <c r="DR808" s="3262" t="s">
        <v>3262</v>
      </c>
      <c r="DS808" s="3262" t="s">
        <v>3262</v>
      </c>
      <c r="DT808" s="3262" t="s">
        <v>3262</v>
      </c>
      <c r="DU808" s="3262" t="s">
        <v>3262</v>
      </c>
      <c r="DV808" s="3262" t="s">
        <v>3262</v>
      </c>
      <c r="DW808" s="3262" t="s">
        <v>3262</v>
      </c>
      <c r="DX808" s="3262" t="s">
        <v>3262</v>
      </c>
      <c r="DY808" s="3262" t="s">
        <v>3262</v>
      </c>
      <c r="DZ808" s="3262" t="s">
        <v>3262</v>
      </c>
      <c r="EA808" s="3262" t="s">
        <v>3262</v>
      </c>
      <c r="EB808" s="3262" t="s">
        <v>3262</v>
      </c>
      <c r="EC808" s="3262" t="s">
        <v>3262</v>
      </c>
      <c r="ED808" s="3262" t="s">
        <v>3262</v>
      </c>
      <c r="EE808" s="3262" t="s">
        <v>3262</v>
      </c>
      <c r="EF808" s="3262" t="s">
        <v>3262</v>
      </c>
      <c r="EG808" s="3262" t="s">
        <v>3262</v>
      </c>
      <c r="EH808" s="3262" t="s">
        <v>3262</v>
      </c>
      <c r="EI808" s="3262" t="s">
        <v>3262</v>
      </c>
      <c r="EJ808" s="3262" t="s">
        <v>3262</v>
      </c>
      <c r="EK808" s="3262" t="s">
        <v>3262</v>
      </c>
      <c r="EL808" s="3262" t="s">
        <v>3262</v>
      </c>
      <c r="EM808" s="3262" t="s">
        <v>3262</v>
      </c>
      <c r="EN808" s="3262" t="s">
        <v>3262</v>
      </c>
      <c r="EO808" s="3262" t="s">
        <v>3262</v>
      </c>
      <c r="EP808" s="3262" t="s">
        <v>3262</v>
      </c>
      <c r="EQ808" s="3262" t="s">
        <v>3262</v>
      </c>
      <c r="ER808" s="3262" t="s">
        <v>3262</v>
      </c>
      <c r="ES808" s="3262" t="s">
        <v>3262</v>
      </c>
      <c r="ET808" s="3262" t="s">
        <v>3262</v>
      </c>
      <c r="EU808" s="3262" t="s">
        <v>3262</v>
      </c>
      <c r="EV808" s="3262" t="s">
        <v>3262</v>
      </c>
      <c r="EW808" s="3262" t="s">
        <v>3262</v>
      </c>
      <c r="EX808" s="3262" t="s">
        <v>3262</v>
      </c>
      <c r="EY808" s="3262" t="s">
        <v>3262</v>
      </c>
      <c r="EZ808" s="3262" t="s">
        <v>3262</v>
      </c>
      <c r="FA808" s="3262" t="s">
        <v>3262</v>
      </c>
      <c r="FB808" s="3262" t="s">
        <v>3262</v>
      </c>
      <c r="FC808" s="3262" t="s">
        <v>3262</v>
      </c>
      <c r="FD808" s="3262" t="s">
        <v>3262</v>
      </c>
      <c r="FE808" s="3262" t="s">
        <v>3262</v>
      </c>
      <c r="FF808" s="3262" t="s">
        <v>3262</v>
      </c>
      <c r="FG808" s="3262" t="s">
        <v>3262</v>
      </c>
      <c r="FH808" s="3262" t="s">
        <v>3262</v>
      </c>
      <c r="FI808" s="3262" t="s">
        <v>3262</v>
      </c>
      <c r="FJ808" s="3262" t="s">
        <v>3262</v>
      </c>
      <c r="FK808" s="3262" t="s">
        <v>3262</v>
      </c>
      <c r="FL808" s="3262" t="s">
        <v>3262</v>
      </c>
      <c r="FM808" s="3262" t="s">
        <v>3262</v>
      </c>
      <c r="FN808" s="3262" t="s">
        <v>3262</v>
      </c>
      <c r="FO808" s="3262" t="s">
        <v>3262</v>
      </c>
      <c r="FP808" s="3262" t="s">
        <v>3262</v>
      </c>
      <c r="FQ808" s="3262" t="s">
        <v>3262</v>
      </c>
      <c r="FR808" s="3262" t="s">
        <v>3262</v>
      </c>
      <c r="FS808" s="3262" t="s">
        <v>3262</v>
      </c>
      <c r="FT808" s="3262" t="s">
        <v>3262</v>
      </c>
      <c r="FU808" s="3262" t="s">
        <v>3262</v>
      </c>
      <c r="FV808" s="3262" t="s">
        <v>3262</v>
      </c>
      <c r="FW808" s="3262" t="s">
        <v>3262</v>
      </c>
      <c r="FX808" s="3262" t="s">
        <v>3262</v>
      </c>
      <c r="FY808" s="3262" t="s">
        <v>3262</v>
      </c>
      <c r="FZ808" s="3262" t="s">
        <v>3262</v>
      </c>
      <c r="GA808" s="3262" t="s">
        <v>3262</v>
      </c>
      <c r="GB808" s="3262" t="s">
        <v>3262</v>
      </c>
      <c r="GC808" s="3262" t="s">
        <v>3262</v>
      </c>
      <c r="GD808" s="3262" t="s">
        <v>3262</v>
      </c>
      <c r="GE808" s="3262" t="s">
        <v>3262</v>
      </c>
      <c r="GF808" s="3262" t="s">
        <v>3262</v>
      </c>
      <c r="GG808" s="3262" t="s">
        <v>3262</v>
      </c>
      <c r="GH808" s="3262" t="s">
        <v>3262</v>
      </c>
      <c r="GI808" s="3262" t="s">
        <v>3262</v>
      </c>
      <c r="GJ808" s="3262" t="s">
        <v>3262</v>
      </c>
      <c r="GK808" s="3262" t="s">
        <v>3262</v>
      </c>
      <c r="GL808" s="3262" t="s">
        <v>3262</v>
      </c>
      <c r="GM808" s="3262" t="s">
        <v>3262</v>
      </c>
      <c r="GN808" s="3262" t="s">
        <v>3262</v>
      </c>
      <c r="GO808" s="3262" t="s">
        <v>3262</v>
      </c>
      <c r="GP808" s="3262" t="s">
        <v>3262</v>
      </c>
      <c r="GQ808" s="3262" t="s">
        <v>3262</v>
      </c>
      <c r="GR808" s="3262" t="s">
        <v>3262</v>
      </c>
      <c r="GS808" s="3262" t="s">
        <v>3262</v>
      </c>
      <c r="GT808" s="3262" t="s">
        <v>3262</v>
      </c>
      <c r="GU808" s="3262" t="s">
        <v>3262</v>
      </c>
      <c r="GV808" s="3262" t="s">
        <v>3262</v>
      </c>
      <c r="GW808" s="3262" t="s">
        <v>3262</v>
      </c>
      <c r="GX808" s="3262" t="s">
        <v>3262</v>
      </c>
      <c r="GY808" s="3262" t="s">
        <v>3262</v>
      </c>
      <c r="GZ808" s="3262" t="s">
        <v>3262</v>
      </c>
      <c r="HA808" s="3262" t="s">
        <v>3262</v>
      </c>
      <c r="HB808" s="3262" t="s">
        <v>3262</v>
      </c>
      <c r="HC808" s="3262" t="s">
        <v>3262</v>
      </c>
      <c r="HD808" s="3262" t="s">
        <v>3262</v>
      </c>
      <c r="HE808" s="3262" t="s">
        <v>3262</v>
      </c>
      <c r="HF808" s="3262" t="s">
        <v>3262</v>
      </c>
      <c r="HG808" s="3262" t="s">
        <v>3262</v>
      </c>
      <c r="HH808" s="3262" t="s">
        <v>3262</v>
      </c>
      <c r="HI808" s="3262" t="s">
        <v>3262</v>
      </c>
      <c r="HJ808" s="3262" t="s">
        <v>3262</v>
      </c>
      <c r="HK808" s="3262" t="s">
        <v>3262</v>
      </c>
      <c r="HL808" s="3262" t="s">
        <v>3262</v>
      </c>
      <c r="HM808" s="3262" t="s">
        <v>3262</v>
      </c>
      <c r="HN808" s="3262" t="s">
        <v>3262</v>
      </c>
      <c r="HO808" s="3262" t="s">
        <v>3262</v>
      </c>
      <c r="HP808" s="3262" t="s">
        <v>3262</v>
      </c>
      <c r="HQ808" s="3262" t="s">
        <v>3262</v>
      </c>
      <c r="HR808" s="3262" t="s">
        <v>3262</v>
      </c>
      <c r="HS808" s="3262" t="s">
        <v>3262</v>
      </c>
      <c r="HT808" s="3262" t="s">
        <v>3262</v>
      </c>
      <c r="HU808" s="3262" t="s">
        <v>3262</v>
      </c>
      <c r="HV808" s="3262" t="s">
        <v>3262</v>
      </c>
      <c r="HW808" s="3262" t="s">
        <v>3262</v>
      </c>
      <c r="HX808" s="3262" t="s">
        <v>3262</v>
      </c>
      <c r="HY808" s="3262" t="s">
        <v>3262</v>
      </c>
      <c r="HZ808" s="3262" t="s">
        <v>3262</v>
      </c>
      <c r="IA808" s="3262" t="s">
        <v>3262</v>
      </c>
      <c r="IB808" s="3262" t="s">
        <v>3262</v>
      </c>
      <c r="IC808" s="3262" t="s">
        <v>3262</v>
      </c>
      <c r="ID808" s="3262" t="s">
        <v>3262</v>
      </c>
      <c r="IE808" s="3262" t="s">
        <v>3262</v>
      </c>
      <c r="IF808" s="3262" t="s">
        <v>3262</v>
      </c>
      <c r="IG808" s="3262" t="s">
        <v>3262</v>
      </c>
      <c r="IH808" s="3262" t="s">
        <v>3262</v>
      </c>
      <c r="II808" s="3262" t="s">
        <v>3262</v>
      </c>
      <c r="IJ808" s="3262" t="s">
        <v>3262</v>
      </c>
      <c r="IK808" s="3262" t="s">
        <v>3262</v>
      </c>
      <c r="IL808" s="3262" t="s">
        <v>3262</v>
      </c>
      <c r="IM808" s="3262" t="s">
        <v>3262</v>
      </c>
      <c r="IN808" s="3262" t="s">
        <v>3262</v>
      </c>
      <c r="IO808" s="3262" t="s">
        <v>3262</v>
      </c>
    </row>
    <row r="809" spans="1:16384" hidden="1">
      <c r="A809" s="3267" t="s">
        <v>8662</v>
      </c>
      <c r="B809" s="3267" t="s">
        <v>3177</v>
      </c>
      <c r="C809" s="3269" t="s">
        <v>8663</v>
      </c>
      <c r="D809" s="3269" t="s">
        <v>8664</v>
      </c>
      <c r="E809" s="3267" t="s">
        <v>2985</v>
      </c>
      <c r="F809" s="3269" t="s">
        <v>6396</v>
      </c>
      <c r="G809" s="3267"/>
      <c r="H809" s="3267" t="s">
        <v>4450</v>
      </c>
      <c r="I809" s="3268"/>
      <c r="J809" s="3268" t="s">
        <v>4579</v>
      </c>
      <c r="K809" s="3267" t="s">
        <v>8665</v>
      </c>
      <c r="L809" s="3267">
        <v>73.17</v>
      </c>
      <c r="M809" s="3267">
        <v>4</v>
      </c>
      <c r="N809" s="3267" t="s">
        <v>3122</v>
      </c>
      <c r="O809" s="3267"/>
      <c r="P809" s="3267" t="s">
        <v>2963</v>
      </c>
      <c r="Q809" s="3271">
        <v>530000</v>
      </c>
      <c r="R809" s="3267">
        <v>7243</v>
      </c>
      <c r="S809" s="3272">
        <v>50.31</v>
      </c>
      <c r="T809" s="3273">
        <v>503100</v>
      </c>
      <c r="U809" s="3267">
        <v>6877</v>
      </c>
      <c r="V809" s="3289">
        <v>0.2</v>
      </c>
      <c r="W809" s="3272">
        <v>40.24</v>
      </c>
      <c r="X809" s="3275">
        <v>402400</v>
      </c>
      <c r="Y809" s="3276">
        <v>2006</v>
      </c>
      <c r="Z809" s="3276">
        <v>9</v>
      </c>
      <c r="AA809" s="3276">
        <v>29</v>
      </c>
      <c r="AB809" s="3267">
        <v>1500</v>
      </c>
      <c r="AC809" s="3267" t="s">
        <v>2980</v>
      </c>
      <c r="AD809" s="3366">
        <v>91302006091804</v>
      </c>
      <c r="AE809" s="3279" t="s">
        <v>2991</v>
      </c>
      <c r="AF809" s="3268"/>
      <c r="AG809" s="3279" t="s">
        <v>2967</v>
      </c>
      <c r="AH809" s="3267"/>
      <c r="AI809" s="3279" t="s">
        <v>2992</v>
      </c>
      <c r="AJ809" s="3284"/>
      <c r="AK809" s="3278">
        <v>9</v>
      </c>
      <c r="AL809" s="3276">
        <v>48</v>
      </c>
      <c r="AM809" s="3276"/>
      <c r="AN809" s="3279" t="s">
        <v>3099</v>
      </c>
      <c r="AO809" s="3267"/>
      <c r="AP809" s="3279" t="s">
        <v>2991</v>
      </c>
      <c r="AQ809" s="3276" t="s">
        <v>2996</v>
      </c>
      <c r="AR809" s="3276"/>
      <c r="AS809" s="3276"/>
      <c r="AT809" s="3276"/>
      <c r="AU809" s="3276"/>
      <c r="AV809" s="3276"/>
      <c r="AW809" s="3276" t="s">
        <v>2997</v>
      </c>
      <c r="AX809" s="3276"/>
      <c r="AY809" s="3291"/>
      <c r="AZ809" s="3267" t="s">
        <v>8665</v>
      </c>
      <c r="BA809" s="3296"/>
      <c r="BB809" s="3297"/>
      <c r="BC809" s="3296"/>
      <c r="BD809" s="3298"/>
      <c r="BE809" s="3276"/>
      <c r="BF809" s="3281"/>
      <c r="BG809" s="3293">
        <v>38987</v>
      </c>
      <c r="BH809" s="3267"/>
      <c r="BI809" s="3267" t="s">
        <v>2991</v>
      </c>
      <c r="BJ809" s="3299">
        <v>38987</v>
      </c>
      <c r="BK809" s="3283"/>
      <c r="BL809" s="3267" t="s">
        <v>2998</v>
      </c>
      <c r="BM809" s="3276" t="s">
        <v>2879</v>
      </c>
      <c r="BN809" s="3276" t="s">
        <v>2999</v>
      </c>
      <c r="BO809" s="3276" t="s">
        <v>3146</v>
      </c>
      <c r="BP809" s="3276"/>
      <c r="BQ809" s="3276" t="e">
        <v>#DIV/0!</v>
      </c>
      <c r="BR809" s="3276" t="e">
        <v>#DIV/0!</v>
      </c>
      <c r="BS809" s="3285"/>
      <c r="BT809" s="3285"/>
      <c r="BU809" s="3285"/>
      <c r="BY809" s="3262" t="s">
        <v>3262</v>
      </c>
      <c r="BZ809" s="3262" t="s">
        <v>3262</v>
      </c>
      <c r="CA809" s="3262" t="s">
        <v>3262</v>
      </c>
      <c r="CB809" s="3262" t="s">
        <v>3262</v>
      </c>
      <c r="CC809" s="3262" t="s">
        <v>3262</v>
      </c>
      <c r="CD809" s="3262" t="s">
        <v>3262</v>
      </c>
      <c r="CE809" s="3262" t="s">
        <v>3262</v>
      </c>
      <c r="CF809" s="3262" t="s">
        <v>3262</v>
      </c>
      <c r="CG809" s="3262" t="s">
        <v>3262</v>
      </c>
      <c r="CH809" s="3262" t="s">
        <v>3262</v>
      </c>
      <c r="CI809" s="3262" t="s">
        <v>3262</v>
      </c>
      <c r="CJ809" s="3262" t="s">
        <v>3262</v>
      </c>
      <c r="CK809" s="3262" t="s">
        <v>3262</v>
      </c>
      <c r="CL809" s="3262" t="s">
        <v>3262</v>
      </c>
      <c r="CM809" s="3262" t="s">
        <v>3262</v>
      </c>
      <c r="CN809" s="3262" t="s">
        <v>3262</v>
      </c>
      <c r="CO809" s="3262" t="s">
        <v>3262</v>
      </c>
      <c r="CP809" s="3262" t="s">
        <v>3262</v>
      </c>
      <c r="CQ809" s="3262" t="s">
        <v>3262</v>
      </c>
      <c r="CR809" s="3262" t="s">
        <v>3262</v>
      </c>
      <c r="CS809" s="3262" t="s">
        <v>3262</v>
      </c>
      <c r="CT809" s="3262" t="s">
        <v>3262</v>
      </c>
      <c r="CU809" s="3262" t="s">
        <v>3262</v>
      </c>
      <c r="CV809" s="3262" t="s">
        <v>3262</v>
      </c>
      <c r="CW809" s="3262" t="s">
        <v>3262</v>
      </c>
      <c r="CX809" s="3262" t="s">
        <v>3262</v>
      </c>
      <c r="CY809" s="3262" t="s">
        <v>3262</v>
      </c>
      <c r="CZ809" s="3262" t="s">
        <v>3262</v>
      </c>
      <c r="DA809" s="3262" t="s">
        <v>3262</v>
      </c>
      <c r="DB809" s="3262" t="s">
        <v>3262</v>
      </c>
      <c r="DC809" s="3262" t="s">
        <v>3262</v>
      </c>
      <c r="DD809" s="3262" t="s">
        <v>3262</v>
      </c>
      <c r="DE809" s="3262" t="s">
        <v>3262</v>
      </c>
      <c r="DF809" s="3262" t="s">
        <v>3262</v>
      </c>
      <c r="DG809" s="3262" t="s">
        <v>3262</v>
      </c>
      <c r="DH809" s="3262" t="s">
        <v>3262</v>
      </c>
      <c r="DI809" s="3262" t="s">
        <v>3262</v>
      </c>
      <c r="DJ809" s="3262" t="s">
        <v>3262</v>
      </c>
      <c r="DK809" s="3262" t="s">
        <v>3262</v>
      </c>
      <c r="DL809" s="3262" t="s">
        <v>3262</v>
      </c>
      <c r="DM809" s="3262" t="s">
        <v>3262</v>
      </c>
      <c r="DN809" s="3262" t="s">
        <v>3262</v>
      </c>
      <c r="DO809" s="3262" t="s">
        <v>3262</v>
      </c>
      <c r="DP809" s="3262" t="s">
        <v>3262</v>
      </c>
      <c r="DQ809" s="3262" t="s">
        <v>3262</v>
      </c>
      <c r="DR809" s="3262" t="s">
        <v>3262</v>
      </c>
      <c r="DS809" s="3262" t="s">
        <v>3262</v>
      </c>
      <c r="DT809" s="3262" t="s">
        <v>3262</v>
      </c>
      <c r="DU809" s="3262" t="s">
        <v>3262</v>
      </c>
      <c r="DV809" s="3262" t="s">
        <v>3262</v>
      </c>
      <c r="DW809" s="3262" t="s">
        <v>3262</v>
      </c>
      <c r="DX809" s="3262" t="s">
        <v>3262</v>
      </c>
      <c r="DY809" s="3262" t="s">
        <v>3262</v>
      </c>
      <c r="DZ809" s="3262" t="s">
        <v>3262</v>
      </c>
      <c r="EA809" s="3262" t="s">
        <v>3262</v>
      </c>
      <c r="EB809" s="3262" t="s">
        <v>3262</v>
      </c>
      <c r="EC809" s="3262" t="s">
        <v>3262</v>
      </c>
      <c r="ED809" s="3262" t="s">
        <v>3262</v>
      </c>
      <c r="EE809" s="3262" t="s">
        <v>3262</v>
      </c>
      <c r="EF809" s="3262" t="s">
        <v>3262</v>
      </c>
      <c r="EG809" s="3262" t="s">
        <v>3262</v>
      </c>
      <c r="EH809" s="3262" t="s">
        <v>3262</v>
      </c>
      <c r="EI809" s="3262" t="s">
        <v>3262</v>
      </c>
      <c r="EJ809" s="3262" t="s">
        <v>3262</v>
      </c>
      <c r="EK809" s="3262" t="s">
        <v>3262</v>
      </c>
      <c r="EL809" s="3262" t="s">
        <v>3262</v>
      </c>
      <c r="EM809" s="3262" t="s">
        <v>3262</v>
      </c>
      <c r="EN809" s="3262" t="s">
        <v>3262</v>
      </c>
      <c r="EO809" s="3262" t="s">
        <v>3262</v>
      </c>
      <c r="EP809" s="3262" t="s">
        <v>3262</v>
      </c>
      <c r="EQ809" s="3262" t="s">
        <v>3262</v>
      </c>
      <c r="ER809" s="3262" t="s">
        <v>3262</v>
      </c>
      <c r="ES809" s="3262" t="s">
        <v>3262</v>
      </c>
      <c r="ET809" s="3262" t="s">
        <v>3262</v>
      </c>
      <c r="EU809" s="3262" t="s">
        <v>3262</v>
      </c>
      <c r="EV809" s="3262" t="s">
        <v>3262</v>
      </c>
      <c r="EW809" s="3262" t="s">
        <v>3262</v>
      </c>
      <c r="EX809" s="3262" t="s">
        <v>3262</v>
      </c>
      <c r="EY809" s="3262" t="s">
        <v>3262</v>
      </c>
      <c r="EZ809" s="3262" t="s">
        <v>3262</v>
      </c>
      <c r="FA809" s="3262" t="s">
        <v>3262</v>
      </c>
      <c r="FB809" s="3262" t="s">
        <v>3262</v>
      </c>
      <c r="FC809" s="3262" t="s">
        <v>3262</v>
      </c>
      <c r="FD809" s="3262" t="s">
        <v>3262</v>
      </c>
      <c r="FE809" s="3262" t="s">
        <v>3262</v>
      </c>
      <c r="FF809" s="3262" t="s">
        <v>3262</v>
      </c>
      <c r="FG809" s="3262" t="s">
        <v>3262</v>
      </c>
      <c r="FH809" s="3262" t="s">
        <v>3262</v>
      </c>
      <c r="FI809" s="3262" t="s">
        <v>3262</v>
      </c>
      <c r="FJ809" s="3262" t="s">
        <v>3262</v>
      </c>
      <c r="FK809" s="3262" t="s">
        <v>3262</v>
      </c>
      <c r="FL809" s="3262" t="s">
        <v>3262</v>
      </c>
      <c r="FM809" s="3262" t="s">
        <v>3262</v>
      </c>
      <c r="FN809" s="3262" t="s">
        <v>3262</v>
      </c>
      <c r="FO809" s="3262" t="s">
        <v>3262</v>
      </c>
      <c r="FP809" s="3262" t="s">
        <v>3262</v>
      </c>
      <c r="FQ809" s="3262" t="s">
        <v>3262</v>
      </c>
      <c r="FR809" s="3262" t="s">
        <v>3262</v>
      </c>
      <c r="FS809" s="3262" t="s">
        <v>3262</v>
      </c>
      <c r="FT809" s="3262" t="s">
        <v>3262</v>
      </c>
      <c r="FU809" s="3262" t="s">
        <v>3262</v>
      </c>
      <c r="FV809" s="3262" t="s">
        <v>3262</v>
      </c>
      <c r="FW809" s="3262" t="s">
        <v>3262</v>
      </c>
      <c r="FX809" s="3262" t="s">
        <v>3262</v>
      </c>
      <c r="FY809" s="3262" t="s">
        <v>3262</v>
      </c>
      <c r="FZ809" s="3262" t="s">
        <v>3262</v>
      </c>
      <c r="GA809" s="3262" t="s">
        <v>3262</v>
      </c>
      <c r="GB809" s="3262" t="s">
        <v>3262</v>
      </c>
      <c r="GC809" s="3262" t="s">
        <v>3262</v>
      </c>
      <c r="GD809" s="3262" t="s">
        <v>3262</v>
      </c>
      <c r="GE809" s="3262" t="s">
        <v>3262</v>
      </c>
      <c r="GF809" s="3262" t="s">
        <v>3262</v>
      </c>
      <c r="GG809" s="3262" t="s">
        <v>3262</v>
      </c>
      <c r="GH809" s="3262" t="s">
        <v>3262</v>
      </c>
      <c r="GI809" s="3262" t="s">
        <v>3262</v>
      </c>
      <c r="GJ809" s="3262" t="s">
        <v>3262</v>
      </c>
      <c r="GK809" s="3262" t="s">
        <v>3262</v>
      </c>
      <c r="GL809" s="3262" t="s">
        <v>3262</v>
      </c>
      <c r="GM809" s="3262" t="s">
        <v>3262</v>
      </c>
      <c r="GN809" s="3262" t="s">
        <v>3262</v>
      </c>
      <c r="GO809" s="3262" t="s">
        <v>3262</v>
      </c>
      <c r="GP809" s="3262" t="s">
        <v>3262</v>
      </c>
      <c r="GQ809" s="3262" t="s">
        <v>3262</v>
      </c>
      <c r="GR809" s="3262" t="s">
        <v>3262</v>
      </c>
      <c r="GS809" s="3262" t="s">
        <v>3262</v>
      </c>
      <c r="GT809" s="3262" t="s">
        <v>3262</v>
      </c>
      <c r="GU809" s="3262" t="s">
        <v>3262</v>
      </c>
      <c r="GV809" s="3262" t="s">
        <v>3262</v>
      </c>
      <c r="GW809" s="3262" t="s">
        <v>3262</v>
      </c>
      <c r="GX809" s="3262" t="s">
        <v>3262</v>
      </c>
      <c r="GY809" s="3262" t="s">
        <v>3262</v>
      </c>
      <c r="GZ809" s="3262" t="s">
        <v>3262</v>
      </c>
      <c r="HA809" s="3262" t="s">
        <v>3262</v>
      </c>
      <c r="HB809" s="3262" t="s">
        <v>3262</v>
      </c>
      <c r="HC809" s="3262" t="s">
        <v>3262</v>
      </c>
      <c r="HD809" s="3262" t="s">
        <v>3262</v>
      </c>
      <c r="HE809" s="3262" t="s">
        <v>3262</v>
      </c>
      <c r="HF809" s="3262" t="s">
        <v>3262</v>
      </c>
      <c r="HG809" s="3262" t="s">
        <v>3262</v>
      </c>
      <c r="HH809" s="3262" t="s">
        <v>3262</v>
      </c>
      <c r="HI809" s="3262" t="s">
        <v>3262</v>
      </c>
      <c r="HJ809" s="3262" t="s">
        <v>3262</v>
      </c>
      <c r="HK809" s="3262" t="s">
        <v>3262</v>
      </c>
      <c r="HL809" s="3262" t="s">
        <v>3262</v>
      </c>
      <c r="HM809" s="3262" t="s">
        <v>3262</v>
      </c>
      <c r="HN809" s="3262" t="s">
        <v>3262</v>
      </c>
      <c r="HO809" s="3262" t="s">
        <v>3262</v>
      </c>
      <c r="HP809" s="3262" t="s">
        <v>3262</v>
      </c>
      <c r="HQ809" s="3262" t="s">
        <v>3262</v>
      </c>
      <c r="HR809" s="3262" t="s">
        <v>3262</v>
      </c>
      <c r="HS809" s="3262" t="s">
        <v>3262</v>
      </c>
      <c r="HT809" s="3262" t="s">
        <v>3262</v>
      </c>
      <c r="HU809" s="3262" t="s">
        <v>3262</v>
      </c>
      <c r="HV809" s="3262" t="s">
        <v>3262</v>
      </c>
      <c r="HW809" s="3262" t="s">
        <v>3262</v>
      </c>
      <c r="HX809" s="3262" t="s">
        <v>3262</v>
      </c>
      <c r="HY809" s="3262" t="s">
        <v>3262</v>
      </c>
      <c r="HZ809" s="3262" t="s">
        <v>3262</v>
      </c>
      <c r="IA809" s="3262" t="s">
        <v>3262</v>
      </c>
      <c r="IB809" s="3262" t="s">
        <v>3262</v>
      </c>
      <c r="IC809" s="3262" t="s">
        <v>3262</v>
      </c>
      <c r="ID809" s="3262" t="s">
        <v>3262</v>
      </c>
      <c r="IE809" s="3262" t="s">
        <v>3262</v>
      </c>
      <c r="IF809" s="3262" t="s">
        <v>3262</v>
      </c>
      <c r="IG809" s="3262" t="s">
        <v>3262</v>
      </c>
      <c r="IH809" s="3262" t="s">
        <v>3262</v>
      </c>
      <c r="II809" s="3262" t="s">
        <v>3262</v>
      </c>
      <c r="IJ809" s="3262" t="s">
        <v>3262</v>
      </c>
      <c r="IK809" s="3262" t="s">
        <v>3262</v>
      </c>
      <c r="IL809" s="3262" t="s">
        <v>3262</v>
      </c>
      <c r="IM809" s="3262" t="s">
        <v>3262</v>
      </c>
      <c r="IN809" s="3262" t="s">
        <v>3262</v>
      </c>
      <c r="IO809" s="3262" t="s">
        <v>3262</v>
      </c>
    </row>
    <row r="810" spans="1:16384" hidden="1">
      <c r="A810" s="3267" t="s">
        <v>8666</v>
      </c>
      <c r="B810" s="3267" t="s">
        <v>8667</v>
      </c>
      <c r="C810" s="3267" t="s">
        <v>8668</v>
      </c>
      <c r="D810" s="3267" t="s">
        <v>8669</v>
      </c>
      <c r="E810" s="3267" t="s">
        <v>2985</v>
      </c>
      <c r="F810" s="3267" t="s">
        <v>4412</v>
      </c>
      <c r="G810" s="3267"/>
      <c r="H810" s="3267" t="s">
        <v>4724</v>
      </c>
      <c r="I810" s="3267"/>
      <c r="J810" s="3267" t="s">
        <v>8670</v>
      </c>
      <c r="K810" s="3267"/>
      <c r="L810" s="3267">
        <v>48.53</v>
      </c>
      <c r="M810" s="3267">
        <v>2</v>
      </c>
      <c r="N810" s="3267" t="s">
        <v>3152</v>
      </c>
      <c r="O810" s="3267"/>
      <c r="P810" s="3267" t="s">
        <v>2963</v>
      </c>
      <c r="Q810" s="3267">
        <v>388000</v>
      </c>
      <c r="R810" s="3267">
        <v>7995</v>
      </c>
      <c r="S810" s="3272">
        <v>31.51</v>
      </c>
      <c r="T810" s="3273">
        <v>315100</v>
      </c>
      <c r="U810" s="3267">
        <v>6493</v>
      </c>
      <c r="V810" s="3289">
        <v>0.2</v>
      </c>
      <c r="W810" s="3272">
        <v>25.2</v>
      </c>
      <c r="X810" s="3275">
        <v>252000</v>
      </c>
      <c r="Y810" s="3267">
        <v>2006</v>
      </c>
      <c r="Z810" s="3267">
        <v>10</v>
      </c>
      <c r="AA810" s="3267">
        <v>13</v>
      </c>
      <c r="AB810" s="3267">
        <v>945</v>
      </c>
      <c r="AC810" s="3267" t="s">
        <v>2980</v>
      </c>
      <c r="AD810" s="3267">
        <v>91302006091869</v>
      </c>
      <c r="AE810" s="3267" t="s">
        <v>3487</v>
      </c>
      <c r="AF810" s="3267" t="s">
        <v>2966</v>
      </c>
      <c r="AG810" s="3267" t="s">
        <v>2967</v>
      </c>
      <c r="AH810" s="3267" t="s">
        <v>2968</v>
      </c>
      <c r="AI810" s="3267" t="s">
        <v>2992</v>
      </c>
      <c r="AJ810" s="3267"/>
      <c r="AK810" s="3267" t="s">
        <v>3148</v>
      </c>
      <c r="AL810" s="3267">
        <v>35</v>
      </c>
      <c r="AM810" s="3267"/>
      <c r="AN810" s="3267" t="s">
        <v>3140</v>
      </c>
      <c r="AO810" s="3267" t="s">
        <v>2968</v>
      </c>
      <c r="AP810" s="3267" t="s">
        <v>3487</v>
      </c>
      <c r="AQ810" s="3267" t="s">
        <v>3113</v>
      </c>
      <c r="AR810" s="3267"/>
      <c r="AS810" s="3267"/>
      <c r="AT810" s="3267"/>
      <c r="AU810" s="3267"/>
      <c r="AV810" s="3267" t="s">
        <v>2968</v>
      </c>
      <c r="AW810" s="3267" t="s">
        <v>3171</v>
      </c>
      <c r="AX810" s="3267"/>
      <c r="AY810" s="3269"/>
      <c r="AZ810" s="3267"/>
      <c r="BA810" s="3267"/>
      <c r="BB810" s="3269"/>
      <c r="BC810" s="3267"/>
      <c r="BD810" s="3304"/>
      <c r="BE810" s="3267"/>
      <c r="BF810" s="3305"/>
      <c r="BG810" s="3284">
        <v>38960</v>
      </c>
      <c r="BH810" s="3267"/>
      <c r="BI810" s="3267" t="s">
        <v>3487</v>
      </c>
      <c r="BJ810" s="3303">
        <v>38988</v>
      </c>
      <c r="BK810" s="3303"/>
      <c r="BL810" s="3267" t="s">
        <v>2998</v>
      </c>
      <c r="BM810" s="3267"/>
      <c r="BN810" s="3267"/>
      <c r="BO810" s="3267"/>
      <c r="BP810" s="3267"/>
      <c r="BQ810" s="3276" t="e">
        <v>#DIV/0!</v>
      </c>
      <c r="BR810" s="3276" t="e">
        <v>#DIV/0!</v>
      </c>
      <c r="BS810" s="3285"/>
      <c r="BT810" s="3285"/>
      <c r="BU810" s="3285"/>
    </row>
    <row r="811" spans="1:16384" hidden="1">
      <c r="A811" s="3267" t="s">
        <v>8671</v>
      </c>
      <c r="B811" s="3267" t="s">
        <v>8672</v>
      </c>
      <c r="C811" s="3269" t="s">
        <v>8673</v>
      </c>
      <c r="D811" s="3267">
        <v>13691408686</v>
      </c>
      <c r="E811" s="3267" t="s">
        <v>2985</v>
      </c>
      <c r="F811" s="3267" t="s">
        <v>3764</v>
      </c>
      <c r="G811" s="3267"/>
      <c r="H811" s="3267" t="s">
        <v>3182</v>
      </c>
      <c r="I811" s="3267"/>
      <c r="J811" s="3267" t="s">
        <v>8674</v>
      </c>
      <c r="K811" s="3268" t="s">
        <v>8675</v>
      </c>
      <c r="L811" s="3267">
        <v>54.65</v>
      </c>
      <c r="M811" s="3267">
        <v>6</v>
      </c>
      <c r="N811" s="3267" t="s">
        <v>3122</v>
      </c>
      <c r="O811" s="3267"/>
      <c r="P811" s="3267" t="s">
        <v>2963</v>
      </c>
      <c r="Q811" s="3267">
        <v>365000</v>
      </c>
      <c r="R811" s="3267">
        <v>6679</v>
      </c>
      <c r="S811" s="3272">
        <v>32.75</v>
      </c>
      <c r="T811" s="3273">
        <v>327500</v>
      </c>
      <c r="U811" s="3267">
        <v>5993</v>
      </c>
      <c r="V811" s="3274">
        <v>0.2</v>
      </c>
      <c r="W811" s="3272">
        <v>26.2</v>
      </c>
      <c r="X811" s="3275">
        <v>262000</v>
      </c>
      <c r="Y811" s="3267">
        <v>2006</v>
      </c>
      <c r="Z811" s="3267">
        <v>10</v>
      </c>
      <c r="AA811" s="3276">
        <v>13</v>
      </c>
      <c r="AB811" s="3267">
        <v>980</v>
      </c>
      <c r="AC811" s="3267" t="s">
        <v>2980</v>
      </c>
      <c r="AD811" s="3280" t="s">
        <v>8676</v>
      </c>
      <c r="AE811" s="3279" t="s">
        <v>3304</v>
      </c>
      <c r="AF811" s="3267" t="s">
        <v>2966</v>
      </c>
      <c r="AG811" s="3267" t="s">
        <v>2967</v>
      </c>
      <c r="AH811" s="3267"/>
      <c r="AI811" s="3267" t="s">
        <v>3115</v>
      </c>
      <c r="AJ811" s="3284"/>
      <c r="AK811" s="3278" t="s">
        <v>3148</v>
      </c>
      <c r="AL811" s="3267">
        <v>32</v>
      </c>
      <c r="AM811" s="3267"/>
      <c r="AN811" s="3267" t="s">
        <v>3131</v>
      </c>
      <c r="AO811" s="3267" t="s">
        <v>2968</v>
      </c>
      <c r="AP811" s="3279" t="s">
        <v>3537</v>
      </c>
      <c r="AQ811" s="3267" t="s">
        <v>3113</v>
      </c>
      <c r="AR811" s="3267"/>
      <c r="AS811" s="3267"/>
      <c r="AT811" s="3267"/>
      <c r="AU811" s="3267"/>
      <c r="AV811" s="3267"/>
      <c r="AW811" s="3267" t="s">
        <v>2997</v>
      </c>
      <c r="AX811" s="3267"/>
      <c r="AY811" s="3269"/>
      <c r="AZ811" s="3267" t="s">
        <v>8675</v>
      </c>
      <c r="BA811" s="3267"/>
      <c r="BB811" s="3267"/>
      <c r="BC811" s="3267"/>
      <c r="BD811" s="3267"/>
      <c r="BE811" s="3267">
        <v>13301069111</v>
      </c>
      <c r="BF811" s="3267"/>
      <c r="BG811" s="3307">
        <v>38948</v>
      </c>
      <c r="BH811" s="3267"/>
      <c r="BI811" s="3267" t="s">
        <v>3537</v>
      </c>
      <c r="BJ811" s="3284">
        <v>38988</v>
      </c>
      <c r="BK811" s="3283"/>
      <c r="BL811" s="3267" t="s">
        <v>2998</v>
      </c>
      <c r="BM811" s="3267" t="s">
        <v>3128</v>
      </c>
      <c r="BN811" s="3267" t="s">
        <v>2999</v>
      </c>
      <c r="BO811" s="3267" t="s">
        <v>3000</v>
      </c>
      <c r="BP811" s="3267"/>
      <c r="BQ811" s="3276" t="e">
        <v>#DIV/0!</v>
      </c>
      <c r="BR811" s="3276" t="e">
        <v>#DIV/0!</v>
      </c>
      <c r="BS811" s="3285"/>
      <c r="BT811" s="3285"/>
      <c r="BU811" s="3285"/>
    </row>
    <row r="812" spans="1:16384" hidden="1">
      <c r="A812" s="3268" t="s">
        <v>8677</v>
      </c>
      <c r="B812" s="3267" t="s">
        <v>8678</v>
      </c>
      <c r="C812" s="3269" t="s">
        <v>8679</v>
      </c>
      <c r="D812" s="3269" t="s">
        <v>8680</v>
      </c>
      <c r="E812" s="3267" t="s">
        <v>2985</v>
      </c>
      <c r="F812" s="3268" t="s">
        <v>7860</v>
      </c>
      <c r="G812" s="3267"/>
      <c r="H812" s="3267" t="s">
        <v>8681</v>
      </c>
      <c r="I812" s="3267" t="s">
        <v>3170</v>
      </c>
      <c r="J812" s="3269" t="s">
        <v>8682</v>
      </c>
      <c r="K812" s="3267" t="s">
        <v>8683</v>
      </c>
      <c r="L812" s="3267">
        <v>58.89</v>
      </c>
      <c r="M812" s="3267">
        <v>6</v>
      </c>
      <c r="N812" s="3267" t="s">
        <v>3152</v>
      </c>
      <c r="O812" s="3267"/>
      <c r="P812" s="3267" t="s">
        <v>2963</v>
      </c>
      <c r="Q812" s="3271">
        <v>440000</v>
      </c>
      <c r="R812" s="3267">
        <v>7472</v>
      </c>
      <c r="S812" s="3272">
        <v>42.99</v>
      </c>
      <c r="T812" s="3273">
        <v>429900</v>
      </c>
      <c r="U812" s="3267">
        <v>7301</v>
      </c>
      <c r="V812" s="3289">
        <v>0.2</v>
      </c>
      <c r="W812" s="3272">
        <v>34.39</v>
      </c>
      <c r="X812" s="3275">
        <v>343900</v>
      </c>
      <c r="Y812" s="3270">
        <v>2006</v>
      </c>
      <c r="Z812" s="3267">
        <v>10</v>
      </c>
      <c r="AA812" s="3276">
        <v>24</v>
      </c>
      <c r="AB812" s="3267">
        <v>1285</v>
      </c>
      <c r="AC812" s="3267" t="s">
        <v>2980</v>
      </c>
      <c r="AD812" s="3373">
        <v>91302006091888</v>
      </c>
      <c r="AE812" s="3267" t="s">
        <v>3487</v>
      </c>
      <c r="AF812" s="3267" t="s">
        <v>2966</v>
      </c>
      <c r="AG812" s="3267" t="s">
        <v>2967</v>
      </c>
      <c r="AH812" s="3267" t="s">
        <v>2968</v>
      </c>
      <c r="AI812" s="3267" t="s">
        <v>2992</v>
      </c>
      <c r="AJ812" s="3284"/>
      <c r="AK812" s="3278" t="s">
        <v>3148</v>
      </c>
      <c r="AL812" s="3276">
        <v>43</v>
      </c>
      <c r="AM812" s="3267"/>
      <c r="AN812" s="3267" t="s">
        <v>3114</v>
      </c>
      <c r="AO812" s="3276" t="s">
        <v>2968</v>
      </c>
      <c r="AP812" s="3279" t="s">
        <v>3537</v>
      </c>
      <c r="AQ812" s="3267" t="s">
        <v>3228</v>
      </c>
      <c r="AR812" s="3276"/>
      <c r="AS812" s="3276"/>
      <c r="AT812" s="3276"/>
      <c r="AU812" s="3276"/>
      <c r="AV812" s="3276" t="s">
        <v>2968</v>
      </c>
      <c r="AW812" s="3276" t="s">
        <v>3112</v>
      </c>
      <c r="AX812" s="3276"/>
      <c r="AY812" s="3291"/>
      <c r="AZ812" s="3267" t="s">
        <v>8683</v>
      </c>
      <c r="BA812" s="3276"/>
      <c r="BB812" s="3291"/>
      <c r="BC812" s="3276"/>
      <c r="BD812" s="3292"/>
      <c r="BE812" s="3276"/>
      <c r="BF812" s="3281"/>
      <c r="BG812" s="3284">
        <v>38970</v>
      </c>
      <c r="BH812" s="3276"/>
      <c r="BI812" s="3267" t="s">
        <v>3537</v>
      </c>
      <c r="BJ812" s="3284">
        <v>38988</v>
      </c>
      <c r="BK812" s="3283"/>
      <c r="BL812" s="3267" t="s">
        <v>2998</v>
      </c>
      <c r="BM812" s="3276"/>
      <c r="BN812" s="3276"/>
      <c r="BO812" s="3276"/>
      <c r="BP812" s="3276"/>
      <c r="BQ812" s="3276" t="e">
        <v>#DIV/0!</v>
      </c>
      <c r="BR812" s="3276" t="e">
        <v>#DIV/0!</v>
      </c>
      <c r="BS812" s="3285"/>
      <c r="BT812" s="3285"/>
      <c r="BU812" s="3285"/>
    </row>
    <row r="813" spans="1:16384" hidden="1">
      <c r="A813" s="3267" t="s">
        <v>8684</v>
      </c>
      <c r="B813" s="3268" t="s">
        <v>8685</v>
      </c>
      <c r="C813" s="3269" t="s">
        <v>8686</v>
      </c>
      <c r="D813" s="3268">
        <v>13611166951</v>
      </c>
      <c r="E813" s="3268" t="s">
        <v>2985</v>
      </c>
      <c r="F813" s="3268" t="s">
        <v>3224</v>
      </c>
      <c r="G813" s="3268"/>
      <c r="H813" s="3268" t="s">
        <v>3179</v>
      </c>
      <c r="I813" s="3268"/>
      <c r="J813" s="3268" t="s">
        <v>3189</v>
      </c>
      <c r="K813" s="3268" t="s">
        <v>8687</v>
      </c>
      <c r="L813" s="3270">
        <v>47.5</v>
      </c>
      <c r="M813" s="3270">
        <v>1</v>
      </c>
      <c r="N813" s="3267" t="s">
        <v>3535</v>
      </c>
      <c r="O813" s="3270">
        <v>37.9</v>
      </c>
      <c r="P813" s="3268" t="s">
        <v>2963</v>
      </c>
      <c r="Q813" s="3271">
        <v>213750</v>
      </c>
      <c r="R813" s="3267">
        <v>4500</v>
      </c>
      <c r="S813" s="3272">
        <v>21.85</v>
      </c>
      <c r="T813" s="3273">
        <v>218500</v>
      </c>
      <c r="U813" s="3267">
        <v>4600</v>
      </c>
      <c r="V813" s="3274">
        <v>0.2</v>
      </c>
      <c r="W813" s="3272">
        <v>17.48</v>
      </c>
      <c r="X813" s="3275">
        <v>174800</v>
      </c>
      <c r="Y813" s="3276">
        <v>2006</v>
      </c>
      <c r="Z813" s="3267">
        <v>10</v>
      </c>
      <c r="AA813" s="3276">
        <v>20</v>
      </c>
      <c r="AB813" s="3267">
        <v>655</v>
      </c>
      <c r="AC813" s="3267" t="s">
        <v>2980</v>
      </c>
      <c r="AD813" s="3280" t="s">
        <v>8688</v>
      </c>
      <c r="AE813" s="3268" t="s">
        <v>3180</v>
      </c>
      <c r="AF813" s="3268" t="s">
        <v>2966</v>
      </c>
      <c r="AG813" s="3268" t="s">
        <v>2967</v>
      </c>
      <c r="AH813" s="3268"/>
      <c r="AI813" s="3279" t="s">
        <v>2992</v>
      </c>
      <c r="AJ813" s="3290"/>
      <c r="AK813" s="3278" t="s">
        <v>3148</v>
      </c>
      <c r="AL813" s="3276">
        <v>54</v>
      </c>
      <c r="AM813" s="3276"/>
      <c r="AN813" s="3279" t="s">
        <v>3114</v>
      </c>
      <c r="AO813" s="3276"/>
      <c r="AP813" s="3276" t="s">
        <v>3180</v>
      </c>
      <c r="AQ813" s="3267" t="s">
        <v>3113</v>
      </c>
      <c r="AR813" s="3267"/>
      <c r="AS813" s="3267"/>
      <c r="AT813" s="3267"/>
      <c r="AU813" s="3267"/>
      <c r="AV813" s="3277"/>
      <c r="AW813" s="3268" t="s">
        <v>3171</v>
      </c>
      <c r="AX813" s="3268"/>
      <c r="AY813" s="3268"/>
      <c r="AZ813" s="3268" t="s">
        <v>8687</v>
      </c>
      <c r="BA813" s="3268"/>
      <c r="BB813" s="3280"/>
      <c r="BC813" s="3268"/>
      <c r="BD813" s="3268"/>
      <c r="BE813" s="3268"/>
      <c r="BF813" s="3281"/>
      <c r="BG813" s="3290">
        <v>38975</v>
      </c>
      <c r="BH813" s="3268"/>
      <c r="BI813" s="3279" t="s">
        <v>3180</v>
      </c>
      <c r="BJ813" s="3283">
        <v>38989</v>
      </c>
      <c r="BK813" s="3284"/>
      <c r="BL813" s="3267" t="s">
        <v>2998</v>
      </c>
      <c r="BM813" s="3276" t="s">
        <v>2879</v>
      </c>
      <c r="BN813" s="3276" t="s">
        <v>2999</v>
      </c>
      <c r="BO813" s="3276" t="s">
        <v>3146</v>
      </c>
      <c r="BP813" s="3276"/>
      <c r="BQ813" s="3276">
        <v>5765</v>
      </c>
      <c r="BR813" s="3276">
        <v>5640</v>
      </c>
      <c r="BS813" s="3285"/>
      <c r="BT813" s="3285"/>
      <c r="BU813" s="3285"/>
    </row>
    <row r="814" spans="1:16384" hidden="1">
      <c r="A814" s="3267" t="s">
        <v>8689</v>
      </c>
      <c r="B814" s="3267" t="s">
        <v>8690</v>
      </c>
      <c r="C814" s="3269" t="s">
        <v>8691</v>
      </c>
      <c r="D814" s="3269" t="s">
        <v>8692</v>
      </c>
      <c r="E814" s="3268" t="s">
        <v>2985</v>
      </c>
      <c r="F814" s="3268" t="s">
        <v>7881</v>
      </c>
      <c r="G814" s="3267"/>
      <c r="H814" s="3267" t="s">
        <v>4477</v>
      </c>
      <c r="I814" s="3268" t="s">
        <v>3318</v>
      </c>
      <c r="J814" s="3267" t="s">
        <v>4867</v>
      </c>
      <c r="K814" s="3267" t="s">
        <v>8693</v>
      </c>
      <c r="L814" s="3267">
        <v>56.47</v>
      </c>
      <c r="M814" s="3267">
        <v>7</v>
      </c>
      <c r="N814" s="3267" t="s">
        <v>3152</v>
      </c>
      <c r="O814" s="3267">
        <v>43.4</v>
      </c>
      <c r="P814" s="3267" t="s">
        <v>2963</v>
      </c>
      <c r="Q814" s="3271">
        <v>400000</v>
      </c>
      <c r="R814" s="3267">
        <v>7083</v>
      </c>
      <c r="S814" s="3272">
        <v>39.67</v>
      </c>
      <c r="T814" s="3273">
        <v>396700</v>
      </c>
      <c r="U814" s="3267">
        <v>7026</v>
      </c>
      <c r="V814" s="3289">
        <v>0.2</v>
      </c>
      <c r="W814" s="3272">
        <v>31.73</v>
      </c>
      <c r="X814" s="3275">
        <v>317300</v>
      </c>
      <c r="Y814" s="3267">
        <v>2006</v>
      </c>
      <c r="Z814" s="3276">
        <v>10</v>
      </c>
      <c r="AA814" s="3276">
        <v>25</v>
      </c>
      <c r="AB814" s="3267">
        <v>1190</v>
      </c>
      <c r="AC814" s="3267" t="s">
        <v>2980</v>
      </c>
      <c r="AD814" s="3269" t="s">
        <v>8694</v>
      </c>
      <c r="AE814" s="3279" t="s">
        <v>3344</v>
      </c>
      <c r="AF814" s="3268" t="s">
        <v>2966</v>
      </c>
      <c r="AG814" s="3279" t="s">
        <v>2967</v>
      </c>
      <c r="AH814" s="3267" t="s">
        <v>8695</v>
      </c>
      <c r="AI814" s="3279" t="s">
        <v>2992</v>
      </c>
      <c r="AJ814" s="3284"/>
      <c r="AK814" s="3278" t="s">
        <v>3148</v>
      </c>
      <c r="AL814" s="3276">
        <v>57</v>
      </c>
      <c r="AM814" s="3267"/>
      <c r="AN814" s="3279" t="s">
        <v>3099</v>
      </c>
      <c r="AO814" s="3267"/>
      <c r="AP814" s="3279" t="s">
        <v>4230</v>
      </c>
      <c r="AQ814" s="3267" t="s">
        <v>3113</v>
      </c>
      <c r="AR814" s="3276"/>
      <c r="AS814" s="3276"/>
      <c r="AT814" s="3276"/>
      <c r="AU814" s="3276"/>
      <c r="AV814" s="3276"/>
      <c r="AW814" s="3276" t="s">
        <v>2997</v>
      </c>
      <c r="AX814" s="3276"/>
      <c r="AY814" s="3291"/>
      <c r="AZ814" s="3267" t="s">
        <v>8693</v>
      </c>
      <c r="BA814" s="3296"/>
      <c r="BB814" s="3297"/>
      <c r="BC814" s="3296"/>
      <c r="BD814" s="3298"/>
      <c r="BE814" s="3276">
        <v>13611130264</v>
      </c>
      <c r="BF814" s="3281"/>
      <c r="BG814" s="3293">
        <v>38985</v>
      </c>
      <c r="BH814" s="3354" t="s">
        <v>2998</v>
      </c>
      <c r="BI814" s="3314" t="s">
        <v>4230</v>
      </c>
      <c r="BJ814" s="3283">
        <v>38990</v>
      </c>
      <c r="BK814" s="3283"/>
      <c r="BL814" s="3267" t="s">
        <v>3249</v>
      </c>
      <c r="BM814" s="3276" t="s">
        <v>2879</v>
      </c>
      <c r="BN814" s="3276" t="s">
        <v>2999</v>
      </c>
      <c r="BO814" s="3276" t="s">
        <v>3146</v>
      </c>
      <c r="BP814" s="3276"/>
      <c r="BQ814" s="3276">
        <v>9141</v>
      </c>
      <c r="BR814" s="3276">
        <v>9217</v>
      </c>
      <c r="BS814" s="3285"/>
      <c r="BT814" s="3285"/>
      <c r="BU814" s="3285"/>
    </row>
    <row r="815" spans="1:16384" hidden="1">
      <c r="A815" s="3267" t="s">
        <v>8696</v>
      </c>
      <c r="B815" s="3267" t="s">
        <v>8697</v>
      </c>
      <c r="C815" s="3269" t="s">
        <v>8698</v>
      </c>
      <c r="D815" s="3268" t="s">
        <v>8699</v>
      </c>
      <c r="E815" s="3268" t="s">
        <v>2985</v>
      </c>
      <c r="F815" s="3268" t="s">
        <v>8700</v>
      </c>
      <c r="G815" s="3267"/>
      <c r="H815" s="3267" t="s">
        <v>8701</v>
      </c>
      <c r="I815" s="3268"/>
      <c r="J815" s="3268" t="s">
        <v>8702</v>
      </c>
      <c r="K815" s="3267" t="s">
        <v>8697</v>
      </c>
      <c r="L815" s="3267">
        <v>61.79</v>
      </c>
      <c r="M815" s="3267">
        <v>5</v>
      </c>
      <c r="N815" s="3267" t="s">
        <v>3122</v>
      </c>
      <c r="O815" s="3267"/>
      <c r="P815" s="3267" t="s">
        <v>2963</v>
      </c>
      <c r="Q815" s="3271">
        <v>550000</v>
      </c>
      <c r="R815" s="3267">
        <v>8901</v>
      </c>
      <c r="S815" s="3272">
        <v>52.15</v>
      </c>
      <c r="T815" s="3273">
        <v>521500</v>
      </c>
      <c r="U815" s="3267">
        <v>8441</v>
      </c>
      <c r="V815" s="3289">
        <v>0.2</v>
      </c>
      <c r="W815" s="3272">
        <v>41.72</v>
      </c>
      <c r="X815" s="3275">
        <v>417200</v>
      </c>
      <c r="Y815" s="3276">
        <v>2006</v>
      </c>
      <c r="Z815" s="3267">
        <v>11</v>
      </c>
      <c r="AA815" s="3276">
        <v>7</v>
      </c>
      <c r="AB815" s="3267">
        <v>1500</v>
      </c>
      <c r="AC815" s="3267" t="s">
        <v>2980</v>
      </c>
      <c r="AD815" s="3373">
        <v>91302006100027</v>
      </c>
      <c r="AE815" s="3276" t="s">
        <v>3304</v>
      </c>
      <c r="AF815" s="3269" t="s">
        <v>2966</v>
      </c>
      <c r="AG815" s="3269" t="s">
        <v>2967</v>
      </c>
      <c r="AH815" s="3269"/>
      <c r="AI815" s="3267" t="s">
        <v>2992</v>
      </c>
      <c r="AJ815" s="3284"/>
      <c r="AK815" s="3278" t="s">
        <v>3137</v>
      </c>
      <c r="AL815" s="3267">
        <v>40</v>
      </c>
      <c r="AM815" s="3276" t="s">
        <v>8703</v>
      </c>
      <c r="AN815" s="3279" t="s">
        <v>3140</v>
      </c>
      <c r="AO815" s="3267"/>
      <c r="AP815" s="3276" t="s">
        <v>4532</v>
      </c>
      <c r="AQ815" s="3267" t="s">
        <v>3228</v>
      </c>
      <c r="AR815" s="3267">
        <v>2006</v>
      </c>
      <c r="AS815" s="3267">
        <v>11</v>
      </c>
      <c r="AT815" s="3276">
        <v>7</v>
      </c>
      <c r="AU815" s="3276"/>
      <c r="AV815" s="3276"/>
      <c r="AW815" s="3276" t="s">
        <v>2997</v>
      </c>
      <c r="AX815" s="3276"/>
      <c r="AY815" s="3291"/>
      <c r="AZ815" s="3267" t="s">
        <v>8704</v>
      </c>
      <c r="BA815" s="3296"/>
      <c r="BB815" s="3297"/>
      <c r="BC815" s="3296"/>
      <c r="BD815" s="3298"/>
      <c r="BE815" s="3276"/>
      <c r="BF815" s="3281"/>
      <c r="BG815" s="3293">
        <v>38998</v>
      </c>
      <c r="BH815" s="3267"/>
      <c r="BI815" s="3279" t="s">
        <v>4532</v>
      </c>
      <c r="BJ815" s="3299">
        <v>38998</v>
      </c>
      <c r="BK815" s="3283" t="s">
        <v>2968</v>
      </c>
      <c r="BL815" s="3267" t="s">
        <v>2998</v>
      </c>
      <c r="BM815" s="3267" t="s">
        <v>2879</v>
      </c>
      <c r="BN815" s="3267" t="s">
        <v>2999</v>
      </c>
      <c r="BO815" s="3267" t="s">
        <v>8705</v>
      </c>
      <c r="BP815" s="3276"/>
      <c r="BQ815" s="3276" t="e">
        <v>#DIV/0!</v>
      </c>
      <c r="BR815" s="3276" t="e">
        <v>#DIV/0!</v>
      </c>
      <c r="BS815" s="3285"/>
      <c r="BT815" s="3285"/>
      <c r="BU815" s="3285"/>
      <c r="BY815" s="3262" t="s">
        <v>3262</v>
      </c>
      <c r="BZ815" s="3262" t="s">
        <v>3262</v>
      </c>
      <c r="CA815" s="3262" t="s">
        <v>3262</v>
      </c>
      <c r="CB815" s="3262" t="s">
        <v>3262</v>
      </c>
      <c r="CC815" s="3262" t="s">
        <v>3262</v>
      </c>
      <c r="CD815" s="3262" t="s">
        <v>3262</v>
      </c>
      <c r="CE815" s="3262" t="s">
        <v>3262</v>
      </c>
      <c r="CF815" s="3262" t="s">
        <v>3262</v>
      </c>
      <c r="CG815" s="3262" t="s">
        <v>3262</v>
      </c>
      <c r="CH815" s="3262" t="s">
        <v>3262</v>
      </c>
      <c r="CI815" s="3262" t="s">
        <v>3262</v>
      </c>
      <c r="CJ815" s="3262" t="s">
        <v>3262</v>
      </c>
      <c r="CK815" s="3262" t="s">
        <v>3262</v>
      </c>
      <c r="CL815" s="3262" t="s">
        <v>3262</v>
      </c>
      <c r="CM815" s="3262" t="s">
        <v>3262</v>
      </c>
      <c r="CN815" s="3262" t="s">
        <v>3262</v>
      </c>
      <c r="CO815" s="3262" t="s">
        <v>3262</v>
      </c>
      <c r="CP815" s="3262" t="s">
        <v>3262</v>
      </c>
      <c r="CQ815" s="3262" t="s">
        <v>3262</v>
      </c>
      <c r="CR815" s="3262" t="s">
        <v>3262</v>
      </c>
      <c r="CS815" s="3262" t="s">
        <v>3262</v>
      </c>
      <c r="CT815" s="3262" t="s">
        <v>3262</v>
      </c>
      <c r="CU815" s="3262" t="s">
        <v>3262</v>
      </c>
      <c r="CV815" s="3262" t="s">
        <v>3262</v>
      </c>
      <c r="CW815" s="3262" t="s">
        <v>3262</v>
      </c>
      <c r="CX815" s="3262" t="s">
        <v>3262</v>
      </c>
      <c r="CY815" s="3262" t="s">
        <v>3262</v>
      </c>
      <c r="CZ815" s="3262" t="s">
        <v>3262</v>
      </c>
      <c r="DA815" s="3262" t="s">
        <v>3262</v>
      </c>
      <c r="DB815" s="3262" t="s">
        <v>3262</v>
      </c>
      <c r="DC815" s="3262" t="s">
        <v>3262</v>
      </c>
      <c r="DD815" s="3262" t="s">
        <v>3262</v>
      </c>
      <c r="DE815" s="3262" t="s">
        <v>3262</v>
      </c>
      <c r="DF815" s="3262" t="s">
        <v>3262</v>
      </c>
      <c r="DG815" s="3262" t="s">
        <v>3262</v>
      </c>
      <c r="DH815" s="3262" t="s">
        <v>3262</v>
      </c>
      <c r="DI815" s="3262" t="s">
        <v>3262</v>
      </c>
      <c r="DJ815" s="3262" t="s">
        <v>3262</v>
      </c>
      <c r="DK815" s="3262" t="s">
        <v>3262</v>
      </c>
      <c r="DL815" s="3262" t="s">
        <v>3262</v>
      </c>
      <c r="DM815" s="3262" t="s">
        <v>3262</v>
      </c>
      <c r="DN815" s="3262" t="s">
        <v>3262</v>
      </c>
      <c r="DO815" s="3262" t="s">
        <v>3262</v>
      </c>
      <c r="DP815" s="3262" t="s">
        <v>3262</v>
      </c>
      <c r="DQ815" s="3262" t="s">
        <v>3262</v>
      </c>
      <c r="DR815" s="3262" t="s">
        <v>3262</v>
      </c>
      <c r="DS815" s="3262" t="s">
        <v>3262</v>
      </c>
      <c r="DT815" s="3262" t="s">
        <v>3262</v>
      </c>
      <c r="DU815" s="3262" t="s">
        <v>3262</v>
      </c>
      <c r="DV815" s="3262" t="s">
        <v>3262</v>
      </c>
      <c r="DW815" s="3262" t="s">
        <v>3262</v>
      </c>
      <c r="DX815" s="3262" t="s">
        <v>3262</v>
      </c>
      <c r="DY815" s="3262" t="s">
        <v>3262</v>
      </c>
      <c r="DZ815" s="3262" t="s">
        <v>3262</v>
      </c>
      <c r="EA815" s="3262" t="s">
        <v>3262</v>
      </c>
      <c r="EB815" s="3262" t="s">
        <v>3262</v>
      </c>
      <c r="EC815" s="3262" t="s">
        <v>3262</v>
      </c>
      <c r="ED815" s="3262" t="s">
        <v>3262</v>
      </c>
      <c r="EE815" s="3262" t="s">
        <v>3262</v>
      </c>
      <c r="EF815" s="3262" t="s">
        <v>3262</v>
      </c>
      <c r="EG815" s="3262" t="s">
        <v>3262</v>
      </c>
      <c r="EH815" s="3262" t="s">
        <v>3262</v>
      </c>
      <c r="EI815" s="3262" t="s">
        <v>3262</v>
      </c>
      <c r="EJ815" s="3262" t="s">
        <v>3262</v>
      </c>
      <c r="EK815" s="3262" t="s">
        <v>3262</v>
      </c>
      <c r="EL815" s="3262" t="s">
        <v>3262</v>
      </c>
      <c r="EM815" s="3262" t="s">
        <v>3262</v>
      </c>
      <c r="EN815" s="3262" t="s">
        <v>3262</v>
      </c>
      <c r="EO815" s="3262" t="s">
        <v>3262</v>
      </c>
      <c r="EP815" s="3262" t="s">
        <v>3262</v>
      </c>
      <c r="EQ815" s="3262" t="s">
        <v>3262</v>
      </c>
      <c r="ER815" s="3262" t="s">
        <v>3262</v>
      </c>
      <c r="ES815" s="3262" t="s">
        <v>3262</v>
      </c>
      <c r="ET815" s="3262" t="s">
        <v>3262</v>
      </c>
      <c r="EU815" s="3262" t="s">
        <v>3262</v>
      </c>
      <c r="EV815" s="3262" t="s">
        <v>3262</v>
      </c>
      <c r="EW815" s="3262" t="s">
        <v>3262</v>
      </c>
      <c r="EX815" s="3262" t="s">
        <v>3262</v>
      </c>
      <c r="EY815" s="3262" t="s">
        <v>3262</v>
      </c>
      <c r="EZ815" s="3262" t="s">
        <v>3262</v>
      </c>
      <c r="FA815" s="3262" t="s">
        <v>3262</v>
      </c>
      <c r="FB815" s="3262" t="s">
        <v>3262</v>
      </c>
      <c r="FC815" s="3262" t="s">
        <v>3262</v>
      </c>
      <c r="FD815" s="3262" t="s">
        <v>3262</v>
      </c>
      <c r="FE815" s="3262" t="s">
        <v>3262</v>
      </c>
      <c r="FF815" s="3262" t="s">
        <v>3262</v>
      </c>
      <c r="FG815" s="3262" t="s">
        <v>3262</v>
      </c>
      <c r="FH815" s="3262" t="s">
        <v>3262</v>
      </c>
      <c r="FI815" s="3262" t="s">
        <v>3262</v>
      </c>
      <c r="FJ815" s="3262" t="s">
        <v>3262</v>
      </c>
      <c r="FK815" s="3262" t="s">
        <v>3262</v>
      </c>
      <c r="FL815" s="3262" t="s">
        <v>3262</v>
      </c>
      <c r="FM815" s="3262" t="s">
        <v>3262</v>
      </c>
      <c r="FN815" s="3262" t="s">
        <v>3262</v>
      </c>
      <c r="FO815" s="3262" t="s">
        <v>3262</v>
      </c>
      <c r="FP815" s="3262" t="s">
        <v>3262</v>
      </c>
      <c r="FQ815" s="3262" t="s">
        <v>3262</v>
      </c>
      <c r="FR815" s="3262" t="s">
        <v>3262</v>
      </c>
      <c r="FS815" s="3262" t="s">
        <v>3262</v>
      </c>
      <c r="FT815" s="3262" t="s">
        <v>3262</v>
      </c>
      <c r="FU815" s="3262" t="s">
        <v>3262</v>
      </c>
      <c r="FV815" s="3262" t="s">
        <v>3262</v>
      </c>
      <c r="FW815" s="3262" t="s">
        <v>3262</v>
      </c>
      <c r="FX815" s="3262" t="s">
        <v>3262</v>
      </c>
      <c r="FY815" s="3262" t="s">
        <v>3262</v>
      </c>
      <c r="FZ815" s="3262" t="s">
        <v>3262</v>
      </c>
      <c r="GA815" s="3262" t="s">
        <v>3262</v>
      </c>
      <c r="GB815" s="3262" t="s">
        <v>3262</v>
      </c>
      <c r="GC815" s="3262" t="s">
        <v>3262</v>
      </c>
      <c r="GD815" s="3262" t="s">
        <v>3262</v>
      </c>
      <c r="GE815" s="3262" t="s">
        <v>3262</v>
      </c>
      <c r="GF815" s="3262" t="s">
        <v>3262</v>
      </c>
      <c r="GG815" s="3262" t="s">
        <v>3262</v>
      </c>
      <c r="GH815" s="3262" t="s">
        <v>3262</v>
      </c>
      <c r="GI815" s="3262" t="s">
        <v>3262</v>
      </c>
      <c r="GJ815" s="3262" t="s">
        <v>3262</v>
      </c>
      <c r="GK815" s="3262" t="s">
        <v>3262</v>
      </c>
      <c r="GL815" s="3262" t="s">
        <v>3262</v>
      </c>
      <c r="GM815" s="3262" t="s">
        <v>3262</v>
      </c>
      <c r="GN815" s="3262" t="s">
        <v>3262</v>
      </c>
      <c r="GO815" s="3262" t="s">
        <v>3262</v>
      </c>
      <c r="GP815" s="3262" t="s">
        <v>3262</v>
      </c>
      <c r="GQ815" s="3262" t="s">
        <v>3262</v>
      </c>
      <c r="GR815" s="3262" t="s">
        <v>3262</v>
      </c>
      <c r="GS815" s="3262" t="s">
        <v>3262</v>
      </c>
      <c r="GT815" s="3262" t="s">
        <v>3262</v>
      </c>
      <c r="GU815" s="3262" t="s">
        <v>3262</v>
      </c>
      <c r="GV815" s="3262" t="s">
        <v>3262</v>
      </c>
      <c r="GW815" s="3262" t="s">
        <v>3262</v>
      </c>
      <c r="GX815" s="3262" t="s">
        <v>3262</v>
      </c>
      <c r="GY815" s="3262" t="s">
        <v>3262</v>
      </c>
      <c r="GZ815" s="3262" t="s">
        <v>3262</v>
      </c>
      <c r="HA815" s="3262" t="s">
        <v>3262</v>
      </c>
      <c r="HB815" s="3262" t="s">
        <v>3262</v>
      </c>
      <c r="HC815" s="3262" t="s">
        <v>3262</v>
      </c>
      <c r="HD815" s="3262" t="s">
        <v>3262</v>
      </c>
      <c r="HE815" s="3262" t="s">
        <v>3262</v>
      </c>
      <c r="HF815" s="3262" t="s">
        <v>3262</v>
      </c>
      <c r="HG815" s="3262" t="s">
        <v>3262</v>
      </c>
      <c r="HH815" s="3262" t="s">
        <v>3262</v>
      </c>
      <c r="HI815" s="3262" t="s">
        <v>3262</v>
      </c>
      <c r="HJ815" s="3262" t="s">
        <v>3262</v>
      </c>
      <c r="HK815" s="3262" t="s">
        <v>3262</v>
      </c>
      <c r="HL815" s="3262" t="s">
        <v>3262</v>
      </c>
      <c r="HM815" s="3262" t="s">
        <v>3262</v>
      </c>
      <c r="HN815" s="3262" t="s">
        <v>3262</v>
      </c>
      <c r="HO815" s="3262" t="s">
        <v>3262</v>
      </c>
      <c r="HP815" s="3262" t="s">
        <v>3262</v>
      </c>
      <c r="HQ815" s="3262" t="s">
        <v>3262</v>
      </c>
      <c r="HR815" s="3262" t="s">
        <v>3262</v>
      </c>
      <c r="HS815" s="3262" t="s">
        <v>3262</v>
      </c>
      <c r="HT815" s="3262" t="s">
        <v>3262</v>
      </c>
      <c r="HU815" s="3262" t="s">
        <v>3262</v>
      </c>
      <c r="HV815" s="3262" t="s">
        <v>3262</v>
      </c>
      <c r="HW815" s="3262" t="s">
        <v>3262</v>
      </c>
      <c r="HX815" s="3262" t="s">
        <v>3262</v>
      </c>
      <c r="HY815" s="3262" t="s">
        <v>3262</v>
      </c>
      <c r="HZ815" s="3262" t="s">
        <v>3262</v>
      </c>
      <c r="IA815" s="3262" t="s">
        <v>3262</v>
      </c>
      <c r="IB815" s="3262" t="s">
        <v>3262</v>
      </c>
      <c r="IC815" s="3262" t="s">
        <v>3262</v>
      </c>
      <c r="ID815" s="3262" t="s">
        <v>3262</v>
      </c>
      <c r="IE815" s="3262" t="s">
        <v>3262</v>
      </c>
      <c r="IF815" s="3262" t="s">
        <v>3262</v>
      </c>
      <c r="IG815" s="3262" t="s">
        <v>3262</v>
      </c>
      <c r="IH815" s="3262" t="s">
        <v>3262</v>
      </c>
      <c r="II815" s="3262" t="s">
        <v>3262</v>
      </c>
      <c r="IJ815" s="3262" t="s">
        <v>3262</v>
      </c>
      <c r="IK815" s="3262" t="s">
        <v>3262</v>
      </c>
      <c r="IL815" s="3262" t="s">
        <v>3262</v>
      </c>
      <c r="IM815" s="3262" t="s">
        <v>3262</v>
      </c>
      <c r="IN815" s="3262" t="s">
        <v>3262</v>
      </c>
      <c r="IO815" s="3262" t="s">
        <v>3262</v>
      </c>
    </row>
    <row r="816" spans="1:16384" hidden="1">
      <c r="A816" s="3267" t="s">
        <v>8706</v>
      </c>
      <c r="B816" s="3267" t="s">
        <v>8707</v>
      </c>
      <c r="C816" s="3269" t="s">
        <v>8708</v>
      </c>
      <c r="D816" s="3268" t="s">
        <v>8709</v>
      </c>
      <c r="E816" s="3268" t="s">
        <v>2985</v>
      </c>
      <c r="F816" s="3268" t="s">
        <v>8710</v>
      </c>
      <c r="G816" s="3267"/>
      <c r="H816" s="3267" t="s">
        <v>3150</v>
      </c>
      <c r="I816" s="3267"/>
      <c r="J816" s="3269" t="s">
        <v>3168</v>
      </c>
      <c r="K816" s="3267" t="s">
        <v>8707</v>
      </c>
      <c r="L816" s="3267">
        <v>42.55</v>
      </c>
      <c r="M816" s="3267">
        <v>1</v>
      </c>
      <c r="N816" s="3267" t="s">
        <v>3152</v>
      </c>
      <c r="O816" s="3267"/>
      <c r="P816" s="3267" t="s">
        <v>2963</v>
      </c>
      <c r="Q816" s="3271">
        <v>438000</v>
      </c>
      <c r="R816" s="3267">
        <v>10294</v>
      </c>
      <c r="S816" s="3272">
        <v>38.79</v>
      </c>
      <c r="T816" s="3273">
        <v>387900</v>
      </c>
      <c r="U816" s="3267">
        <v>9118</v>
      </c>
      <c r="V816" s="3289">
        <v>0.2</v>
      </c>
      <c r="W816" s="3272">
        <v>31.03</v>
      </c>
      <c r="X816" s="3275">
        <v>310300</v>
      </c>
      <c r="Y816" s="3276">
        <v>2006</v>
      </c>
      <c r="Z816" s="3276">
        <v>12</v>
      </c>
      <c r="AA816" s="3267">
        <v>4</v>
      </c>
      <c r="AB816" s="3267">
        <v>1160</v>
      </c>
      <c r="AC816" s="3267" t="s">
        <v>2980</v>
      </c>
      <c r="AD816" s="3373">
        <v>91302006100110</v>
      </c>
      <c r="AE816" s="3276" t="s">
        <v>3304</v>
      </c>
      <c r="AF816" s="3269" t="s">
        <v>2966</v>
      </c>
      <c r="AG816" s="3269" t="s">
        <v>2967</v>
      </c>
      <c r="AH816" s="3267"/>
      <c r="AI816" s="3279" t="s">
        <v>2992</v>
      </c>
      <c r="AJ816" s="3284"/>
      <c r="AK816" s="3278" t="s">
        <v>3120</v>
      </c>
      <c r="AL816" s="3267">
        <v>50</v>
      </c>
      <c r="AM816" s="3276" t="s">
        <v>8711</v>
      </c>
      <c r="AN816" s="3279" t="s">
        <v>3131</v>
      </c>
      <c r="AO816" s="3276"/>
      <c r="AP816" s="3276" t="s">
        <v>4532</v>
      </c>
      <c r="AQ816" s="3267" t="s">
        <v>3228</v>
      </c>
      <c r="AR816" s="3269" t="s">
        <v>4007</v>
      </c>
      <c r="AS816" s="3269" t="s">
        <v>4029</v>
      </c>
      <c r="AT816" s="3276">
        <v>4</v>
      </c>
      <c r="AU816" s="3276"/>
      <c r="AV816" s="3276"/>
      <c r="AW816" s="3276" t="s">
        <v>3112</v>
      </c>
      <c r="AX816" s="3276"/>
      <c r="AY816" s="3291"/>
      <c r="AZ816" s="3276" t="s">
        <v>8712</v>
      </c>
      <c r="BA816" s="3276"/>
      <c r="BB816" s="3291"/>
      <c r="BC816" s="3276"/>
      <c r="BD816" s="3292"/>
      <c r="BE816" s="3276"/>
      <c r="BF816" s="3281"/>
      <c r="BG816" s="3299">
        <v>38999</v>
      </c>
      <c r="BH816" s="3276"/>
      <c r="BI816" s="3279" t="s">
        <v>4532</v>
      </c>
      <c r="BJ816" s="3299">
        <v>38999</v>
      </c>
      <c r="BK816" s="3283"/>
      <c r="BL816" s="3267" t="s">
        <v>2998</v>
      </c>
      <c r="BM816" s="3276" t="s">
        <v>2879</v>
      </c>
      <c r="BN816" s="3267" t="s">
        <v>2999</v>
      </c>
      <c r="BO816" s="3267" t="s">
        <v>8705</v>
      </c>
      <c r="BP816" s="3276"/>
      <c r="BQ816" s="3276" t="e">
        <v>#DIV/0!</v>
      </c>
      <c r="BR816" s="3276" t="e">
        <v>#DIV/0!</v>
      </c>
      <c r="BS816" s="3285"/>
      <c r="BT816" s="3285"/>
      <c r="BU816" s="3285"/>
    </row>
    <row r="817" spans="1:73" hidden="1">
      <c r="A817" s="3267" t="s">
        <v>8713</v>
      </c>
      <c r="B817" s="3267" t="s">
        <v>8714</v>
      </c>
      <c r="C817" s="3269" t="s">
        <v>8715</v>
      </c>
      <c r="D817" s="3269" t="s">
        <v>8716</v>
      </c>
      <c r="E817" s="3268" t="s">
        <v>2985</v>
      </c>
      <c r="F817" s="3268" t="s">
        <v>3813</v>
      </c>
      <c r="G817" s="3267"/>
      <c r="H817" s="3267" t="s">
        <v>3814</v>
      </c>
      <c r="I817" s="3268"/>
      <c r="J817" s="3267" t="s">
        <v>8717</v>
      </c>
      <c r="K817" s="3267" t="s">
        <v>8718</v>
      </c>
      <c r="L817" s="3267">
        <v>106.98</v>
      </c>
      <c r="M817" s="3267">
        <v>23</v>
      </c>
      <c r="N817" s="3267" t="s">
        <v>3125</v>
      </c>
      <c r="O817" s="3267">
        <v>84.42</v>
      </c>
      <c r="P817" s="3267" t="s">
        <v>2963</v>
      </c>
      <c r="Q817" s="3271">
        <v>700000</v>
      </c>
      <c r="R817" s="3267">
        <v>6543</v>
      </c>
      <c r="S817" s="3272">
        <v>62.17</v>
      </c>
      <c r="T817" s="3273">
        <v>621700</v>
      </c>
      <c r="U817" s="3267">
        <v>5812</v>
      </c>
      <c r="V817" s="3289">
        <v>0.3</v>
      </c>
      <c r="W817" s="3272">
        <v>43.51</v>
      </c>
      <c r="X817" s="3275">
        <v>435100</v>
      </c>
      <c r="Y817" s="3276">
        <v>2006</v>
      </c>
      <c r="Z817" s="3276">
        <v>11</v>
      </c>
      <c r="AA817" s="3276">
        <v>17</v>
      </c>
      <c r="AB817" s="3267">
        <v>1500</v>
      </c>
      <c r="AC817" s="3267" t="s">
        <v>2980</v>
      </c>
      <c r="AD817" s="3280" t="s">
        <v>8719</v>
      </c>
      <c r="AE817" s="3279" t="s">
        <v>3344</v>
      </c>
      <c r="AF817" s="3268" t="s">
        <v>2966</v>
      </c>
      <c r="AG817" s="3279" t="s">
        <v>2967</v>
      </c>
      <c r="AH817" s="3267"/>
      <c r="AI817" s="3279" t="s">
        <v>2992</v>
      </c>
      <c r="AJ817" s="3284"/>
      <c r="AK817" s="3278" t="s">
        <v>3137</v>
      </c>
      <c r="AL817" s="3276">
        <v>54</v>
      </c>
      <c r="AM817" s="3267" t="s">
        <v>8720</v>
      </c>
      <c r="AN817" s="3279" t="s">
        <v>3114</v>
      </c>
      <c r="AO817" s="3267"/>
      <c r="AP817" s="3279" t="s">
        <v>3537</v>
      </c>
      <c r="AQ817" s="3267" t="s">
        <v>3228</v>
      </c>
      <c r="AR817" s="3276"/>
      <c r="AS817" s="3276"/>
      <c r="AT817" s="3276"/>
      <c r="AU817" s="3276"/>
      <c r="AV817" s="3276"/>
      <c r="AW817" s="3276" t="s">
        <v>2997</v>
      </c>
      <c r="AX817" s="3276"/>
      <c r="AY817" s="3291"/>
      <c r="AZ817" s="3267" t="s">
        <v>8718</v>
      </c>
      <c r="BA817" s="3296"/>
      <c r="BB817" s="3297"/>
      <c r="BC817" s="3296"/>
      <c r="BD817" s="3298"/>
      <c r="BE817" s="3276">
        <v>13801160575</v>
      </c>
      <c r="BF817" s="3281"/>
      <c r="BG817" s="3293">
        <v>38980</v>
      </c>
      <c r="BH817" s="3267" t="s">
        <v>2998</v>
      </c>
      <c r="BI817" s="3276" t="s">
        <v>3537</v>
      </c>
      <c r="BJ817" s="3283">
        <v>38999</v>
      </c>
      <c r="BK817" s="3283"/>
      <c r="BL817" s="3267" t="s">
        <v>3249</v>
      </c>
      <c r="BM817" s="3276" t="s">
        <v>2879</v>
      </c>
      <c r="BN817" s="3276" t="s">
        <v>2999</v>
      </c>
      <c r="BO817" s="3276" t="s">
        <v>3146</v>
      </c>
      <c r="BP817" s="3276"/>
      <c r="BQ817" s="3276">
        <v>7364</v>
      </c>
      <c r="BR817" s="3276">
        <v>8292</v>
      </c>
      <c r="BS817" s="3285"/>
      <c r="BT817" s="3285"/>
      <c r="BU817" s="3285"/>
    </row>
    <row r="818" spans="1:73" hidden="1">
      <c r="A818" s="3267" t="s">
        <v>8721</v>
      </c>
      <c r="B818" s="3267" t="s">
        <v>8722</v>
      </c>
      <c r="C818" s="3269" t="s">
        <v>8723</v>
      </c>
      <c r="D818" s="3268">
        <v>13501221984</v>
      </c>
      <c r="E818" s="3267" t="s">
        <v>2985</v>
      </c>
      <c r="F818" s="3267" t="s">
        <v>3420</v>
      </c>
      <c r="G818" s="3267"/>
      <c r="H818" s="3270" t="s">
        <v>8724</v>
      </c>
      <c r="I818" s="3268"/>
      <c r="J818" s="3270" t="s">
        <v>7509</v>
      </c>
      <c r="K818" s="3267" t="s">
        <v>8725</v>
      </c>
      <c r="L818" s="3286">
        <v>76.650000000000006</v>
      </c>
      <c r="M818" s="3270">
        <v>8</v>
      </c>
      <c r="N818" s="3267" t="s">
        <v>3125</v>
      </c>
      <c r="O818" s="3267"/>
      <c r="P818" s="3267" t="s">
        <v>2963</v>
      </c>
      <c r="Q818" s="3287">
        <v>570000</v>
      </c>
      <c r="R818" s="3288">
        <v>7436</v>
      </c>
      <c r="S818" s="3272">
        <v>56.19</v>
      </c>
      <c r="T818" s="3273">
        <v>561900</v>
      </c>
      <c r="U818" s="3287">
        <v>7331</v>
      </c>
      <c r="V818" s="3289">
        <v>0.2</v>
      </c>
      <c r="W818" s="3272">
        <v>44.95</v>
      </c>
      <c r="X818" s="3273">
        <v>449500</v>
      </c>
      <c r="Y818" s="3276">
        <v>2006</v>
      </c>
      <c r="Z818" s="3276">
        <v>11</v>
      </c>
      <c r="AA818" s="3276">
        <v>17</v>
      </c>
      <c r="AB818" s="3267">
        <v>1500</v>
      </c>
      <c r="AC818" s="3267" t="s">
        <v>2980</v>
      </c>
      <c r="AD818" s="3269" t="s">
        <v>8726</v>
      </c>
      <c r="AE818" s="3276" t="s">
        <v>3069</v>
      </c>
      <c r="AF818" s="3267" t="s">
        <v>2966</v>
      </c>
      <c r="AG818" s="3267" t="s">
        <v>2967</v>
      </c>
      <c r="AH818" s="3267"/>
      <c r="AI818" s="3267" t="s">
        <v>2992</v>
      </c>
      <c r="AJ818" s="3270"/>
      <c r="AK818" s="3278" t="s">
        <v>3137</v>
      </c>
      <c r="AL818" s="3276" t="s">
        <v>5873</v>
      </c>
      <c r="AM818" s="3267" t="s">
        <v>8727</v>
      </c>
      <c r="AN818" s="3276" t="s">
        <v>3114</v>
      </c>
      <c r="AO818" s="3276"/>
      <c r="AP818" s="3276" t="s">
        <v>3069</v>
      </c>
      <c r="AQ818" s="3267" t="s">
        <v>3228</v>
      </c>
      <c r="AR818" s="3276">
        <v>2006</v>
      </c>
      <c r="AS818" s="3267">
        <v>11</v>
      </c>
      <c r="AT818" s="3267">
        <v>17</v>
      </c>
      <c r="AU818" s="3267"/>
      <c r="AV818" s="3267"/>
      <c r="AW818" s="3267" t="s">
        <v>2997</v>
      </c>
      <c r="AX818" s="3267"/>
      <c r="AY818" s="3279"/>
      <c r="AZ818" s="3267" t="s">
        <v>8725</v>
      </c>
      <c r="BA818" s="3267"/>
      <c r="BB818" s="3267"/>
      <c r="BC818" s="3267"/>
      <c r="BD818" s="3267"/>
      <c r="BE818" s="3267"/>
      <c r="BF818" s="3267"/>
      <c r="BG818" s="3290">
        <v>38622</v>
      </c>
      <c r="BH818" s="3267"/>
      <c r="BI818" s="3267" t="s">
        <v>3069</v>
      </c>
      <c r="BJ818" s="3283">
        <v>38999</v>
      </c>
      <c r="BK818" s="3284"/>
      <c r="BL818" s="3267" t="s">
        <v>2998</v>
      </c>
      <c r="BM818" s="3276" t="s">
        <v>2879</v>
      </c>
      <c r="BN818" s="3276" t="s">
        <v>2999</v>
      </c>
      <c r="BO818" s="3276" t="s">
        <v>3146</v>
      </c>
      <c r="BP818" s="3276"/>
      <c r="BQ818" s="3276"/>
      <c r="BR818" s="3276"/>
      <c r="BS818" s="3285"/>
      <c r="BT818" s="3285"/>
      <c r="BU818" s="3285"/>
    </row>
    <row r="819" spans="1:73" hidden="1">
      <c r="A819" s="3267" t="s">
        <v>8728</v>
      </c>
      <c r="B819" s="3267" t="s">
        <v>8729</v>
      </c>
      <c r="C819" s="3269" t="s">
        <v>8730</v>
      </c>
      <c r="D819" s="3269" t="s">
        <v>8731</v>
      </c>
      <c r="E819" s="3268" t="s">
        <v>2985</v>
      </c>
      <c r="F819" s="3268" t="s">
        <v>7571</v>
      </c>
      <c r="G819" s="3267"/>
      <c r="H819" s="3267" t="s">
        <v>3130</v>
      </c>
      <c r="I819" s="3268" t="s">
        <v>5767</v>
      </c>
      <c r="J819" s="3267" t="s">
        <v>8732</v>
      </c>
      <c r="K819" s="3267" t="s">
        <v>8733</v>
      </c>
      <c r="L819" s="3267">
        <v>44.8</v>
      </c>
      <c r="M819" s="3267">
        <v>8</v>
      </c>
      <c r="N819" s="3267" t="s">
        <v>3152</v>
      </c>
      <c r="O819" s="3267"/>
      <c r="P819" s="3267" t="s">
        <v>2963</v>
      </c>
      <c r="Q819" s="3271">
        <v>350000</v>
      </c>
      <c r="R819" s="3267">
        <v>7813</v>
      </c>
      <c r="S819" s="3272">
        <v>32.97</v>
      </c>
      <c r="T819" s="3273">
        <v>329700</v>
      </c>
      <c r="U819" s="3267">
        <v>7360</v>
      </c>
      <c r="V819" s="3289">
        <v>0.2</v>
      </c>
      <c r="W819" s="3272">
        <v>26.37</v>
      </c>
      <c r="X819" s="3275">
        <v>263700</v>
      </c>
      <c r="Y819" s="3276">
        <v>2006</v>
      </c>
      <c r="Z819" s="3276">
        <v>10</v>
      </c>
      <c r="AA819" s="3276">
        <v>30</v>
      </c>
      <c r="AB819" s="3267">
        <v>985</v>
      </c>
      <c r="AC819" s="3267" t="s">
        <v>2980</v>
      </c>
      <c r="AD819" s="3269" t="s">
        <v>8734</v>
      </c>
      <c r="AE819" s="3276" t="s">
        <v>3069</v>
      </c>
      <c r="AF819" s="3267" t="s">
        <v>2966</v>
      </c>
      <c r="AG819" s="3279" t="s">
        <v>2967</v>
      </c>
      <c r="AH819" s="3267" t="s">
        <v>2968</v>
      </c>
      <c r="AI819" s="3279" t="s">
        <v>2992</v>
      </c>
      <c r="AJ819" s="3284"/>
      <c r="AK819" s="3278" t="s">
        <v>3148</v>
      </c>
      <c r="AL819" s="3276" t="s">
        <v>8489</v>
      </c>
      <c r="AM819" s="3267"/>
      <c r="AN819" s="3279" t="s">
        <v>3099</v>
      </c>
      <c r="AO819" s="3267"/>
      <c r="AP819" s="3276" t="s">
        <v>3069</v>
      </c>
      <c r="AQ819" s="3267" t="s">
        <v>3113</v>
      </c>
      <c r="AR819" s="3276">
        <v>2006</v>
      </c>
      <c r="AS819" s="3276">
        <v>10</v>
      </c>
      <c r="AT819" s="3276">
        <v>30</v>
      </c>
      <c r="AU819" s="3276"/>
      <c r="AV819" s="3276" t="s">
        <v>2968</v>
      </c>
      <c r="AW819" s="3276" t="s">
        <v>3171</v>
      </c>
      <c r="AX819" s="3276"/>
      <c r="AY819" s="3291"/>
      <c r="AZ819" s="3267" t="s">
        <v>8733</v>
      </c>
      <c r="BA819" s="3296"/>
      <c r="BB819" s="3297"/>
      <c r="BC819" s="3296"/>
      <c r="BD819" s="3298"/>
      <c r="BE819" s="3276"/>
      <c r="BF819" s="3281" t="s">
        <v>2968</v>
      </c>
      <c r="BG819" s="3293">
        <v>38999</v>
      </c>
      <c r="BH819" s="3267"/>
      <c r="BI819" s="3267" t="s">
        <v>3069</v>
      </c>
      <c r="BJ819" s="3283">
        <v>38999</v>
      </c>
      <c r="BK819" s="3283"/>
      <c r="BL819" s="3267" t="s">
        <v>2998</v>
      </c>
      <c r="BM819" s="3276" t="s">
        <v>2879</v>
      </c>
      <c r="BN819" s="3276" t="s">
        <v>2999</v>
      </c>
      <c r="BO819" s="3276" t="s">
        <v>3146</v>
      </c>
      <c r="BP819" s="3276"/>
      <c r="BQ819" s="3276" t="e">
        <v>#DIV/0!</v>
      </c>
      <c r="BR819" s="3276" t="e">
        <v>#DIV/0!</v>
      </c>
      <c r="BS819" s="3285"/>
      <c r="BT819" s="3285"/>
      <c r="BU819" s="3285"/>
    </row>
    <row r="820" spans="1:73" hidden="1">
      <c r="A820" s="3267" t="s">
        <v>8735</v>
      </c>
      <c r="B820" s="3267" t="s">
        <v>8736</v>
      </c>
      <c r="C820" s="3269" t="s">
        <v>8737</v>
      </c>
      <c r="D820" s="3269" t="s">
        <v>8738</v>
      </c>
      <c r="E820" s="3268" t="s">
        <v>2985</v>
      </c>
      <c r="F820" s="3268" t="s">
        <v>3292</v>
      </c>
      <c r="G820" s="3267"/>
      <c r="H820" s="3267" t="s">
        <v>3402</v>
      </c>
      <c r="I820" s="3268" t="s">
        <v>3254</v>
      </c>
      <c r="J820" s="3267" t="s">
        <v>4136</v>
      </c>
      <c r="K820" s="3267" t="s">
        <v>8736</v>
      </c>
      <c r="L820" s="3267">
        <v>82.81</v>
      </c>
      <c r="M820" s="3267">
        <v>10</v>
      </c>
      <c r="N820" s="3267" t="s">
        <v>3122</v>
      </c>
      <c r="O820" s="3267">
        <v>65.900000000000006</v>
      </c>
      <c r="P820" s="3267" t="s">
        <v>2963</v>
      </c>
      <c r="Q820" s="3271">
        <v>538000</v>
      </c>
      <c r="R820" s="3267">
        <v>6497</v>
      </c>
      <c r="S820" s="3272">
        <v>47.73</v>
      </c>
      <c r="T820" s="3273">
        <v>477300</v>
      </c>
      <c r="U820" s="3267">
        <v>5764</v>
      </c>
      <c r="V820" s="3289">
        <v>0.2</v>
      </c>
      <c r="W820" s="3272">
        <v>38.18</v>
      </c>
      <c r="X820" s="3275">
        <v>381800</v>
      </c>
      <c r="Y820" s="3276">
        <v>2006</v>
      </c>
      <c r="Z820" s="3276">
        <v>12</v>
      </c>
      <c r="AA820" s="3276">
        <v>4</v>
      </c>
      <c r="AB820" s="3267">
        <v>1430</v>
      </c>
      <c r="AC820" s="3267" t="s">
        <v>2980</v>
      </c>
      <c r="AD820" s="3280" t="s">
        <v>8739</v>
      </c>
      <c r="AE820" s="3279" t="s">
        <v>3344</v>
      </c>
      <c r="AF820" s="3268" t="s">
        <v>2966</v>
      </c>
      <c r="AG820" s="3279" t="s">
        <v>2967</v>
      </c>
      <c r="AH820" s="3267"/>
      <c r="AI820" s="3279" t="s">
        <v>2992</v>
      </c>
      <c r="AJ820" s="3284"/>
      <c r="AK820" s="3278" t="s">
        <v>3120</v>
      </c>
      <c r="AL820" s="3276">
        <v>55</v>
      </c>
      <c r="AM820" s="3267" t="s">
        <v>8740</v>
      </c>
      <c r="AN820" s="3279" t="s">
        <v>3140</v>
      </c>
      <c r="AO820" s="3267"/>
      <c r="AP820" s="3279" t="s">
        <v>3305</v>
      </c>
      <c r="AQ820" s="3267" t="s">
        <v>3228</v>
      </c>
      <c r="AR820" s="3276"/>
      <c r="AS820" s="3276"/>
      <c r="AT820" s="3276"/>
      <c r="AU820" s="3276"/>
      <c r="AV820" s="3276"/>
      <c r="AW820" s="3276" t="s">
        <v>2997</v>
      </c>
      <c r="AX820" s="3276"/>
      <c r="AY820" s="3291"/>
      <c r="AZ820" s="3267" t="s">
        <v>8741</v>
      </c>
      <c r="BA820" s="3296"/>
      <c r="BB820" s="3297"/>
      <c r="BC820" s="3296"/>
      <c r="BD820" s="3298"/>
      <c r="BE820" s="3276">
        <v>13511021497</v>
      </c>
      <c r="BF820" s="3281"/>
      <c r="BG820" s="3293">
        <v>38985</v>
      </c>
      <c r="BH820" s="3267" t="s">
        <v>2998</v>
      </c>
      <c r="BI820" s="3314" t="s">
        <v>3305</v>
      </c>
      <c r="BJ820" s="3283">
        <v>38999</v>
      </c>
      <c r="BK820" s="3283"/>
      <c r="BL820" s="3267" t="s">
        <v>3249</v>
      </c>
      <c r="BM820" s="3276" t="s">
        <v>2879</v>
      </c>
      <c r="BN820" s="3276" t="s">
        <v>3111</v>
      </c>
      <c r="BO820" s="3276" t="s">
        <v>3146</v>
      </c>
      <c r="BP820" s="3276"/>
      <c r="BQ820" s="3276">
        <v>7243</v>
      </c>
      <c r="BR820" s="3276">
        <v>8164</v>
      </c>
      <c r="BS820" s="3285"/>
      <c r="BT820" s="3285"/>
      <c r="BU820" s="3285"/>
    </row>
    <row r="821" spans="1:73" hidden="1">
      <c r="A821" s="3267" t="s">
        <v>8742</v>
      </c>
      <c r="B821" s="3267" t="s">
        <v>8743</v>
      </c>
      <c r="C821" s="3267" t="s">
        <v>8744</v>
      </c>
      <c r="D821" s="3267" t="s">
        <v>8745</v>
      </c>
      <c r="E821" s="3267" t="s">
        <v>2985</v>
      </c>
      <c r="F821" s="3267" t="s">
        <v>3864</v>
      </c>
      <c r="G821" s="3267"/>
      <c r="H821" s="3267" t="s">
        <v>6364</v>
      </c>
      <c r="I821" s="3267"/>
      <c r="J821" s="3267" t="s">
        <v>3778</v>
      </c>
      <c r="K821" s="3267"/>
      <c r="L821" s="3267">
        <v>66.87</v>
      </c>
      <c r="M821" s="3267">
        <v>9</v>
      </c>
      <c r="N821" s="3267" t="s">
        <v>3152</v>
      </c>
      <c r="O821" s="3267"/>
      <c r="P821" s="3267" t="s">
        <v>2963</v>
      </c>
      <c r="Q821" s="3267">
        <v>475000</v>
      </c>
      <c r="R821" s="3267">
        <v>7103</v>
      </c>
      <c r="S821" s="3272">
        <v>42.12</v>
      </c>
      <c r="T821" s="3273">
        <v>421200</v>
      </c>
      <c r="U821" s="3267">
        <v>6299</v>
      </c>
      <c r="V821" s="3289">
        <v>0.2</v>
      </c>
      <c r="W821" s="3272">
        <v>33.69</v>
      </c>
      <c r="X821" s="3275">
        <v>336900</v>
      </c>
      <c r="Y821" s="3267">
        <v>2006</v>
      </c>
      <c r="Z821" s="3267">
        <v>10</v>
      </c>
      <c r="AA821" s="3267">
        <v>19</v>
      </c>
      <c r="AB821" s="3267">
        <v>1260</v>
      </c>
      <c r="AC821" s="3267" t="s">
        <v>2980</v>
      </c>
      <c r="AD821" s="3267">
        <v>91302006100169</v>
      </c>
      <c r="AE821" s="3267" t="s">
        <v>3487</v>
      </c>
      <c r="AF821" s="3267" t="s">
        <v>2966</v>
      </c>
      <c r="AG821" s="3267" t="s">
        <v>2967</v>
      </c>
      <c r="AH821" s="3267" t="s">
        <v>2968</v>
      </c>
      <c r="AI821" s="3267" t="s">
        <v>2992</v>
      </c>
      <c r="AJ821" s="3267"/>
      <c r="AK821" s="3267" t="s">
        <v>3148</v>
      </c>
      <c r="AL821" s="3267">
        <v>53</v>
      </c>
      <c r="AM821" s="3267" t="s">
        <v>8746</v>
      </c>
      <c r="AN821" s="3267" t="s">
        <v>3140</v>
      </c>
      <c r="AO821" s="3267" t="s">
        <v>2968</v>
      </c>
      <c r="AP821" s="3267" t="s">
        <v>3487</v>
      </c>
      <c r="AQ821" s="3267" t="s">
        <v>3113</v>
      </c>
      <c r="AR821" s="3267"/>
      <c r="AS821" s="3267"/>
      <c r="AT821" s="3267"/>
      <c r="AU821" s="3267"/>
      <c r="AV821" s="3267" t="s">
        <v>2968</v>
      </c>
      <c r="AW821" s="3267" t="s">
        <v>3171</v>
      </c>
      <c r="AX821" s="3267"/>
      <c r="AY821" s="3269"/>
      <c r="AZ821" s="3267"/>
      <c r="BA821" s="3267"/>
      <c r="BB821" s="3269"/>
      <c r="BC821" s="3267"/>
      <c r="BD821" s="3304"/>
      <c r="BE821" s="3267"/>
      <c r="BF821" s="3305"/>
      <c r="BG821" s="3284">
        <v>38998</v>
      </c>
      <c r="BH821" s="3267"/>
      <c r="BI821" s="3267" t="s">
        <v>3487</v>
      </c>
      <c r="BJ821" s="3303">
        <v>38999</v>
      </c>
      <c r="BK821" s="3303"/>
      <c r="BL821" s="3267" t="s">
        <v>2998</v>
      </c>
      <c r="BM821" s="3267"/>
      <c r="BN821" s="3267"/>
      <c r="BO821" s="3267"/>
      <c r="BP821" s="3267"/>
      <c r="BQ821" s="3276" t="e">
        <v>#DIV/0!</v>
      </c>
      <c r="BR821" s="3276" t="e">
        <v>#DIV/0!</v>
      </c>
      <c r="BS821" s="3285"/>
      <c r="BT821" s="3285"/>
      <c r="BU821" s="3285"/>
    </row>
    <row r="822" spans="1:73" hidden="1">
      <c r="A822" s="3267" t="s">
        <v>8747</v>
      </c>
      <c r="B822" s="3267" t="s">
        <v>8748</v>
      </c>
      <c r="C822" s="3269" t="s">
        <v>8749</v>
      </c>
      <c r="D822" s="3269" t="s">
        <v>8750</v>
      </c>
      <c r="E822" s="3268" t="s">
        <v>2985</v>
      </c>
      <c r="F822" s="3268" t="s">
        <v>3733</v>
      </c>
      <c r="G822" s="3267"/>
      <c r="H822" s="3268" t="s">
        <v>3139</v>
      </c>
      <c r="I822" s="3268"/>
      <c r="J822" s="3267" t="s">
        <v>8751</v>
      </c>
      <c r="K822" s="3267" t="s">
        <v>8752</v>
      </c>
      <c r="L822" s="3267">
        <v>55.59</v>
      </c>
      <c r="M822" s="3267">
        <v>5</v>
      </c>
      <c r="N822" s="3267" t="s">
        <v>3122</v>
      </c>
      <c r="O822" s="3267"/>
      <c r="P822" s="3267" t="s">
        <v>2963</v>
      </c>
      <c r="Q822" s="3271">
        <v>435000</v>
      </c>
      <c r="R822" s="3267">
        <v>7825</v>
      </c>
      <c r="S822" s="3272">
        <v>34.71</v>
      </c>
      <c r="T822" s="3273">
        <v>347100</v>
      </c>
      <c r="U822" s="3267">
        <v>6244</v>
      </c>
      <c r="V822" s="3289">
        <v>0.2</v>
      </c>
      <c r="W822" s="3272">
        <v>27.76</v>
      </c>
      <c r="X822" s="3275">
        <v>277600</v>
      </c>
      <c r="Y822" s="3276">
        <v>2006</v>
      </c>
      <c r="Z822" s="3276">
        <v>10</v>
      </c>
      <c r="AA822" s="3276">
        <v>26</v>
      </c>
      <c r="AB822" s="3267">
        <v>1040</v>
      </c>
      <c r="AC822" s="3267" t="s">
        <v>2980</v>
      </c>
      <c r="AD822" s="3280" t="s">
        <v>8753</v>
      </c>
      <c r="AE822" s="3279" t="s">
        <v>3344</v>
      </c>
      <c r="AF822" s="3268" t="s">
        <v>2966</v>
      </c>
      <c r="AG822" s="3279" t="s">
        <v>2967</v>
      </c>
      <c r="AH822" s="3267"/>
      <c r="AI822" s="3279" t="s">
        <v>2992</v>
      </c>
      <c r="AJ822" s="3284"/>
      <c r="AK822" s="3278" t="s">
        <v>3148</v>
      </c>
      <c r="AL822" s="3276">
        <v>37</v>
      </c>
      <c r="AM822" s="3267"/>
      <c r="AN822" s="3279" t="s">
        <v>3114</v>
      </c>
      <c r="AO822" s="3267"/>
      <c r="AP822" s="3279" t="s">
        <v>3305</v>
      </c>
      <c r="AQ822" s="3267" t="s">
        <v>3113</v>
      </c>
      <c r="AR822" s="3276"/>
      <c r="AS822" s="3276"/>
      <c r="AT822" s="3276"/>
      <c r="AU822" s="3276"/>
      <c r="AV822" s="3276"/>
      <c r="AW822" s="3276" t="s">
        <v>2997</v>
      </c>
      <c r="AX822" s="3276"/>
      <c r="AY822" s="3291"/>
      <c r="AZ822" s="3267" t="s">
        <v>8752</v>
      </c>
      <c r="BA822" s="3296"/>
      <c r="BB822" s="3297"/>
      <c r="BC822" s="3296"/>
      <c r="BD822" s="3298"/>
      <c r="BE822" s="3276" t="s">
        <v>8754</v>
      </c>
      <c r="BF822" s="3281"/>
      <c r="BG822" s="3293">
        <v>38977</v>
      </c>
      <c r="BH822" s="3267" t="s">
        <v>2998</v>
      </c>
      <c r="BI822" s="3314" t="s">
        <v>3305</v>
      </c>
      <c r="BJ822" s="3283">
        <v>38999</v>
      </c>
      <c r="BK822" s="3283"/>
      <c r="BL822" s="3267" t="s">
        <v>3249</v>
      </c>
      <c r="BM822" s="3276" t="s">
        <v>2879</v>
      </c>
      <c r="BN822" s="3276" t="s">
        <v>2999</v>
      </c>
      <c r="BO822" s="3276" t="s">
        <v>3146</v>
      </c>
      <c r="BP822" s="3276"/>
      <c r="BQ822" s="3276" t="e">
        <v>#DIV/0!</v>
      </c>
      <c r="BR822" s="3276" t="e">
        <v>#DIV/0!</v>
      </c>
      <c r="BS822" s="3285"/>
      <c r="BT822" s="3285"/>
      <c r="BU822" s="3285"/>
    </row>
    <row r="823" spans="1:73" hidden="1">
      <c r="A823" s="3267" t="s">
        <v>8755</v>
      </c>
      <c r="B823" s="3267" t="s">
        <v>8756</v>
      </c>
      <c r="C823" s="3269" t="s">
        <v>8757</v>
      </c>
      <c r="D823" s="3269" t="s">
        <v>8758</v>
      </c>
      <c r="E823" s="3267" t="s">
        <v>2985</v>
      </c>
      <c r="F823" s="3244" t="s">
        <v>8058</v>
      </c>
      <c r="G823" s="3267"/>
      <c r="H823" s="3267" t="s">
        <v>3379</v>
      </c>
      <c r="I823" s="3267" t="s">
        <v>3318</v>
      </c>
      <c r="J823" s="3269" t="s">
        <v>3151</v>
      </c>
      <c r="K823" s="3267" t="s">
        <v>8759</v>
      </c>
      <c r="L823" s="3267">
        <v>134.12</v>
      </c>
      <c r="M823" s="3267">
        <v>5</v>
      </c>
      <c r="N823" s="3267" t="s">
        <v>3129</v>
      </c>
      <c r="O823" s="3267">
        <v>121.64</v>
      </c>
      <c r="P823" s="3267" t="s">
        <v>2963</v>
      </c>
      <c r="Q823" s="3271">
        <v>443937</v>
      </c>
      <c r="R823" s="3267">
        <v>3310</v>
      </c>
      <c r="S823" s="3272">
        <v>44.39</v>
      </c>
      <c r="T823" s="3273">
        <v>443900</v>
      </c>
      <c r="U823" s="3267">
        <v>3310</v>
      </c>
      <c r="V823" s="3289">
        <v>0.3</v>
      </c>
      <c r="W823" s="3272">
        <v>31.07</v>
      </c>
      <c r="X823" s="3275">
        <v>310700</v>
      </c>
      <c r="Y823" s="3276">
        <v>2006</v>
      </c>
      <c r="Z823" s="3276">
        <v>11</v>
      </c>
      <c r="AA823" s="3276">
        <v>3</v>
      </c>
      <c r="AB823" s="3267">
        <v>1330</v>
      </c>
      <c r="AC823" s="3267" t="s">
        <v>2980</v>
      </c>
      <c r="AD823" s="3267">
        <v>91302006100267</v>
      </c>
      <c r="AE823" s="3267" t="s">
        <v>3396</v>
      </c>
      <c r="AF823" s="3267" t="s">
        <v>2966</v>
      </c>
      <c r="AG823" s="3279" t="s">
        <v>8060</v>
      </c>
      <c r="AH823" s="3267"/>
      <c r="AI823" s="3267" t="s">
        <v>2992</v>
      </c>
      <c r="AJ823" s="3284"/>
      <c r="AK823" s="3278" t="s">
        <v>3137</v>
      </c>
      <c r="AL823" s="3267">
        <v>47</v>
      </c>
      <c r="AM823" s="3276" t="s">
        <v>8760</v>
      </c>
      <c r="AN823" s="3267" t="s">
        <v>3131</v>
      </c>
      <c r="AO823" s="3276"/>
      <c r="AP823" s="3267" t="s">
        <v>3396</v>
      </c>
      <c r="AQ823" s="3267" t="s">
        <v>3228</v>
      </c>
      <c r="AR823" s="3276"/>
      <c r="AS823" s="3276"/>
      <c r="AT823" s="3276"/>
      <c r="AU823" s="3276"/>
      <c r="AV823" s="3276"/>
      <c r="AW823" s="3276" t="s">
        <v>2997</v>
      </c>
      <c r="AX823" s="3276"/>
      <c r="AY823" s="3291"/>
      <c r="AZ823" s="3276" t="s">
        <v>8761</v>
      </c>
      <c r="BA823" s="3276"/>
      <c r="BB823" s="3291"/>
      <c r="BC823" s="3276"/>
      <c r="BD823" s="3292"/>
      <c r="BE823" s="3276"/>
      <c r="BF823" s="3281"/>
      <c r="BG823" s="3299">
        <v>38999</v>
      </c>
      <c r="BH823" s="3276"/>
      <c r="BI823" s="3276" t="s">
        <v>3396</v>
      </c>
      <c r="BJ823" s="3283">
        <v>39000</v>
      </c>
      <c r="BK823" s="3299"/>
      <c r="BL823" s="3267" t="s">
        <v>2998</v>
      </c>
      <c r="BM823" s="3267" t="s">
        <v>2879</v>
      </c>
      <c r="BN823" s="3276" t="s">
        <v>2999</v>
      </c>
      <c r="BO823" s="3276"/>
      <c r="BP823" s="3276"/>
      <c r="BQ823" s="3276">
        <v>3649</v>
      </c>
      <c r="BR823" s="3276">
        <v>3650</v>
      </c>
      <c r="BS823" s="3285"/>
      <c r="BT823" s="3285"/>
      <c r="BU823" s="3285"/>
    </row>
    <row r="824" spans="1:73" hidden="1">
      <c r="A824" s="3267" t="s">
        <v>8762</v>
      </c>
      <c r="B824" s="3267" t="s">
        <v>8763</v>
      </c>
      <c r="C824" s="3269" t="s">
        <v>8764</v>
      </c>
      <c r="D824" s="3269" t="s">
        <v>8765</v>
      </c>
      <c r="E824" s="3268" t="s">
        <v>2985</v>
      </c>
      <c r="F824" s="3268" t="s">
        <v>3764</v>
      </c>
      <c r="G824" s="3267"/>
      <c r="H824" s="3267" t="s">
        <v>6258</v>
      </c>
      <c r="I824" s="3268" t="s">
        <v>3254</v>
      </c>
      <c r="J824" s="3267" t="s">
        <v>3151</v>
      </c>
      <c r="K824" s="3267" t="s">
        <v>8766</v>
      </c>
      <c r="L824" s="3267">
        <v>68</v>
      </c>
      <c r="M824" s="3267">
        <v>5</v>
      </c>
      <c r="N824" s="3267" t="s">
        <v>3122</v>
      </c>
      <c r="O824" s="3267"/>
      <c r="P824" s="3267" t="s">
        <v>2963</v>
      </c>
      <c r="Q824" s="3271">
        <v>400000</v>
      </c>
      <c r="R824" s="3267">
        <v>5882</v>
      </c>
      <c r="S824" s="3272">
        <v>39.799999999999997</v>
      </c>
      <c r="T824" s="3273">
        <v>398000</v>
      </c>
      <c r="U824" s="3267">
        <v>5854</v>
      </c>
      <c r="V824" s="3289">
        <v>0.2</v>
      </c>
      <c r="W824" s="3272">
        <v>31.84</v>
      </c>
      <c r="X824" s="3275">
        <v>318400</v>
      </c>
      <c r="Y824" s="3267">
        <v>2006</v>
      </c>
      <c r="Z824" s="3276">
        <v>10</v>
      </c>
      <c r="AA824" s="3276">
        <v>25</v>
      </c>
      <c r="AB824" s="3267">
        <v>1190</v>
      </c>
      <c r="AC824" s="3267" t="s">
        <v>2980</v>
      </c>
      <c r="AD824" s="3269" t="s">
        <v>8767</v>
      </c>
      <c r="AE824" s="3279" t="s">
        <v>3344</v>
      </c>
      <c r="AF824" s="3268" t="s">
        <v>2966</v>
      </c>
      <c r="AG824" s="3279" t="s">
        <v>2967</v>
      </c>
      <c r="AH824" s="3267"/>
      <c r="AI824" s="3279" t="s">
        <v>2992</v>
      </c>
      <c r="AJ824" s="3284"/>
      <c r="AK824" s="3278" t="s">
        <v>3148</v>
      </c>
      <c r="AL824" s="3276">
        <v>39</v>
      </c>
      <c r="AM824" s="3267"/>
      <c r="AN824" s="3279" t="s">
        <v>3099</v>
      </c>
      <c r="AO824" s="3267"/>
      <c r="AP824" s="3279" t="s">
        <v>4230</v>
      </c>
      <c r="AQ824" s="3267" t="s">
        <v>3113</v>
      </c>
      <c r="AR824" s="3276"/>
      <c r="AS824" s="3276"/>
      <c r="AT824" s="3276"/>
      <c r="AU824" s="3276"/>
      <c r="AV824" s="3276"/>
      <c r="AW824" s="3276" t="s">
        <v>2997</v>
      </c>
      <c r="AX824" s="3276"/>
      <c r="AY824" s="3291"/>
      <c r="AZ824" s="3267" t="s">
        <v>8766</v>
      </c>
      <c r="BA824" s="3296"/>
      <c r="BB824" s="3297"/>
      <c r="BC824" s="3296"/>
      <c r="BD824" s="3298"/>
      <c r="BE824" s="3276">
        <v>13671247989</v>
      </c>
      <c r="BF824" s="3281"/>
      <c r="BG824" s="3293">
        <v>39000</v>
      </c>
      <c r="BH824" s="3354" t="s">
        <v>2998</v>
      </c>
      <c r="BI824" s="3314" t="s">
        <v>4230</v>
      </c>
      <c r="BJ824" s="3283">
        <v>39001</v>
      </c>
      <c r="BK824" s="3283"/>
      <c r="BL824" s="3267" t="s">
        <v>3249</v>
      </c>
      <c r="BM824" s="3276" t="s">
        <v>2879</v>
      </c>
      <c r="BN824" s="3276" t="s">
        <v>2999</v>
      </c>
      <c r="BO824" s="3276" t="s">
        <v>3146</v>
      </c>
      <c r="BP824" s="3276"/>
      <c r="BQ824" s="3276" t="e">
        <v>#DIV/0!</v>
      </c>
      <c r="BR824" s="3276" t="e">
        <v>#DIV/0!</v>
      </c>
      <c r="BS824" s="3285"/>
      <c r="BT824" s="3285"/>
      <c r="BU824" s="3285"/>
    </row>
    <row r="825" spans="1:73" hidden="1">
      <c r="A825" s="3267" t="s">
        <v>8768</v>
      </c>
      <c r="B825" s="3267" t="s">
        <v>8769</v>
      </c>
      <c r="C825" s="3267" t="s">
        <v>8770</v>
      </c>
      <c r="D825" s="3267" t="s">
        <v>8771</v>
      </c>
      <c r="E825" s="3267" t="s">
        <v>2985</v>
      </c>
      <c r="F825" s="3267" t="s">
        <v>3533</v>
      </c>
      <c r="G825" s="3267"/>
      <c r="H825" s="3267" t="s">
        <v>3402</v>
      </c>
      <c r="I825" s="3267"/>
      <c r="J825" s="3267" t="s">
        <v>8772</v>
      </c>
      <c r="K825" s="3267"/>
      <c r="L825" s="3267">
        <v>62.8</v>
      </c>
      <c r="M825" s="3267">
        <v>12</v>
      </c>
      <c r="N825" s="3267" t="s">
        <v>3152</v>
      </c>
      <c r="O825" s="3267"/>
      <c r="P825" s="3267" t="s">
        <v>2963</v>
      </c>
      <c r="Q825" s="3267">
        <v>550000</v>
      </c>
      <c r="R825" s="3267">
        <v>8758</v>
      </c>
      <c r="S825" s="3272">
        <v>46.5</v>
      </c>
      <c r="T825" s="3273">
        <v>465000</v>
      </c>
      <c r="U825" s="3267">
        <v>7406</v>
      </c>
      <c r="V825" s="3289">
        <v>0.2</v>
      </c>
      <c r="W825" s="3272">
        <v>37.200000000000003</v>
      </c>
      <c r="X825" s="3275">
        <v>372000</v>
      </c>
      <c r="Y825" s="3267">
        <v>2006</v>
      </c>
      <c r="Z825" s="3267">
        <v>10</v>
      </c>
      <c r="AA825" s="3267">
        <v>25</v>
      </c>
      <c r="AB825" s="3267">
        <v>1395</v>
      </c>
      <c r="AC825" s="3267" t="s">
        <v>2980</v>
      </c>
      <c r="AD825" s="3267">
        <v>91302006100367</v>
      </c>
      <c r="AE825" s="3267" t="s">
        <v>3487</v>
      </c>
      <c r="AF825" s="3267" t="s">
        <v>2966</v>
      </c>
      <c r="AG825" s="3267" t="s">
        <v>2967</v>
      </c>
      <c r="AH825" s="3267" t="s">
        <v>2968</v>
      </c>
      <c r="AI825" s="3267" t="s">
        <v>2992</v>
      </c>
      <c r="AJ825" s="3267"/>
      <c r="AK825" s="3267" t="s">
        <v>3148</v>
      </c>
      <c r="AL825" s="3267">
        <v>58</v>
      </c>
      <c r="AM825" s="3267" t="s">
        <v>8773</v>
      </c>
      <c r="AN825" s="3267" t="s">
        <v>3140</v>
      </c>
      <c r="AO825" s="3267" t="s">
        <v>2968</v>
      </c>
      <c r="AP825" s="3267" t="s">
        <v>3487</v>
      </c>
      <c r="AQ825" s="3267" t="s">
        <v>3113</v>
      </c>
      <c r="AR825" s="3267"/>
      <c r="AS825" s="3267"/>
      <c r="AT825" s="3267"/>
      <c r="AU825" s="3267"/>
      <c r="AV825" s="3267" t="s">
        <v>2968</v>
      </c>
      <c r="AW825" s="3267" t="s">
        <v>3171</v>
      </c>
      <c r="AX825" s="3267"/>
      <c r="AY825" s="3269"/>
      <c r="AZ825" s="3267"/>
      <c r="BA825" s="3267"/>
      <c r="BB825" s="3269"/>
      <c r="BC825" s="3267"/>
      <c r="BD825" s="3304"/>
      <c r="BE825" s="3267"/>
      <c r="BF825" s="3305"/>
      <c r="BG825" s="3284">
        <v>39001</v>
      </c>
      <c r="BH825" s="3267"/>
      <c r="BI825" s="3267" t="s">
        <v>3487</v>
      </c>
      <c r="BJ825" s="3303">
        <v>39001</v>
      </c>
      <c r="BK825" s="3303"/>
      <c r="BL825" s="3267" t="s">
        <v>2998</v>
      </c>
      <c r="BM825" s="3267"/>
      <c r="BN825" s="3267"/>
      <c r="BO825" s="3267"/>
      <c r="BP825" s="3267"/>
      <c r="BQ825" s="3276" t="e">
        <v>#DIV/0!</v>
      </c>
      <c r="BR825" s="3276" t="e">
        <v>#DIV/0!</v>
      </c>
      <c r="BS825" s="3285"/>
      <c r="BT825" s="3285"/>
      <c r="BU825" s="3285"/>
    </row>
    <row r="826" spans="1:73">
      <c r="A826" s="3267" t="s">
        <v>8774</v>
      </c>
      <c r="B826" s="3267" t="s">
        <v>7268</v>
      </c>
      <c r="C826" s="3269" t="s">
        <v>8775</v>
      </c>
      <c r="D826" s="3269" t="s">
        <v>8776</v>
      </c>
      <c r="E826" s="3268" t="s">
        <v>2985</v>
      </c>
      <c r="F826" s="3268" t="s">
        <v>5306</v>
      </c>
      <c r="G826" s="3267"/>
      <c r="H826" s="3267" t="s">
        <v>3118</v>
      </c>
      <c r="I826" s="3268" t="s">
        <v>3318</v>
      </c>
      <c r="J826" s="3267" t="s">
        <v>3126</v>
      </c>
      <c r="K826" s="3267" t="s">
        <v>8777</v>
      </c>
      <c r="L826" s="3267">
        <v>57.89</v>
      </c>
      <c r="M826" s="3267">
        <v>6</v>
      </c>
      <c r="N826" s="3267" t="s">
        <v>3122</v>
      </c>
      <c r="O826" s="3267"/>
      <c r="P826" s="3267" t="s">
        <v>2963</v>
      </c>
      <c r="Q826" s="3271">
        <v>480000</v>
      </c>
      <c r="R826" s="3288">
        <v>8292</v>
      </c>
      <c r="S826" s="3272">
        <v>38.450000000000003</v>
      </c>
      <c r="T826" s="3273">
        <v>384500</v>
      </c>
      <c r="U826" s="3267">
        <v>6643</v>
      </c>
      <c r="V826" s="3289">
        <v>0.2</v>
      </c>
      <c r="W826" s="3272">
        <v>30.76</v>
      </c>
      <c r="X826" s="3273">
        <v>307600</v>
      </c>
      <c r="Y826" s="3267">
        <v>2006</v>
      </c>
      <c r="Z826" s="3276">
        <v>11</v>
      </c>
      <c r="AA826" s="3276">
        <v>1</v>
      </c>
      <c r="AB826" s="3267">
        <v>1150</v>
      </c>
      <c r="AC826" s="3267" t="s">
        <v>2980</v>
      </c>
      <c r="AD826" s="3280" t="s">
        <v>8778</v>
      </c>
      <c r="AE826" s="3279" t="s">
        <v>3344</v>
      </c>
      <c r="AF826" s="3268" t="s">
        <v>2966</v>
      </c>
      <c r="AG826" s="3279" t="s">
        <v>2967</v>
      </c>
      <c r="AH826" s="3267"/>
      <c r="AI826" s="3279" t="s">
        <v>2992</v>
      </c>
      <c r="AJ826" s="3284"/>
      <c r="AK826" s="3316" t="s">
        <v>3137</v>
      </c>
      <c r="AL826" s="3276">
        <v>38</v>
      </c>
      <c r="AM826" s="3267"/>
      <c r="AN826" s="3276" t="s">
        <v>3131</v>
      </c>
      <c r="AO826" s="3267"/>
      <c r="AP826" s="3276" t="s">
        <v>4230</v>
      </c>
      <c r="AQ826" s="3267" t="s">
        <v>3228</v>
      </c>
      <c r="AR826" s="3276"/>
      <c r="AS826" s="3276"/>
      <c r="AT826" s="3276"/>
      <c r="AU826" s="3276"/>
      <c r="AV826" s="3276"/>
      <c r="AW826" s="3276" t="s">
        <v>2997</v>
      </c>
      <c r="AX826" s="3276"/>
      <c r="AY826" s="3291"/>
      <c r="AZ826" s="3267" t="s">
        <v>8777</v>
      </c>
      <c r="BA826" s="3296"/>
      <c r="BB826" s="3297"/>
      <c r="BC826" s="3296"/>
      <c r="BD826" s="3298"/>
      <c r="BE826" s="3276">
        <v>13661388360</v>
      </c>
      <c r="BF826" s="3281"/>
      <c r="BG826" s="3293">
        <v>38928</v>
      </c>
      <c r="BH826" s="3267" t="s">
        <v>2998</v>
      </c>
      <c r="BI826" s="3276" t="s">
        <v>4230</v>
      </c>
      <c r="BJ826" s="3283">
        <v>39002</v>
      </c>
      <c r="BK826" s="3283"/>
      <c r="BL826" s="3267" t="s">
        <v>3249</v>
      </c>
      <c r="BM826" s="3276" t="s">
        <v>2879</v>
      </c>
      <c r="BN826" s="3276" t="s">
        <v>2999</v>
      </c>
      <c r="BO826" s="3276" t="s">
        <v>3146</v>
      </c>
      <c r="BP826" s="3276"/>
      <c r="BQ826" s="3276" t="e">
        <v>#DIV/0!</v>
      </c>
      <c r="BR826" s="3276" t="e">
        <v>#DIV/0!</v>
      </c>
      <c r="BS826" s="3285"/>
      <c r="BT826" s="3285"/>
      <c r="BU826" s="3285"/>
    </row>
    <row r="827" spans="1:73" hidden="1">
      <c r="A827" s="3267" t="s">
        <v>8779</v>
      </c>
      <c r="B827" s="3267" t="s">
        <v>8780</v>
      </c>
      <c r="C827" s="3269" t="s">
        <v>8781</v>
      </c>
      <c r="D827" s="3269" t="s">
        <v>8782</v>
      </c>
      <c r="E827" s="3268" t="s">
        <v>2985</v>
      </c>
      <c r="F827" s="3268" t="s">
        <v>4129</v>
      </c>
      <c r="G827" s="3267"/>
      <c r="H827" s="3268" t="s">
        <v>3127</v>
      </c>
      <c r="I827" s="3268" t="s">
        <v>4038</v>
      </c>
      <c r="J827" s="3267" t="s">
        <v>4886</v>
      </c>
      <c r="K827" s="3267" t="s">
        <v>8783</v>
      </c>
      <c r="L827" s="3267">
        <v>70.27</v>
      </c>
      <c r="M827" s="3267">
        <v>2</v>
      </c>
      <c r="N827" s="3267" t="s">
        <v>3122</v>
      </c>
      <c r="O827" s="3267" t="s">
        <v>2968</v>
      </c>
      <c r="P827" s="3267" t="s">
        <v>2963</v>
      </c>
      <c r="Q827" s="3271">
        <v>410000</v>
      </c>
      <c r="R827" s="3267">
        <v>5835</v>
      </c>
      <c r="S827" s="3272">
        <v>33.43</v>
      </c>
      <c r="T827" s="3273">
        <v>334300</v>
      </c>
      <c r="U827" s="3267">
        <v>4758</v>
      </c>
      <c r="V827" s="3289">
        <v>0.2</v>
      </c>
      <c r="W827" s="3272">
        <v>26.74</v>
      </c>
      <c r="X827" s="3275">
        <v>267400</v>
      </c>
      <c r="Y827" s="3276">
        <v>2006</v>
      </c>
      <c r="Z827" s="3276">
        <v>12</v>
      </c>
      <c r="AA827" s="3276">
        <v>13</v>
      </c>
      <c r="AB827" s="3267">
        <v>1000</v>
      </c>
      <c r="AC827" s="3267" t="s">
        <v>2980</v>
      </c>
      <c r="AD827" s="3280" t="s">
        <v>8784</v>
      </c>
      <c r="AE827" s="3276" t="s">
        <v>3069</v>
      </c>
      <c r="AF827" s="3268" t="s">
        <v>2966</v>
      </c>
      <c r="AG827" s="3279" t="s">
        <v>2967</v>
      </c>
      <c r="AH827" s="3267" t="s">
        <v>2968</v>
      </c>
      <c r="AI827" s="3279" t="s">
        <v>2992</v>
      </c>
      <c r="AJ827" s="3284"/>
      <c r="AK827" s="3278" t="s">
        <v>3120</v>
      </c>
      <c r="AL827" s="3276" t="s">
        <v>8785</v>
      </c>
      <c r="AM827" s="3267" t="s">
        <v>8786</v>
      </c>
      <c r="AN827" s="3279" t="s">
        <v>3114</v>
      </c>
      <c r="AO827" s="3267"/>
      <c r="AP827" s="3276" t="s">
        <v>3069</v>
      </c>
      <c r="AQ827" s="3267" t="s">
        <v>3228</v>
      </c>
      <c r="AR827" s="3276">
        <v>2006</v>
      </c>
      <c r="AS827" s="3276">
        <v>12</v>
      </c>
      <c r="AT827" s="3276">
        <v>13</v>
      </c>
      <c r="AU827" s="3276"/>
      <c r="AV827" s="3276"/>
      <c r="AW827" s="3276" t="s">
        <v>3119</v>
      </c>
      <c r="AX827" s="3276"/>
      <c r="AY827" s="3291"/>
      <c r="AZ827" s="3267" t="s">
        <v>8780</v>
      </c>
      <c r="BA827" s="3296"/>
      <c r="BB827" s="3297"/>
      <c r="BC827" s="3296"/>
      <c r="BD827" s="3298"/>
      <c r="BE827" s="3276"/>
      <c r="BF827" s="3281"/>
      <c r="BG827" s="3293">
        <v>39003</v>
      </c>
      <c r="BH827" s="3267"/>
      <c r="BI827" s="3267" t="s">
        <v>3069</v>
      </c>
      <c r="BJ827" s="3283">
        <v>39003</v>
      </c>
      <c r="BK827" s="3283"/>
      <c r="BL827" s="3267" t="s">
        <v>2998</v>
      </c>
      <c r="BM827" s="3276" t="s">
        <v>2879</v>
      </c>
      <c r="BN827" s="3276" t="s">
        <v>2999</v>
      </c>
      <c r="BO827" s="3276" t="s">
        <v>3146</v>
      </c>
      <c r="BP827" s="3276"/>
      <c r="BQ827" s="3276" t="e">
        <v>#VALUE!</v>
      </c>
      <c r="BR827" s="3276" t="e">
        <v>#VALUE!</v>
      </c>
      <c r="BS827" s="3285"/>
      <c r="BT827" s="3285"/>
      <c r="BU827" s="3285"/>
    </row>
    <row r="828" spans="1:73" hidden="1">
      <c r="A828" s="3267" t="s">
        <v>8787</v>
      </c>
      <c r="B828" s="3267" t="s">
        <v>8788</v>
      </c>
      <c r="C828" s="3269" t="s">
        <v>8789</v>
      </c>
      <c r="D828" s="3267">
        <v>13161613505</v>
      </c>
      <c r="E828" s="3267" t="s">
        <v>2985</v>
      </c>
      <c r="F828" s="3267" t="s">
        <v>4916</v>
      </c>
      <c r="G828" s="3267"/>
      <c r="H828" s="3267" t="s">
        <v>3136</v>
      </c>
      <c r="I828" s="3267"/>
      <c r="J828" s="3267" t="s">
        <v>4531</v>
      </c>
      <c r="K828" s="3267" t="s">
        <v>8790</v>
      </c>
      <c r="L828" s="3267">
        <v>72.7</v>
      </c>
      <c r="M828" s="3267">
        <v>9</v>
      </c>
      <c r="N828" s="3267" t="s">
        <v>3098</v>
      </c>
      <c r="O828" s="3267"/>
      <c r="P828" s="3267" t="s">
        <v>2963</v>
      </c>
      <c r="Q828" s="3267">
        <v>610000</v>
      </c>
      <c r="R828" s="3267">
        <v>8391</v>
      </c>
      <c r="S828" s="3272">
        <v>49.66</v>
      </c>
      <c r="T828" s="3273">
        <v>496599.99999999994</v>
      </c>
      <c r="U828" s="3267">
        <v>6832</v>
      </c>
      <c r="V828" s="3289">
        <v>0.2</v>
      </c>
      <c r="W828" s="3272">
        <v>39.72</v>
      </c>
      <c r="X828" s="3275">
        <v>397200</v>
      </c>
      <c r="Y828" s="3267">
        <v>2006</v>
      </c>
      <c r="Z828" s="3267">
        <v>10</v>
      </c>
      <c r="AA828" s="3267">
        <v>31</v>
      </c>
      <c r="AB828" s="3267">
        <v>1485</v>
      </c>
      <c r="AC828" s="3267" t="s">
        <v>2980</v>
      </c>
      <c r="AD828" s="3280" t="s">
        <v>8791</v>
      </c>
      <c r="AE828" s="3276" t="s">
        <v>3069</v>
      </c>
      <c r="AF828" s="3267" t="s">
        <v>2966</v>
      </c>
      <c r="AG828" s="3267" t="s">
        <v>2967</v>
      </c>
      <c r="AH828" s="3267" t="s">
        <v>2968</v>
      </c>
      <c r="AI828" s="3279" t="s">
        <v>2992</v>
      </c>
      <c r="AJ828" s="3267"/>
      <c r="AK828" s="3278" t="s">
        <v>3148</v>
      </c>
      <c r="AL828" s="3267" t="s">
        <v>5837</v>
      </c>
      <c r="AM828" s="3267"/>
      <c r="AN828" s="3267" t="s">
        <v>3099</v>
      </c>
      <c r="AO828" s="3267" t="s">
        <v>2968</v>
      </c>
      <c r="AP828" s="3276" t="s">
        <v>3069</v>
      </c>
      <c r="AQ828" s="3267" t="s">
        <v>3113</v>
      </c>
      <c r="AR828" s="3267">
        <v>2006</v>
      </c>
      <c r="AS828" s="3267">
        <v>10</v>
      </c>
      <c r="AT828" s="3267">
        <v>31</v>
      </c>
      <c r="AU828" s="3267"/>
      <c r="AV828" s="3267" t="s">
        <v>2968</v>
      </c>
      <c r="AW828" s="3267" t="s">
        <v>3171</v>
      </c>
      <c r="AX828" s="3267"/>
      <c r="AY828" s="3269"/>
      <c r="AZ828" s="3267" t="s">
        <v>8790</v>
      </c>
      <c r="BA828" s="3267"/>
      <c r="BB828" s="3269"/>
      <c r="BC828" s="3267"/>
      <c r="BD828" s="3304"/>
      <c r="BE828" s="3267"/>
      <c r="BF828" s="3305"/>
      <c r="BG828" s="3284">
        <v>39001</v>
      </c>
      <c r="BH828" s="3267"/>
      <c r="BI828" s="3267" t="s">
        <v>3069</v>
      </c>
      <c r="BJ828" s="3303">
        <v>39003</v>
      </c>
      <c r="BK828" s="3303" t="s">
        <v>2968</v>
      </c>
      <c r="BL828" s="3267" t="s">
        <v>2998</v>
      </c>
      <c r="BM828" s="3267" t="s">
        <v>2879</v>
      </c>
      <c r="BN828" s="3267" t="s">
        <v>3111</v>
      </c>
      <c r="BO828" s="3267" t="s">
        <v>3446</v>
      </c>
      <c r="BP828" s="3267"/>
      <c r="BQ828" s="3267" t="e">
        <v>#DIV/0!</v>
      </c>
      <c r="BR828" s="3267" t="e">
        <v>#DIV/0!</v>
      </c>
      <c r="BS828" s="3285"/>
      <c r="BT828" s="3285"/>
      <c r="BU828" s="3285"/>
    </row>
    <row r="829" spans="1:73" hidden="1">
      <c r="A829" s="3267" t="s">
        <v>8792</v>
      </c>
      <c r="B829" s="3267" t="s">
        <v>8793</v>
      </c>
      <c r="C829" s="3269" t="s">
        <v>8794</v>
      </c>
      <c r="D829" s="3269" t="s">
        <v>8795</v>
      </c>
      <c r="E829" s="3268" t="s">
        <v>2985</v>
      </c>
      <c r="F829" s="3268" t="s">
        <v>4786</v>
      </c>
      <c r="G829" s="3267"/>
      <c r="H829" s="3268" t="s">
        <v>3964</v>
      </c>
      <c r="I829" s="3268" t="s">
        <v>3436</v>
      </c>
      <c r="J829" s="3267" t="s">
        <v>3958</v>
      </c>
      <c r="K829" s="3267" t="s">
        <v>8793</v>
      </c>
      <c r="L829" s="3267">
        <v>86.75</v>
      </c>
      <c r="M829" s="3267">
        <v>1</v>
      </c>
      <c r="N829" s="3267" t="s">
        <v>3098</v>
      </c>
      <c r="O829" s="3267">
        <v>77.8</v>
      </c>
      <c r="P829" s="3267" t="s">
        <v>2963</v>
      </c>
      <c r="Q829" s="3271">
        <v>620000</v>
      </c>
      <c r="R829" s="3267">
        <v>7147</v>
      </c>
      <c r="S829" s="3272">
        <v>55.52</v>
      </c>
      <c r="T829" s="3273">
        <v>555200</v>
      </c>
      <c r="U829" s="3267">
        <v>6400</v>
      </c>
      <c r="V829" s="3289">
        <v>0.2</v>
      </c>
      <c r="W829" s="3272">
        <v>44.41</v>
      </c>
      <c r="X829" s="3275">
        <v>444100</v>
      </c>
      <c r="Y829" s="3276">
        <v>2006</v>
      </c>
      <c r="Z829" s="3276">
        <v>12</v>
      </c>
      <c r="AA829" s="3276">
        <v>7</v>
      </c>
      <c r="AB829" s="3267">
        <v>1500</v>
      </c>
      <c r="AC829" s="3267" t="s">
        <v>2980</v>
      </c>
      <c r="AD829" s="3269" t="s">
        <v>8796</v>
      </c>
      <c r="AE829" s="3279" t="s">
        <v>3245</v>
      </c>
      <c r="AF829" s="3268" t="s">
        <v>2966</v>
      </c>
      <c r="AG829" s="3279" t="s">
        <v>2967</v>
      </c>
      <c r="AH829" s="3267" t="s">
        <v>8797</v>
      </c>
      <c r="AI829" s="3279" t="s">
        <v>2992</v>
      </c>
      <c r="AJ829" s="3284"/>
      <c r="AK829" s="3278" t="s">
        <v>3120</v>
      </c>
      <c r="AL829" s="3276">
        <v>43</v>
      </c>
      <c r="AM829" s="3276" t="s">
        <v>8798</v>
      </c>
      <c r="AN829" s="3279" t="s">
        <v>3140</v>
      </c>
      <c r="AO829" s="3267"/>
      <c r="AP829" s="3279" t="s">
        <v>3305</v>
      </c>
      <c r="AQ829" s="3267" t="s">
        <v>3228</v>
      </c>
      <c r="AR829" s="3276"/>
      <c r="AS829" s="3276"/>
      <c r="AT829" s="3276"/>
      <c r="AU829" s="3276"/>
      <c r="AV829" s="3276"/>
      <c r="AW829" s="3267" t="s">
        <v>3119</v>
      </c>
      <c r="AX829" s="3276"/>
      <c r="AY829" s="3291"/>
      <c r="AZ829" s="3267" t="s">
        <v>8799</v>
      </c>
      <c r="BA829" s="3296"/>
      <c r="BB829" s="3297"/>
      <c r="BC829" s="3296"/>
      <c r="BD829" s="3298"/>
      <c r="BE829" s="3276" t="s">
        <v>8800</v>
      </c>
      <c r="BF829" s="3281"/>
      <c r="BG829" s="3293">
        <v>38985</v>
      </c>
      <c r="BH829" s="3267" t="s">
        <v>2998</v>
      </c>
      <c r="BI829" s="3279" t="s">
        <v>3305</v>
      </c>
      <c r="BJ829" s="3293">
        <v>39006</v>
      </c>
      <c r="BK829" s="3283"/>
      <c r="BL829" s="3267" t="s">
        <v>3249</v>
      </c>
      <c r="BM829" s="3276" t="s">
        <v>2879</v>
      </c>
      <c r="BN829" s="3276" t="s">
        <v>2999</v>
      </c>
      <c r="BO829" s="3276" t="s">
        <v>3146</v>
      </c>
      <c r="BP829" s="3276"/>
      <c r="BQ829" s="3276">
        <v>7136</v>
      </c>
      <c r="BR829" s="3276">
        <v>7969</v>
      </c>
      <c r="BS829" s="3285"/>
      <c r="BT829" s="3285"/>
      <c r="BU829" s="3285"/>
    </row>
    <row r="830" spans="1:73" hidden="1">
      <c r="A830" s="3267" t="s">
        <v>8801</v>
      </c>
      <c r="B830" s="3267" t="s">
        <v>8802</v>
      </c>
      <c r="C830" s="3269" t="s">
        <v>8803</v>
      </c>
      <c r="D830" s="3269" t="s">
        <v>8804</v>
      </c>
      <c r="E830" s="3267" t="s">
        <v>2985</v>
      </c>
      <c r="F830" s="3268" t="s">
        <v>8805</v>
      </c>
      <c r="G830" s="3267"/>
      <c r="H830" s="3267" t="s">
        <v>8806</v>
      </c>
      <c r="I830" s="3267" t="s">
        <v>3318</v>
      </c>
      <c r="J830" s="3269" t="s">
        <v>3165</v>
      </c>
      <c r="K830" s="3267" t="s">
        <v>8807</v>
      </c>
      <c r="L830" s="3267">
        <v>64.25</v>
      </c>
      <c r="M830" s="3267">
        <v>6</v>
      </c>
      <c r="N830" s="3267" t="s">
        <v>3122</v>
      </c>
      <c r="O830" s="3267"/>
      <c r="P830" s="3268" t="s">
        <v>2963</v>
      </c>
      <c r="Q830" s="3271">
        <v>310000</v>
      </c>
      <c r="R830" s="3267">
        <v>4825</v>
      </c>
      <c r="S830" s="3272">
        <v>29.58</v>
      </c>
      <c r="T830" s="3273">
        <v>295800</v>
      </c>
      <c r="U830" s="3267">
        <v>4604</v>
      </c>
      <c r="V830" s="3289">
        <v>0.2</v>
      </c>
      <c r="W830" s="3272">
        <v>23.66</v>
      </c>
      <c r="X830" s="3273">
        <v>236600</v>
      </c>
      <c r="Y830" s="3276">
        <v>2006</v>
      </c>
      <c r="Z830" s="3267">
        <v>11</v>
      </c>
      <c r="AA830" s="3276">
        <v>28</v>
      </c>
      <c r="AB830" s="3267">
        <v>885</v>
      </c>
      <c r="AC830" s="3267" t="s">
        <v>2980</v>
      </c>
      <c r="AD830" s="3269" t="s">
        <v>8808</v>
      </c>
      <c r="AE830" s="3268" t="s">
        <v>3180</v>
      </c>
      <c r="AF830" s="3267" t="s">
        <v>2966</v>
      </c>
      <c r="AG830" s="3279" t="s">
        <v>2967</v>
      </c>
      <c r="AH830" s="3267" t="s">
        <v>8809</v>
      </c>
      <c r="AI830" s="3279" t="s">
        <v>2992</v>
      </c>
      <c r="AJ830" s="3284"/>
      <c r="AK830" s="3278" t="s">
        <v>3137</v>
      </c>
      <c r="AL830" s="3276">
        <v>42</v>
      </c>
      <c r="AM830" s="3276"/>
      <c r="AN830" s="3279" t="s">
        <v>3099</v>
      </c>
      <c r="AO830" s="3276"/>
      <c r="AP830" s="3267" t="s">
        <v>3180</v>
      </c>
      <c r="AQ830" s="3276" t="s">
        <v>3113</v>
      </c>
      <c r="AR830" s="3276"/>
      <c r="AS830" s="3276"/>
      <c r="AT830" s="3276"/>
      <c r="AU830" s="3276"/>
      <c r="AV830" s="3276"/>
      <c r="AW830" s="3267" t="s">
        <v>2997</v>
      </c>
      <c r="AX830" s="3276"/>
      <c r="AY830" s="3291"/>
      <c r="AZ830" s="3276" t="s">
        <v>8807</v>
      </c>
      <c r="BA830" s="3276"/>
      <c r="BB830" s="3291"/>
      <c r="BC830" s="3276"/>
      <c r="BD830" s="3292"/>
      <c r="BE830" s="3276"/>
      <c r="BF830" s="3281"/>
      <c r="BG830" s="3299">
        <v>39000</v>
      </c>
      <c r="BH830" s="3276"/>
      <c r="BI830" s="3276" t="s">
        <v>3180</v>
      </c>
      <c r="BJ830" s="3283">
        <v>39007</v>
      </c>
      <c r="BK830" s="3283"/>
      <c r="BL830" s="3267" t="s">
        <v>2998</v>
      </c>
      <c r="BM830" s="3276" t="s">
        <v>2999</v>
      </c>
      <c r="BN830" s="3276" t="s">
        <v>2879</v>
      </c>
      <c r="BO830" s="3276" t="s">
        <v>3000</v>
      </c>
      <c r="BP830" s="3276"/>
      <c r="BQ830" s="3276" t="e">
        <v>#DIV/0!</v>
      </c>
      <c r="BR830" s="3276" t="e">
        <v>#DIV/0!</v>
      </c>
      <c r="BS830" s="3285"/>
      <c r="BT830" s="3285"/>
      <c r="BU830" s="3285"/>
    </row>
    <row r="831" spans="1:73" hidden="1">
      <c r="A831" s="3267" t="s">
        <v>8810</v>
      </c>
      <c r="B831" s="3267" t="s">
        <v>8811</v>
      </c>
      <c r="C831" s="3269" t="s">
        <v>8812</v>
      </c>
      <c r="D831" s="3269" t="s">
        <v>8813</v>
      </c>
      <c r="E831" s="3267" t="s">
        <v>2985</v>
      </c>
      <c r="F831" s="3244" t="s">
        <v>7420</v>
      </c>
      <c r="G831" s="3267"/>
      <c r="H831" s="3267" t="s">
        <v>3136</v>
      </c>
      <c r="I831" s="3267" t="s">
        <v>3458</v>
      </c>
      <c r="J831" s="3269" t="s">
        <v>3165</v>
      </c>
      <c r="K831" s="3267" t="s">
        <v>8814</v>
      </c>
      <c r="L831" s="3267">
        <v>55.35</v>
      </c>
      <c r="M831" s="3267">
        <v>6</v>
      </c>
      <c r="N831" s="3267" t="s">
        <v>3122</v>
      </c>
      <c r="O831" s="3267"/>
      <c r="P831" s="3268" t="s">
        <v>2963</v>
      </c>
      <c r="Q831" s="3271">
        <v>360000</v>
      </c>
      <c r="R831" s="3267">
        <v>6504</v>
      </c>
      <c r="S831" s="3272">
        <v>27.04</v>
      </c>
      <c r="T831" s="3273">
        <v>270400</v>
      </c>
      <c r="U831" s="3267">
        <v>4887</v>
      </c>
      <c r="V831" s="3274">
        <v>0.2</v>
      </c>
      <c r="W831" s="3272">
        <v>21.63</v>
      </c>
      <c r="X831" s="3275">
        <v>216300</v>
      </c>
      <c r="Y831" s="3276">
        <v>2006</v>
      </c>
      <c r="Z831" s="3276">
        <v>11</v>
      </c>
      <c r="AA831" s="3276">
        <v>7</v>
      </c>
      <c r="AB831" s="3267">
        <v>810</v>
      </c>
      <c r="AC831" s="3267" t="s">
        <v>2980</v>
      </c>
      <c r="AD831" s="3269" t="s">
        <v>8815</v>
      </c>
      <c r="AE831" s="3279" t="s">
        <v>3304</v>
      </c>
      <c r="AF831" s="3267" t="s">
        <v>2966</v>
      </c>
      <c r="AG831" s="3279" t="s">
        <v>2967</v>
      </c>
      <c r="AH831" s="3267"/>
      <c r="AI831" s="3279" t="s">
        <v>2992</v>
      </c>
      <c r="AJ831" s="3284"/>
      <c r="AK831" s="3278" t="s">
        <v>3137</v>
      </c>
      <c r="AL831" s="3276">
        <v>40</v>
      </c>
      <c r="AM831" s="3276"/>
      <c r="AN831" s="3279" t="s">
        <v>3140</v>
      </c>
      <c r="AO831" s="3276"/>
      <c r="AP831" s="3279" t="s">
        <v>3180</v>
      </c>
      <c r="AQ831" s="3267" t="s">
        <v>3228</v>
      </c>
      <c r="AR831" s="3276"/>
      <c r="AS831" s="3276"/>
      <c r="AT831" s="3276"/>
      <c r="AU831" s="3276"/>
      <c r="AV831" s="3276"/>
      <c r="AW831" s="3276"/>
      <c r="AX831" s="3276"/>
      <c r="AY831" s="3291"/>
      <c r="AZ831" s="3276" t="s">
        <v>8814</v>
      </c>
      <c r="BA831" s="3276"/>
      <c r="BB831" s="3291"/>
      <c r="BC831" s="3276"/>
      <c r="BD831" s="3292"/>
      <c r="BE831" s="3276"/>
      <c r="BF831" s="3281"/>
      <c r="BG831" s="3299">
        <v>38983</v>
      </c>
      <c r="BH831" s="3276"/>
      <c r="BI831" s="3314" t="s">
        <v>3180</v>
      </c>
      <c r="BJ831" s="3283">
        <v>39008</v>
      </c>
      <c r="BK831" s="3283"/>
      <c r="BL831" s="3267" t="s">
        <v>2998</v>
      </c>
      <c r="BM831" s="3276" t="s">
        <v>2999</v>
      </c>
      <c r="BN831" s="3276" t="s">
        <v>2879</v>
      </c>
      <c r="BO831" s="3276" t="s">
        <v>3000</v>
      </c>
      <c r="BP831" s="3276"/>
      <c r="BQ831" s="3276" t="e">
        <v>#DIV/0!</v>
      </c>
      <c r="BR831" s="3276" t="e">
        <v>#DIV/0!</v>
      </c>
      <c r="BS831" s="3285"/>
      <c r="BT831" s="3285"/>
      <c r="BU831" s="3285"/>
    </row>
    <row r="832" spans="1:73" hidden="1">
      <c r="A832" s="3267" t="s">
        <v>8816</v>
      </c>
      <c r="B832" s="3268" t="s">
        <v>8817</v>
      </c>
      <c r="C832" s="3269" t="s">
        <v>8818</v>
      </c>
      <c r="D832" s="3268">
        <v>13693691317</v>
      </c>
      <c r="E832" s="3268" t="s">
        <v>2985</v>
      </c>
      <c r="F832" s="3268" t="s">
        <v>4412</v>
      </c>
      <c r="G832" s="3268"/>
      <c r="H832" s="3268" t="s">
        <v>6596</v>
      </c>
      <c r="I832" s="3268"/>
      <c r="J832" s="3268" t="s">
        <v>8819</v>
      </c>
      <c r="K832" s="3267" t="s">
        <v>8820</v>
      </c>
      <c r="L832" s="3270">
        <v>67.41</v>
      </c>
      <c r="M832" s="3270">
        <v>2</v>
      </c>
      <c r="N832" s="3267" t="s">
        <v>3122</v>
      </c>
      <c r="O832" s="3270"/>
      <c r="P832" s="3268" t="s">
        <v>2963</v>
      </c>
      <c r="Q832" s="3271">
        <v>380000</v>
      </c>
      <c r="R832" s="3267">
        <v>5637</v>
      </c>
      <c r="S832" s="3272">
        <v>40.1</v>
      </c>
      <c r="T832" s="3273">
        <v>401000</v>
      </c>
      <c r="U832" s="3267">
        <v>5949</v>
      </c>
      <c r="V832" s="3274">
        <v>0.2</v>
      </c>
      <c r="W832" s="3272">
        <v>32.08</v>
      </c>
      <c r="X832" s="3275">
        <v>320800</v>
      </c>
      <c r="Y832" s="3267">
        <v>2006</v>
      </c>
      <c r="Z832" s="3267">
        <v>11</v>
      </c>
      <c r="AA832" s="3267">
        <v>7</v>
      </c>
      <c r="AB832" s="3267">
        <v>1200</v>
      </c>
      <c r="AC832" s="3267" t="s">
        <v>2980</v>
      </c>
      <c r="AD832" s="3374">
        <v>91302006100804</v>
      </c>
      <c r="AE832" s="3267" t="s">
        <v>2979</v>
      </c>
      <c r="AF832" s="3268" t="s">
        <v>2966</v>
      </c>
      <c r="AG832" s="3268" t="s">
        <v>2967</v>
      </c>
      <c r="AH832" s="3268"/>
      <c r="AI832" s="3267" t="s">
        <v>2992</v>
      </c>
      <c r="AJ832" s="3290"/>
      <c r="AK832" s="3278" t="s">
        <v>3137</v>
      </c>
      <c r="AL832" s="3276">
        <v>54</v>
      </c>
      <c r="AM832" s="3276"/>
      <c r="AN832" s="3279" t="s">
        <v>3140</v>
      </c>
      <c r="AO832" s="3267"/>
      <c r="AP832" s="3279" t="s">
        <v>2979</v>
      </c>
      <c r="AQ832" s="3267" t="s">
        <v>3228</v>
      </c>
      <c r="AR832" s="3267">
        <v>2006</v>
      </c>
      <c r="AS832" s="3267">
        <v>11</v>
      </c>
      <c r="AT832" s="3267">
        <v>7</v>
      </c>
      <c r="AU832" s="3267"/>
      <c r="AV832" s="3267"/>
      <c r="AW832" s="3267" t="s">
        <v>3171</v>
      </c>
      <c r="AX832" s="3267"/>
      <c r="AY832" s="3269"/>
      <c r="AZ832" s="3268" t="s">
        <v>8820</v>
      </c>
      <c r="BA832" s="3268"/>
      <c r="BB832" s="3280"/>
      <c r="BC832" s="3268"/>
      <c r="BD832" s="3268"/>
      <c r="BE832" s="3268" t="s">
        <v>2968</v>
      </c>
      <c r="BF832" s="3281"/>
      <c r="BG832" s="3290">
        <v>39002</v>
      </c>
      <c r="BH832" s="3267"/>
      <c r="BI832" s="3314" t="s">
        <v>2979</v>
      </c>
      <c r="BJ832" s="3299">
        <v>39008</v>
      </c>
      <c r="BK832" s="3284"/>
      <c r="BL832" s="3267" t="s">
        <v>2998</v>
      </c>
      <c r="BM832" s="3267" t="s">
        <v>2879</v>
      </c>
      <c r="BN832" s="3267" t="s">
        <v>2999</v>
      </c>
      <c r="BO832" s="3276" t="s">
        <v>3146</v>
      </c>
      <c r="BP832" s="3276"/>
      <c r="BQ832" s="3276" t="e">
        <v>#DIV/0!</v>
      </c>
      <c r="BR832" s="3276" t="e">
        <v>#DIV/0!</v>
      </c>
      <c r="BS832" s="3285"/>
      <c r="BT832" s="3285"/>
      <c r="BU832" s="3285"/>
    </row>
    <row r="833" spans="1:249" hidden="1">
      <c r="A833" s="3267" t="s">
        <v>8821</v>
      </c>
      <c r="B833" s="3267" t="s">
        <v>8822</v>
      </c>
      <c r="C833" s="3267" t="s">
        <v>8823</v>
      </c>
      <c r="D833" s="3267" t="s">
        <v>8824</v>
      </c>
      <c r="E833" s="3267" t="s">
        <v>2985</v>
      </c>
      <c r="F833" s="3267" t="s">
        <v>5986</v>
      </c>
      <c r="G833" s="3267"/>
      <c r="H833" s="3267" t="s">
        <v>3097</v>
      </c>
      <c r="I833" s="3267"/>
      <c r="J833" s="3267" t="s">
        <v>3153</v>
      </c>
      <c r="K833" s="3267"/>
      <c r="L833" s="3267">
        <v>68.08</v>
      </c>
      <c r="M833" s="3267">
        <v>4</v>
      </c>
      <c r="N833" s="3267" t="s">
        <v>3122</v>
      </c>
      <c r="O833" s="3267"/>
      <c r="P833" s="3267" t="s">
        <v>2963</v>
      </c>
      <c r="Q833" s="3267">
        <v>630000</v>
      </c>
      <c r="R833" s="3267">
        <v>9254</v>
      </c>
      <c r="S833" s="3272">
        <v>47.81</v>
      </c>
      <c r="T833" s="3273">
        <v>478100</v>
      </c>
      <c r="U833" s="3267">
        <v>7024</v>
      </c>
      <c r="V833" s="3289">
        <v>0.2</v>
      </c>
      <c r="W833" s="3272">
        <v>38.24</v>
      </c>
      <c r="X833" s="3275">
        <v>382400</v>
      </c>
      <c r="Y833" s="3267">
        <v>2006</v>
      </c>
      <c r="Z833" s="3267">
        <v>10</v>
      </c>
      <c r="AA833" s="3267">
        <v>20</v>
      </c>
      <c r="AB833" s="3267">
        <v>1430</v>
      </c>
      <c r="AC833" s="3267" t="s">
        <v>2980</v>
      </c>
      <c r="AD833" s="3267">
        <v>91302006100817</v>
      </c>
      <c r="AE833" s="3267" t="s">
        <v>3487</v>
      </c>
      <c r="AF833" s="3267" t="s">
        <v>2966</v>
      </c>
      <c r="AG833" s="3267" t="s">
        <v>2967</v>
      </c>
      <c r="AH833" s="3267" t="s">
        <v>2968</v>
      </c>
      <c r="AI833" s="3267" t="s">
        <v>2992</v>
      </c>
      <c r="AJ833" s="3267"/>
      <c r="AK833" s="3267" t="s">
        <v>3148</v>
      </c>
      <c r="AL833" s="3267">
        <v>45</v>
      </c>
      <c r="AM833" s="3267"/>
      <c r="AN833" s="3267" t="s">
        <v>3140</v>
      </c>
      <c r="AO833" s="3267" t="s">
        <v>2968</v>
      </c>
      <c r="AP833" s="3267" t="s">
        <v>3487</v>
      </c>
      <c r="AQ833" s="3267" t="s">
        <v>3113</v>
      </c>
      <c r="AR833" s="3267"/>
      <c r="AS833" s="3267"/>
      <c r="AT833" s="3267"/>
      <c r="AU833" s="3267"/>
      <c r="AV833" s="3267" t="s">
        <v>2968</v>
      </c>
      <c r="AW833" s="3267" t="s">
        <v>3171</v>
      </c>
      <c r="AX833" s="3267"/>
      <c r="AY833" s="3269"/>
      <c r="AZ833" s="3267"/>
      <c r="BA833" s="3267"/>
      <c r="BB833" s="3269"/>
      <c r="BC833" s="3267"/>
      <c r="BD833" s="3304"/>
      <c r="BE833" s="3267"/>
      <c r="BF833" s="3305"/>
      <c r="BG833" s="3284">
        <v>39009</v>
      </c>
      <c r="BH833" s="3267"/>
      <c r="BI833" s="3267" t="s">
        <v>3487</v>
      </c>
      <c r="BJ833" s="3303">
        <v>39009</v>
      </c>
      <c r="BK833" s="3303"/>
      <c r="BL833" s="3267" t="s">
        <v>2998</v>
      </c>
      <c r="BM833" s="3267"/>
      <c r="BN833" s="3267"/>
      <c r="BO833" s="3267"/>
      <c r="BP833" s="3267"/>
      <c r="BQ833" s="3276" t="e">
        <v>#DIV/0!</v>
      </c>
      <c r="BR833" s="3276" t="e">
        <v>#DIV/0!</v>
      </c>
      <c r="BS833" s="3285"/>
      <c r="BT833" s="3285"/>
      <c r="BU833" s="3285"/>
    </row>
    <row r="834" spans="1:249" hidden="1">
      <c r="A834" s="3267" t="s">
        <v>8825</v>
      </c>
      <c r="B834" s="3267" t="s">
        <v>8826</v>
      </c>
      <c r="C834" s="3269" t="s">
        <v>8827</v>
      </c>
      <c r="D834" s="3269" t="s">
        <v>8828</v>
      </c>
      <c r="E834" s="3268" t="s">
        <v>2985</v>
      </c>
      <c r="F834" s="3268" t="s">
        <v>8502</v>
      </c>
      <c r="G834" s="3267"/>
      <c r="H834" s="3267" t="s">
        <v>8829</v>
      </c>
      <c r="I834" s="3268" t="s">
        <v>3188</v>
      </c>
      <c r="J834" s="3267" t="s">
        <v>8830</v>
      </c>
      <c r="K834" s="3267" t="s">
        <v>8826</v>
      </c>
      <c r="L834" s="3267">
        <v>58.12</v>
      </c>
      <c r="M834" s="3269">
        <v>2</v>
      </c>
      <c r="N834" s="3267" t="s">
        <v>3122</v>
      </c>
      <c r="O834" s="3267"/>
      <c r="P834" s="3267" t="s">
        <v>2963</v>
      </c>
      <c r="Q834" s="3271">
        <v>320000</v>
      </c>
      <c r="R834" s="3267">
        <v>5506</v>
      </c>
      <c r="S834" s="3272">
        <v>31.49</v>
      </c>
      <c r="T834" s="3273">
        <v>314900</v>
      </c>
      <c r="U834" s="3267">
        <v>5419</v>
      </c>
      <c r="V834" s="3289">
        <v>0.2</v>
      </c>
      <c r="W834" s="3272">
        <v>25.19</v>
      </c>
      <c r="X834" s="3275">
        <v>251900</v>
      </c>
      <c r="Y834" s="3276">
        <v>2006</v>
      </c>
      <c r="Z834" s="3276">
        <v>11</v>
      </c>
      <c r="AA834" s="3276">
        <v>28</v>
      </c>
      <c r="AB834" s="3267">
        <v>940</v>
      </c>
      <c r="AC834" s="3267" t="s">
        <v>2980</v>
      </c>
      <c r="AD834" s="3269" t="s">
        <v>8831</v>
      </c>
      <c r="AE834" s="3279" t="s">
        <v>3344</v>
      </c>
      <c r="AF834" s="3268" t="s">
        <v>2966</v>
      </c>
      <c r="AG834" s="3279" t="s">
        <v>2967</v>
      </c>
      <c r="AH834" s="3267" t="s">
        <v>8832</v>
      </c>
      <c r="AI834" s="3279" t="s">
        <v>2992</v>
      </c>
      <c r="AJ834" s="3284"/>
      <c r="AK834" s="3278" t="s">
        <v>3137</v>
      </c>
      <c r="AL834" s="3276">
        <v>33</v>
      </c>
      <c r="AM834" s="3276" t="s">
        <v>8833</v>
      </c>
      <c r="AN834" s="3279" t="s">
        <v>2994</v>
      </c>
      <c r="AO834" s="3267"/>
      <c r="AP834" s="3279" t="s">
        <v>5706</v>
      </c>
      <c r="AQ834" s="3267" t="s">
        <v>3228</v>
      </c>
      <c r="AR834" s="3276"/>
      <c r="AS834" s="3276"/>
      <c r="AT834" s="3276"/>
      <c r="AU834" s="3276"/>
      <c r="AV834" s="3276"/>
      <c r="AW834" s="3276" t="s">
        <v>3119</v>
      </c>
      <c r="AX834" s="3276"/>
      <c r="AY834" s="3291"/>
      <c r="AZ834" s="3267" t="s">
        <v>8834</v>
      </c>
      <c r="BA834" s="3296"/>
      <c r="BB834" s="3297"/>
      <c r="BC834" s="3296"/>
      <c r="BD834" s="3298"/>
      <c r="BE834" s="3276">
        <v>89596780</v>
      </c>
      <c r="BF834" s="3281"/>
      <c r="BG834" s="3293">
        <v>39008</v>
      </c>
      <c r="BH834" s="3267" t="s">
        <v>2998</v>
      </c>
      <c r="BI834" s="3314" t="s">
        <v>5706</v>
      </c>
      <c r="BJ834" s="3283">
        <v>39009</v>
      </c>
      <c r="BK834" s="3283"/>
      <c r="BL834" s="3267" t="s">
        <v>3249</v>
      </c>
      <c r="BM834" s="3276" t="s">
        <v>2879</v>
      </c>
      <c r="BN834" s="3276" t="s">
        <v>3111</v>
      </c>
      <c r="BO834" s="3276" t="s">
        <v>3000</v>
      </c>
      <c r="BP834" s="3276"/>
      <c r="BQ834" s="3276" t="e">
        <v>#DIV/0!</v>
      </c>
      <c r="BR834" s="3276" t="e">
        <v>#DIV/0!</v>
      </c>
      <c r="BS834" s="3285"/>
      <c r="BT834" s="3285"/>
      <c r="BU834" s="3285"/>
    </row>
    <row r="835" spans="1:249" hidden="1">
      <c r="A835" s="3267" t="s">
        <v>8835</v>
      </c>
      <c r="B835" s="3267" t="s">
        <v>8836</v>
      </c>
      <c r="C835" s="3269" t="s">
        <v>8837</v>
      </c>
      <c r="D835" s="3269" t="s">
        <v>8838</v>
      </c>
      <c r="E835" s="3268" t="s">
        <v>2985</v>
      </c>
      <c r="F835" s="3268" t="s">
        <v>4449</v>
      </c>
      <c r="G835" s="3267"/>
      <c r="H835" s="3267" t="s">
        <v>7046</v>
      </c>
      <c r="I835" s="3268" t="s">
        <v>3188</v>
      </c>
      <c r="J835" s="3267" t="s">
        <v>8839</v>
      </c>
      <c r="K835" s="3267" t="s">
        <v>7422</v>
      </c>
      <c r="L835" s="3267">
        <v>69.010000000000005</v>
      </c>
      <c r="M835" s="3267" t="s">
        <v>8840</v>
      </c>
      <c r="N835" s="3267" t="s">
        <v>3122</v>
      </c>
      <c r="O835" s="3267"/>
      <c r="P835" s="3267" t="s">
        <v>2963</v>
      </c>
      <c r="Q835" s="3271">
        <v>430000</v>
      </c>
      <c r="R835" s="3288">
        <v>6231</v>
      </c>
      <c r="S835" s="3272">
        <v>44.87</v>
      </c>
      <c r="T835" s="3273">
        <v>448700</v>
      </c>
      <c r="U835" s="3267">
        <v>6502</v>
      </c>
      <c r="V835" s="3289">
        <v>0.2</v>
      </c>
      <c r="W835" s="3272">
        <v>35.89</v>
      </c>
      <c r="X835" s="3273">
        <v>358900</v>
      </c>
      <c r="Y835" s="3267">
        <v>2006</v>
      </c>
      <c r="Z835" s="3276">
        <v>11</v>
      </c>
      <c r="AA835" s="3276">
        <v>7</v>
      </c>
      <c r="AB835" s="3267">
        <v>1345</v>
      </c>
      <c r="AC835" s="3267" t="s">
        <v>2980</v>
      </c>
      <c r="AD835" s="3280" t="s">
        <v>8841</v>
      </c>
      <c r="AE835" s="3279" t="s">
        <v>3295</v>
      </c>
      <c r="AF835" s="3268" t="s">
        <v>2966</v>
      </c>
      <c r="AG835" s="3279" t="s">
        <v>2967</v>
      </c>
      <c r="AH835" s="3267" t="s">
        <v>8842</v>
      </c>
      <c r="AI835" s="3279" t="s">
        <v>2992</v>
      </c>
      <c r="AJ835" s="3284"/>
      <c r="AK835" s="3278" t="s">
        <v>3137</v>
      </c>
      <c r="AL835" s="3276">
        <v>51</v>
      </c>
      <c r="AM835" s="3267"/>
      <c r="AN835" s="3279" t="s">
        <v>3140</v>
      </c>
      <c r="AO835" s="3267"/>
      <c r="AP835" s="3279" t="s">
        <v>3305</v>
      </c>
      <c r="AQ835" s="3267" t="s">
        <v>3228</v>
      </c>
      <c r="AR835" s="3276"/>
      <c r="AS835" s="3276"/>
      <c r="AT835" s="3276"/>
      <c r="AU835" s="3276"/>
      <c r="AV835" s="3276"/>
      <c r="AW835" s="3276" t="s">
        <v>3112</v>
      </c>
      <c r="AX835" s="3276"/>
      <c r="AY835" s="3291"/>
      <c r="AZ835" s="3267" t="s">
        <v>7422</v>
      </c>
      <c r="BA835" s="3296"/>
      <c r="BB835" s="3297"/>
      <c r="BC835" s="3296"/>
      <c r="BD835" s="3298"/>
      <c r="BE835" s="3276" t="s">
        <v>8843</v>
      </c>
      <c r="BF835" s="3281"/>
      <c r="BG835" s="3293">
        <v>38959</v>
      </c>
      <c r="BH835" s="3354" t="s">
        <v>2998</v>
      </c>
      <c r="BI835" s="3314" t="s">
        <v>3305</v>
      </c>
      <c r="BJ835" s="3283">
        <v>39009</v>
      </c>
      <c r="BK835" s="3283"/>
      <c r="BL835" s="3267" t="s">
        <v>3249</v>
      </c>
      <c r="BM835" s="3276" t="s">
        <v>2879</v>
      </c>
      <c r="BN835" s="3276" t="s">
        <v>2999</v>
      </c>
      <c r="BO835" s="3276" t="s">
        <v>3000</v>
      </c>
      <c r="BP835" s="3276"/>
      <c r="BQ835" s="3276" t="e">
        <v>#DIV/0!</v>
      </c>
      <c r="BR835" s="3276" t="e">
        <v>#DIV/0!</v>
      </c>
      <c r="BS835" s="3285"/>
      <c r="BT835" s="3285"/>
      <c r="BU835" s="3285"/>
    </row>
    <row r="836" spans="1:249" hidden="1">
      <c r="A836" s="3267" t="s">
        <v>8844</v>
      </c>
      <c r="B836" s="3267" t="s">
        <v>8845</v>
      </c>
      <c r="C836" s="3269" t="s">
        <v>8846</v>
      </c>
      <c r="D836" s="3269" t="s">
        <v>8847</v>
      </c>
      <c r="E836" s="3267" t="s">
        <v>2985</v>
      </c>
      <c r="F836" s="3269" t="s">
        <v>4572</v>
      </c>
      <c r="G836" s="3267"/>
      <c r="H836" s="3267" t="s">
        <v>7508</v>
      </c>
      <c r="I836" s="3268"/>
      <c r="J836" s="3268" t="s">
        <v>8848</v>
      </c>
      <c r="K836" s="3267" t="s">
        <v>8849</v>
      </c>
      <c r="L836" s="3267">
        <v>179.96</v>
      </c>
      <c r="M836" s="3267" t="s">
        <v>8850</v>
      </c>
      <c r="N836" s="3267" t="s">
        <v>8851</v>
      </c>
      <c r="O836" s="3267"/>
      <c r="P836" s="3267" t="s">
        <v>3495</v>
      </c>
      <c r="Q836" s="3271">
        <v>1200000</v>
      </c>
      <c r="R836" s="3267">
        <v>6668</v>
      </c>
      <c r="S836" s="3272">
        <v>104.84</v>
      </c>
      <c r="T836" s="3273">
        <v>1048400</v>
      </c>
      <c r="U836" s="3267">
        <v>5826</v>
      </c>
      <c r="V836" s="3289">
        <v>0.3</v>
      </c>
      <c r="W836" s="3272">
        <v>73.38</v>
      </c>
      <c r="X836" s="3275">
        <v>733800</v>
      </c>
      <c r="Y836" s="3276">
        <v>2006</v>
      </c>
      <c r="Z836" s="3276">
        <v>11</v>
      </c>
      <c r="AA836" s="3276">
        <v>2</v>
      </c>
      <c r="AB836" s="3267">
        <v>1500</v>
      </c>
      <c r="AC836" s="3267" t="s">
        <v>2980</v>
      </c>
      <c r="AD836" s="3366">
        <v>91302006100981</v>
      </c>
      <c r="AE836" s="3279" t="s">
        <v>2991</v>
      </c>
      <c r="AF836" s="3268"/>
      <c r="AG836" s="3279" t="s">
        <v>2967</v>
      </c>
      <c r="AH836" s="3267"/>
      <c r="AI836" s="3279" t="s">
        <v>2992</v>
      </c>
      <c r="AJ836" s="3284"/>
      <c r="AK836" s="3278" t="s">
        <v>3137</v>
      </c>
      <c r="AL836" s="3276">
        <v>58</v>
      </c>
      <c r="AM836" s="3267"/>
      <c r="AN836" s="3279" t="s">
        <v>3131</v>
      </c>
      <c r="AO836" s="3267"/>
      <c r="AP836" s="3279" t="s">
        <v>2991</v>
      </c>
      <c r="AQ836" s="3267" t="s">
        <v>3228</v>
      </c>
      <c r="AR836" s="3276">
        <v>2006</v>
      </c>
      <c r="AS836" s="3276">
        <v>11</v>
      </c>
      <c r="AT836" s="3276">
        <v>2</v>
      </c>
      <c r="AU836" s="3276"/>
      <c r="AV836" s="3276"/>
      <c r="AW836" s="3276" t="s">
        <v>2997</v>
      </c>
      <c r="AX836" s="3276"/>
      <c r="AY836" s="3291"/>
      <c r="AZ836" s="3267" t="s">
        <v>8849</v>
      </c>
      <c r="BA836" s="3296"/>
      <c r="BB836" s="3297"/>
      <c r="BC836" s="3296"/>
      <c r="BD836" s="3298"/>
      <c r="BE836" s="3276"/>
      <c r="BF836" s="3281"/>
      <c r="BG836" s="3293">
        <v>39010</v>
      </c>
      <c r="BH836" s="3267"/>
      <c r="BI836" s="3267" t="s">
        <v>2991</v>
      </c>
      <c r="BJ836" s="3299">
        <v>39010</v>
      </c>
      <c r="BK836" s="3283"/>
      <c r="BL836" s="3267" t="s">
        <v>2998</v>
      </c>
      <c r="BM836" s="3276" t="s">
        <v>2879</v>
      </c>
      <c r="BN836" s="3276" t="s">
        <v>3111</v>
      </c>
      <c r="BO836" s="3276" t="s">
        <v>3146</v>
      </c>
      <c r="BP836" s="3276"/>
      <c r="BQ836" s="3276" t="e">
        <v>#DIV/0!</v>
      </c>
      <c r="BR836" s="3276" t="e">
        <v>#DIV/0!</v>
      </c>
      <c r="BS836" s="3285"/>
      <c r="BT836" s="3285"/>
      <c r="BU836" s="3285"/>
      <c r="BY836" s="3262" t="s">
        <v>3262</v>
      </c>
      <c r="BZ836" s="3262" t="s">
        <v>3262</v>
      </c>
      <c r="CA836" s="3262" t="s">
        <v>3262</v>
      </c>
      <c r="CB836" s="3262" t="s">
        <v>3262</v>
      </c>
      <c r="CC836" s="3262" t="s">
        <v>3262</v>
      </c>
      <c r="CD836" s="3262" t="s">
        <v>3262</v>
      </c>
      <c r="CE836" s="3262" t="s">
        <v>3262</v>
      </c>
      <c r="CF836" s="3262" t="s">
        <v>3262</v>
      </c>
      <c r="CG836" s="3262" t="s">
        <v>3262</v>
      </c>
      <c r="CH836" s="3262" t="s">
        <v>3262</v>
      </c>
      <c r="CI836" s="3262" t="s">
        <v>3262</v>
      </c>
      <c r="CJ836" s="3262" t="s">
        <v>3262</v>
      </c>
      <c r="CK836" s="3262" t="s">
        <v>3262</v>
      </c>
      <c r="CL836" s="3262" t="s">
        <v>3262</v>
      </c>
      <c r="CM836" s="3262" t="s">
        <v>3262</v>
      </c>
      <c r="CN836" s="3262" t="s">
        <v>3262</v>
      </c>
      <c r="CO836" s="3262" t="s">
        <v>3262</v>
      </c>
      <c r="CP836" s="3262" t="s">
        <v>3262</v>
      </c>
      <c r="CQ836" s="3262" t="s">
        <v>3262</v>
      </c>
      <c r="CR836" s="3262" t="s">
        <v>3262</v>
      </c>
      <c r="CS836" s="3262" t="s">
        <v>3262</v>
      </c>
      <c r="CT836" s="3262" t="s">
        <v>3262</v>
      </c>
      <c r="CU836" s="3262" t="s">
        <v>3262</v>
      </c>
      <c r="CV836" s="3262" t="s">
        <v>3262</v>
      </c>
      <c r="CW836" s="3262" t="s">
        <v>3262</v>
      </c>
      <c r="CX836" s="3262" t="s">
        <v>3262</v>
      </c>
      <c r="CY836" s="3262" t="s">
        <v>3262</v>
      </c>
      <c r="CZ836" s="3262" t="s">
        <v>3262</v>
      </c>
      <c r="DA836" s="3262" t="s">
        <v>3262</v>
      </c>
      <c r="DB836" s="3262" t="s">
        <v>3262</v>
      </c>
      <c r="DC836" s="3262" t="s">
        <v>3262</v>
      </c>
      <c r="DD836" s="3262" t="s">
        <v>3262</v>
      </c>
      <c r="DE836" s="3262" t="s">
        <v>3262</v>
      </c>
      <c r="DF836" s="3262" t="s">
        <v>3262</v>
      </c>
      <c r="DG836" s="3262" t="s">
        <v>3262</v>
      </c>
      <c r="DH836" s="3262" t="s">
        <v>3262</v>
      </c>
      <c r="DI836" s="3262" t="s">
        <v>3262</v>
      </c>
      <c r="DJ836" s="3262" t="s">
        <v>3262</v>
      </c>
      <c r="DK836" s="3262" t="s">
        <v>3262</v>
      </c>
      <c r="DL836" s="3262" t="s">
        <v>3262</v>
      </c>
      <c r="DM836" s="3262" t="s">
        <v>3262</v>
      </c>
      <c r="DN836" s="3262" t="s">
        <v>3262</v>
      </c>
      <c r="DO836" s="3262" t="s">
        <v>3262</v>
      </c>
      <c r="DP836" s="3262" t="s">
        <v>3262</v>
      </c>
      <c r="DQ836" s="3262" t="s">
        <v>3262</v>
      </c>
      <c r="DR836" s="3262" t="s">
        <v>3262</v>
      </c>
      <c r="DS836" s="3262" t="s">
        <v>3262</v>
      </c>
      <c r="DT836" s="3262" t="s">
        <v>3262</v>
      </c>
      <c r="DU836" s="3262" t="s">
        <v>3262</v>
      </c>
      <c r="DV836" s="3262" t="s">
        <v>3262</v>
      </c>
      <c r="DW836" s="3262" t="s">
        <v>3262</v>
      </c>
      <c r="DX836" s="3262" t="s">
        <v>3262</v>
      </c>
      <c r="DY836" s="3262" t="s">
        <v>3262</v>
      </c>
      <c r="DZ836" s="3262" t="s">
        <v>3262</v>
      </c>
      <c r="EA836" s="3262" t="s">
        <v>3262</v>
      </c>
      <c r="EB836" s="3262" t="s">
        <v>3262</v>
      </c>
      <c r="EC836" s="3262" t="s">
        <v>3262</v>
      </c>
      <c r="ED836" s="3262" t="s">
        <v>3262</v>
      </c>
      <c r="EE836" s="3262" t="s">
        <v>3262</v>
      </c>
      <c r="EF836" s="3262" t="s">
        <v>3262</v>
      </c>
      <c r="EG836" s="3262" t="s">
        <v>3262</v>
      </c>
      <c r="EH836" s="3262" t="s">
        <v>3262</v>
      </c>
      <c r="EI836" s="3262" t="s">
        <v>3262</v>
      </c>
      <c r="EJ836" s="3262" t="s">
        <v>3262</v>
      </c>
      <c r="EK836" s="3262" t="s">
        <v>3262</v>
      </c>
      <c r="EL836" s="3262" t="s">
        <v>3262</v>
      </c>
      <c r="EM836" s="3262" t="s">
        <v>3262</v>
      </c>
      <c r="EN836" s="3262" t="s">
        <v>3262</v>
      </c>
      <c r="EO836" s="3262" t="s">
        <v>3262</v>
      </c>
      <c r="EP836" s="3262" t="s">
        <v>3262</v>
      </c>
      <c r="EQ836" s="3262" t="s">
        <v>3262</v>
      </c>
      <c r="ER836" s="3262" t="s">
        <v>3262</v>
      </c>
      <c r="ES836" s="3262" t="s">
        <v>3262</v>
      </c>
      <c r="ET836" s="3262" t="s">
        <v>3262</v>
      </c>
      <c r="EU836" s="3262" t="s">
        <v>3262</v>
      </c>
      <c r="EV836" s="3262" t="s">
        <v>3262</v>
      </c>
      <c r="EW836" s="3262" t="s">
        <v>3262</v>
      </c>
      <c r="EX836" s="3262" t="s">
        <v>3262</v>
      </c>
      <c r="EY836" s="3262" t="s">
        <v>3262</v>
      </c>
      <c r="EZ836" s="3262" t="s">
        <v>3262</v>
      </c>
      <c r="FA836" s="3262" t="s">
        <v>3262</v>
      </c>
      <c r="FB836" s="3262" t="s">
        <v>3262</v>
      </c>
      <c r="FC836" s="3262" t="s">
        <v>3262</v>
      </c>
      <c r="FD836" s="3262" t="s">
        <v>3262</v>
      </c>
      <c r="FE836" s="3262" t="s">
        <v>3262</v>
      </c>
      <c r="FF836" s="3262" t="s">
        <v>3262</v>
      </c>
      <c r="FG836" s="3262" t="s">
        <v>3262</v>
      </c>
      <c r="FH836" s="3262" t="s">
        <v>3262</v>
      </c>
      <c r="FI836" s="3262" t="s">
        <v>3262</v>
      </c>
      <c r="FJ836" s="3262" t="s">
        <v>3262</v>
      </c>
      <c r="FK836" s="3262" t="s">
        <v>3262</v>
      </c>
      <c r="FL836" s="3262" t="s">
        <v>3262</v>
      </c>
      <c r="FM836" s="3262" t="s">
        <v>3262</v>
      </c>
      <c r="FN836" s="3262" t="s">
        <v>3262</v>
      </c>
      <c r="FO836" s="3262" t="s">
        <v>3262</v>
      </c>
      <c r="FP836" s="3262" t="s">
        <v>3262</v>
      </c>
      <c r="FQ836" s="3262" t="s">
        <v>3262</v>
      </c>
      <c r="FR836" s="3262" t="s">
        <v>3262</v>
      </c>
      <c r="FS836" s="3262" t="s">
        <v>3262</v>
      </c>
      <c r="FT836" s="3262" t="s">
        <v>3262</v>
      </c>
      <c r="FU836" s="3262" t="s">
        <v>3262</v>
      </c>
      <c r="FV836" s="3262" t="s">
        <v>3262</v>
      </c>
      <c r="FW836" s="3262" t="s">
        <v>3262</v>
      </c>
      <c r="FX836" s="3262" t="s">
        <v>3262</v>
      </c>
      <c r="FY836" s="3262" t="s">
        <v>3262</v>
      </c>
      <c r="FZ836" s="3262" t="s">
        <v>3262</v>
      </c>
      <c r="GA836" s="3262" t="s">
        <v>3262</v>
      </c>
      <c r="GB836" s="3262" t="s">
        <v>3262</v>
      </c>
      <c r="GC836" s="3262" t="s">
        <v>3262</v>
      </c>
      <c r="GD836" s="3262" t="s">
        <v>3262</v>
      </c>
      <c r="GE836" s="3262" t="s">
        <v>3262</v>
      </c>
      <c r="GF836" s="3262" t="s">
        <v>3262</v>
      </c>
      <c r="GG836" s="3262" t="s">
        <v>3262</v>
      </c>
      <c r="GH836" s="3262" t="s">
        <v>3262</v>
      </c>
      <c r="GI836" s="3262" t="s">
        <v>3262</v>
      </c>
      <c r="GJ836" s="3262" t="s">
        <v>3262</v>
      </c>
      <c r="GK836" s="3262" t="s">
        <v>3262</v>
      </c>
      <c r="GL836" s="3262" t="s">
        <v>3262</v>
      </c>
      <c r="GM836" s="3262" t="s">
        <v>3262</v>
      </c>
      <c r="GN836" s="3262" t="s">
        <v>3262</v>
      </c>
      <c r="GO836" s="3262" t="s">
        <v>3262</v>
      </c>
      <c r="GP836" s="3262" t="s">
        <v>3262</v>
      </c>
      <c r="GQ836" s="3262" t="s">
        <v>3262</v>
      </c>
      <c r="GR836" s="3262" t="s">
        <v>3262</v>
      </c>
      <c r="GS836" s="3262" t="s">
        <v>3262</v>
      </c>
      <c r="GT836" s="3262" t="s">
        <v>3262</v>
      </c>
      <c r="GU836" s="3262" t="s">
        <v>3262</v>
      </c>
      <c r="GV836" s="3262" t="s">
        <v>3262</v>
      </c>
      <c r="GW836" s="3262" t="s">
        <v>3262</v>
      </c>
      <c r="GX836" s="3262" t="s">
        <v>3262</v>
      </c>
      <c r="GY836" s="3262" t="s">
        <v>3262</v>
      </c>
      <c r="GZ836" s="3262" t="s">
        <v>3262</v>
      </c>
      <c r="HA836" s="3262" t="s">
        <v>3262</v>
      </c>
      <c r="HB836" s="3262" t="s">
        <v>3262</v>
      </c>
      <c r="HC836" s="3262" t="s">
        <v>3262</v>
      </c>
      <c r="HD836" s="3262" t="s">
        <v>3262</v>
      </c>
      <c r="HE836" s="3262" t="s">
        <v>3262</v>
      </c>
      <c r="HF836" s="3262" t="s">
        <v>3262</v>
      </c>
      <c r="HG836" s="3262" t="s">
        <v>3262</v>
      </c>
      <c r="HH836" s="3262" t="s">
        <v>3262</v>
      </c>
      <c r="HI836" s="3262" t="s">
        <v>3262</v>
      </c>
      <c r="HJ836" s="3262" t="s">
        <v>3262</v>
      </c>
      <c r="HK836" s="3262" t="s">
        <v>3262</v>
      </c>
      <c r="HL836" s="3262" t="s">
        <v>3262</v>
      </c>
      <c r="HM836" s="3262" t="s">
        <v>3262</v>
      </c>
      <c r="HN836" s="3262" t="s">
        <v>3262</v>
      </c>
      <c r="HO836" s="3262" t="s">
        <v>3262</v>
      </c>
      <c r="HP836" s="3262" t="s">
        <v>3262</v>
      </c>
      <c r="HQ836" s="3262" t="s">
        <v>3262</v>
      </c>
      <c r="HR836" s="3262" t="s">
        <v>3262</v>
      </c>
      <c r="HS836" s="3262" t="s">
        <v>3262</v>
      </c>
      <c r="HT836" s="3262" t="s">
        <v>3262</v>
      </c>
      <c r="HU836" s="3262" t="s">
        <v>3262</v>
      </c>
      <c r="HV836" s="3262" t="s">
        <v>3262</v>
      </c>
      <c r="HW836" s="3262" t="s">
        <v>3262</v>
      </c>
      <c r="HX836" s="3262" t="s">
        <v>3262</v>
      </c>
      <c r="HY836" s="3262" t="s">
        <v>3262</v>
      </c>
      <c r="HZ836" s="3262" t="s">
        <v>3262</v>
      </c>
      <c r="IA836" s="3262" t="s">
        <v>3262</v>
      </c>
      <c r="IB836" s="3262" t="s">
        <v>3262</v>
      </c>
      <c r="IC836" s="3262" t="s">
        <v>3262</v>
      </c>
      <c r="ID836" s="3262" t="s">
        <v>3262</v>
      </c>
      <c r="IE836" s="3262" t="s">
        <v>3262</v>
      </c>
      <c r="IF836" s="3262" t="s">
        <v>3262</v>
      </c>
      <c r="IG836" s="3262" t="s">
        <v>3262</v>
      </c>
      <c r="IH836" s="3262" t="s">
        <v>3262</v>
      </c>
      <c r="II836" s="3262" t="s">
        <v>3262</v>
      </c>
      <c r="IJ836" s="3262" t="s">
        <v>3262</v>
      </c>
      <c r="IK836" s="3262" t="s">
        <v>3262</v>
      </c>
      <c r="IL836" s="3262" t="s">
        <v>3262</v>
      </c>
      <c r="IM836" s="3262" t="s">
        <v>3262</v>
      </c>
      <c r="IN836" s="3262" t="s">
        <v>3262</v>
      </c>
      <c r="IO836" s="3262" t="s">
        <v>3262</v>
      </c>
    </row>
    <row r="837" spans="1:249" hidden="1">
      <c r="A837" s="3267" t="s">
        <v>8852</v>
      </c>
      <c r="B837" s="3267" t="s">
        <v>8853</v>
      </c>
      <c r="C837" s="3267" t="s">
        <v>8854</v>
      </c>
      <c r="D837" s="3267" t="s">
        <v>8855</v>
      </c>
      <c r="E837" s="3267" t="s">
        <v>2985</v>
      </c>
      <c r="F837" s="3267" t="s">
        <v>8856</v>
      </c>
      <c r="G837" s="3267"/>
      <c r="H837" s="3267" t="s">
        <v>3844</v>
      </c>
      <c r="I837" s="3267"/>
      <c r="J837" s="3267" t="s">
        <v>8857</v>
      </c>
      <c r="K837" s="3267"/>
      <c r="L837" s="3267">
        <v>113.5</v>
      </c>
      <c r="M837" s="3267">
        <v>19</v>
      </c>
      <c r="N837" s="3267" t="s">
        <v>3395</v>
      </c>
      <c r="O837" s="3267"/>
      <c r="P837" s="3267" t="s">
        <v>2963</v>
      </c>
      <c r="Q837" s="3267">
        <v>740000</v>
      </c>
      <c r="R837" s="3267">
        <v>6520</v>
      </c>
      <c r="S837" s="3272">
        <v>72.099999999999994</v>
      </c>
      <c r="T837" s="3273">
        <v>721000</v>
      </c>
      <c r="U837" s="3267">
        <v>6353</v>
      </c>
      <c r="V837" s="3289">
        <v>0.3</v>
      </c>
      <c r="W837" s="3272">
        <v>50.47</v>
      </c>
      <c r="X837" s="3275">
        <v>504700</v>
      </c>
      <c r="Y837" s="3267">
        <v>2006</v>
      </c>
      <c r="Z837" s="3267">
        <v>12</v>
      </c>
      <c r="AA837" s="3267">
        <v>1</v>
      </c>
      <c r="AB837" s="3267">
        <v>1500</v>
      </c>
      <c r="AC837" s="3267" t="s">
        <v>2980</v>
      </c>
      <c r="AD837" s="3267">
        <v>91302006101068</v>
      </c>
      <c r="AE837" s="3267" t="s">
        <v>3487</v>
      </c>
      <c r="AF837" s="3267" t="s">
        <v>2966</v>
      </c>
      <c r="AG837" s="3267" t="s">
        <v>2967</v>
      </c>
      <c r="AH837" s="3267" t="s">
        <v>2968</v>
      </c>
      <c r="AI837" s="3267" t="s">
        <v>2992</v>
      </c>
      <c r="AJ837" s="3267"/>
      <c r="AK837" s="3267" t="s">
        <v>3120</v>
      </c>
      <c r="AL837" s="3267">
        <v>56</v>
      </c>
      <c r="AM837" s="3267" t="s">
        <v>8858</v>
      </c>
      <c r="AN837" s="3267" t="s">
        <v>3140</v>
      </c>
      <c r="AO837" s="3267" t="s">
        <v>2968</v>
      </c>
      <c r="AP837" s="3267" t="s">
        <v>3487</v>
      </c>
      <c r="AQ837" s="3267" t="s">
        <v>3113</v>
      </c>
      <c r="AR837" s="3267">
        <v>2006</v>
      </c>
      <c r="AS837" s="3267">
        <v>12</v>
      </c>
      <c r="AT837" s="3267">
        <v>1</v>
      </c>
      <c r="AU837" s="3267"/>
      <c r="AV837" s="3267" t="s">
        <v>2968</v>
      </c>
      <c r="AW837" s="3267" t="s">
        <v>3171</v>
      </c>
      <c r="AX837" s="3267"/>
      <c r="AY837" s="3269"/>
      <c r="AZ837" s="3267"/>
      <c r="BA837" s="3267"/>
      <c r="BB837" s="3269"/>
      <c r="BC837" s="3267"/>
      <c r="BD837" s="3304"/>
      <c r="BE837" s="3267"/>
      <c r="BF837" s="3305"/>
      <c r="BG837" s="3284">
        <v>39013</v>
      </c>
      <c r="BH837" s="3267"/>
      <c r="BI837" s="3279" t="s">
        <v>3487</v>
      </c>
      <c r="BJ837" s="3303">
        <v>39013</v>
      </c>
      <c r="BK837" s="3303"/>
      <c r="BL837" s="3267" t="s">
        <v>2998</v>
      </c>
      <c r="BM837" s="3267"/>
      <c r="BN837" s="3267"/>
      <c r="BO837" s="3267"/>
      <c r="BP837" s="3267"/>
      <c r="BQ837" s="3276" t="e">
        <v>#DIV/0!</v>
      </c>
      <c r="BR837" s="3276" t="e">
        <v>#DIV/0!</v>
      </c>
      <c r="BS837" s="3285"/>
      <c r="BT837" s="3285"/>
      <c r="BU837" s="3285"/>
    </row>
    <row r="838" spans="1:249" hidden="1">
      <c r="A838" s="3267" t="s">
        <v>8859</v>
      </c>
      <c r="B838" s="3267" t="s">
        <v>8860</v>
      </c>
      <c r="C838" s="3269" t="s">
        <v>8861</v>
      </c>
      <c r="D838" s="3269" t="s">
        <v>8862</v>
      </c>
      <c r="E838" s="3268" t="s">
        <v>2985</v>
      </c>
      <c r="F838" s="3268" t="s">
        <v>3309</v>
      </c>
      <c r="G838" s="3267"/>
      <c r="H838" s="3267" t="s">
        <v>6450</v>
      </c>
      <c r="I838" s="3268"/>
      <c r="J838" s="3267" t="s">
        <v>3175</v>
      </c>
      <c r="K838" s="3267" t="s">
        <v>8863</v>
      </c>
      <c r="L838" s="3267">
        <v>59.95</v>
      </c>
      <c r="M838" s="3267">
        <v>6</v>
      </c>
      <c r="N838" s="3267" t="s">
        <v>3152</v>
      </c>
      <c r="O838" s="3267"/>
      <c r="P838" s="3267" t="s">
        <v>2963</v>
      </c>
      <c r="Q838" s="3271">
        <v>420000</v>
      </c>
      <c r="R838" s="3267">
        <v>7006</v>
      </c>
      <c r="S838" s="3272">
        <v>38.049999999999997</v>
      </c>
      <c r="T838" s="3273">
        <v>380500</v>
      </c>
      <c r="U838" s="3267">
        <v>6347</v>
      </c>
      <c r="V838" s="3289">
        <v>0.2</v>
      </c>
      <c r="W838" s="3272">
        <v>30.44</v>
      </c>
      <c r="X838" s="3275">
        <v>304400</v>
      </c>
      <c r="Y838" s="3276">
        <v>2006</v>
      </c>
      <c r="Z838" s="3276">
        <v>11</v>
      </c>
      <c r="AA838" s="3276">
        <v>6</v>
      </c>
      <c r="AB838" s="3267">
        <v>1140</v>
      </c>
      <c r="AC838" s="3267" t="s">
        <v>2980</v>
      </c>
      <c r="AD838" s="3280" t="s">
        <v>8864</v>
      </c>
      <c r="AE838" s="3279" t="s">
        <v>3344</v>
      </c>
      <c r="AF838" s="3268" t="s">
        <v>2966</v>
      </c>
      <c r="AG838" s="3279" t="s">
        <v>2967</v>
      </c>
      <c r="AH838" s="3267"/>
      <c r="AI838" s="3279" t="s">
        <v>2992</v>
      </c>
      <c r="AJ838" s="3284"/>
      <c r="AK838" s="3278" t="s">
        <v>3137</v>
      </c>
      <c r="AL838" s="3276">
        <v>51</v>
      </c>
      <c r="AM838" s="3267"/>
      <c r="AN838" s="3279" t="s">
        <v>3140</v>
      </c>
      <c r="AO838" s="3267"/>
      <c r="AP838" s="3279" t="s">
        <v>3305</v>
      </c>
      <c r="AQ838" s="3267" t="s">
        <v>3228</v>
      </c>
      <c r="AR838" s="3276"/>
      <c r="AS838" s="3276"/>
      <c r="AT838" s="3276"/>
      <c r="AU838" s="3276"/>
      <c r="AV838" s="3276"/>
      <c r="AW838" s="3276" t="s">
        <v>3119</v>
      </c>
      <c r="AX838" s="3276"/>
      <c r="AY838" s="3291"/>
      <c r="AZ838" s="3267" t="s">
        <v>8863</v>
      </c>
      <c r="BA838" s="3296"/>
      <c r="BB838" s="3297"/>
      <c r="BC838" s="3296"/>
      <c r="BD838" s="3298"/>
      <c r="BE838" s="3276">
        <v>13810351974</v>
      </c>
      <c r="BF838" s="3281"/>
      <c r="BG838" s="3293">
        <v>39013</v>
      </c>
      <c r="BH838" s="3267" t="s">
        <v>2998</v>
      </c>
      <c r="BI838" s="3314" t="s">
        <v>3305</v>
      </c>
      <c r="BJ838" s="3283">
        <v>39013</v>
      </c>
      <c r="BK838" s="3283"/>
      <c r="BL838" s="3267" t="s">
        <v>3249</v>
      </c>
      <c r="BM838" s="3276" t="s">
        <v>2879</v>
      </c>
      <c r="BN838" s="3276" t="s">
        <v>2999</v>
      </c>
      <c r="BO838" s="3276" t="s">
        <v>3000</v>
      </c>
      <c r="BP838" s="3276"/>
      <c r="BQ838" s="3276" t="e">
        <v>#DIV/0!</v>
      </c>
      <c r="BR838" s="3276" t="e">
        <v>#DIV/0!</v>
      </c>
      <c r="BS838" s="3285"/>
      <c r="BT838" s="3285"/>
      <c r="BU838" s="3285"/>
    </row>
    <row r="839" spans="1:249" hidden="1">
      <c r="A839" s="3267" t="s">
        <v>8865</v>
      </c>
      <c r="B839" s="3267" t="s">
        <v>8866</v>
      </c>
      <c r="C839" s="3269" t="s">
        <v>8867</v>
      </c>
      <c r="D839" s="3269" t="s">
        <v>8868</v>
      </c>
      <c r="E839" s="3267" t="s">
        <v>2985</v>
      </c>
      <c r="F839" s="3244" t="s">
        <v>4400</v>
      </c>
      <c r="G839" s="3267"/>
      <c r="H839" s="3267" t="s">
        <v>3263</v>
      </c>
      <c r="I839" s="3267"/>
      <c r="J839" s="3269" t="s">
        <v>8869</v>
      </c>
      <c r="K839" s="3267" t="s">
        <v>8870</v>
      </c>
      <c r="L839" s="3267">
        <v>70.69</v>
      </c>
      <c r="M839" s="3267">
        <v>12</v>
      </c>
      <c r="N839" s="3267" t="s">
        <v>3122</v>
      </c>
      <c r="O839" s="3267"/>
      <c r="P839" s="3268" t="s">
        <v>2963</v>
      </c>
      <c r="Q839" s="3271">
        <v>500000</v>
      </c>
      <c r="R839" s="3267">
        <v>7073</v>
      </c>
      <c r="S839" s="3272">
        <v>45.13</v>
      </c>
      <c r="T839" s="3273">
        <v>451300</v>
      </c>
      <c r="U839" s="3267">
        <v>6385</v>
      </c>
      <c r="V839" s="3274">
        <v>0.2</v>
      </c>
      <c r="W839" s="3272">
        <v>36.1</v>
      </c>
      <c r="X839" s="3275">
        <v>361000</v>
      </c>
      <c r="Y839" s="3276">
        <v>2006</v>
      </c>
      <c r="Z839" s="3276">
        <v>10</v>
      </c>
      <c r="AA839" s="3276">
        <v>24</v>
      </c>
      <c r="AB839" s="3267">
        <v>1350</v>
      </c>
      <c r="AC839" s="3267" t="s">
        <v>2980</v>
      </c>
      <c r="AD839" s="3269" t="s">
        <v>8871</v>
      </c>
      <c r="AE839" s="3279" t="s">
        <v>3304</v>
      </c>
      <c r="AF839" s="3267" t="s">
        <v>2966</v>
      </c>
      <c r="AG839" s="3279" t="s">
        <v>2967</v>
      </c>
      <c r="AH839" s="3267"/>
      <c r="AI839" s="3279" t="s">
        <v>2992</v>
      </c>
      <c r="AJ839" s="3284"/>
      <c r="AK839" s="3278" t="s">
        <v>3148</v>
      </c>
      <c r="AL839" s="3276">
        <v>49</v>
      </c>
      <c r="AM839" s="3276"/>
      <c r="AN839" s="3279" t="s">
        <v>2994</v>
      </c>
      <c r="AO839" s="3276"/>
      <c r="AP839" s="3279" t="s">
        <v>5706</v>
      </c>
      <c r="AQ839" s="3276" t="s">
        <v>2996</v>
      </c>
      <c r="AR839" s="3276"/>
      <c r="AS839" s="3276"/>
      <c r="AT839" s="3276"/>
      <c r="AU839" s="3276"/>
      <c r="AV839" s="3276"/>
      <c r="AW839" s="3276"/>
      <c r="AX839" s="3276"/>
      <c r="AY839" s="3291"/>
      <c r="AZ839" s="3276" t="s">
        <v>8870</v>
      </c>
      <c r="BA839" s="3276"/>
      <c r="BB839" s="3291"/>
      <c r="BC839" s="3276"/>
      <c r="BD839" s="3292"/>
      <c r="BE839" s="3276"/>
      <c r="BF839" s="3281"/>
      <c r="BG839" s="3299">
        <v>38977</v>
      </c>
      <c r="BH839" s="3276"/>
      <c r="BI839" s="3276" t="s">
        <v>5706</v>
      </c>
      <c r="BJ839" s="3283">
        <v>39013</v>
      </c>
      <c r="BK839" s="3283"/>
      <c r="BL839" s="3267" t="s">
        <v>2998</v>
      </c>
      <c r="BM839" s="3276" t="s">
        <v>2999</v>
      </c>
      <c r="BN839" s="3276" t="s">
        <v>2879</v>
      </c>
      <c r="BO839" s="3276" t="s">
        <v>3000</v>
      </c>
      <c r="BP839" s="3276"/>
      <c r="BQ839" s="3276" t="e">
        <v>#DIV/0!</v>
      </c>
      <c r="BR839" s="3276" t="e">
        <v>#DIV/0!</v>
      </c>
      <c r="BS839" s="3285"/>
      <c r="BT839" s="3285"/>
      <c r="BU839" s="3285"/>
    </row>
    <row r="840" spans="1:249" hidden="1">
      <c r="A840" s="3267" t="s">
        <v>8872</v>
      </c>
      <c r="B840" s="3267" t="s">
        <v>8873</v>
      </c>
      <c r="C840" s="3269" t="s">
        <v>8874</v>
      </c>
      <c r="D840" s="3269" t="s">
        <v>8875</v>
      </c>
      <c r="E840" s="3267" t="s">
        <v>2985</v>
      </c>
      <c r="F840" s="3244" t="s">
        <v>3533</v>
      </c>
      <c r="G840" s="3267"/>
      <c r="H840" s="3267" t="s">
        <v>3263</v>
      </c>
      <c r="I840" s="3267" t="s">
        <v>8876</v>
      </c>
      <c r="J840" s="3269" t="s">
        <v>8877</v>
      </c>
      <c r="K840" s="3267" t="s">
        <v>8878</v>
      </c>
      <c r="L840" s="3267">
        <v>51.07</v>
      </c>
      <c r="M840" s="3267">
        <v>6</v>
      </c>
      <c r="N840" s="3267" t="s">
        <v>3152</v>
      </c>
      <c r="O840" s="3267"/>
      <c r="P840" s="3267" t="s">
        <v>2963</v>
      </c>
      <c r="Q840" s="3271">
        <v>450000</v>
      </c>
      <c r="R840" s="3288">
        <v>8811</v>
      </c>
      <c r="S840" s="3272">
        <v>39.78</v>
      </c>
      <c r="T840" s="3273">
        <v>397800</v>
      </c>
      <c r="U840" s="3267">
        <v>7790</v>
      </c>
      <c r="V840" s="3289">
        <v>0.2</v>
      </c>
      <c r="W840" s="3272">
        <v>31.82</v>
      </c>
      <c r="X840" s="3273">
        <v>318200</v>
      </c>
      <c r="Y840" s="3276">
        <v>2006</v>
      </c>
      <c r="Z840" s="3276">
        <v>10</v>
      </c>
      <c r="AA840" s="3276">
        <v>26</v>
      </c>
      <c r="AB840" s="3267">
        <v>1190</v>
      </c>
      <c r="AC840" s="3267" t="s">
        <v>2980</v>
      </c>
      <c r="AD840" s="3269" t="s">
        <v>8879</v>
      </c>
      <c r="AE840" s="3276" t="s">
        <v>3069</v>
      </c>
      <c r="AF840" s="3267" t="s">
        <v>2966</v>
      </c>
      <c r="AG840" s="3279" t="s">
        <v>2967</v>
      </c>
      <c r="AH840" s="3267" t="s">
        <v>2968</v>
      </c>
      <c r="AI840" s="3279" t="s">
        <v>2992</v>
      </c>
      <c r="AJ840" s="3284"/>
      <c r="AK840" s="3316" t="s">
        <v>3148</v>
      </c>
      <c r="AL840" s="3276" t="s">
        <v>5786</v>
      </c>
      <c r="AM840" s="3276"/>
      <c r="AN840" s="3276" t="s">
        <v>2994</v>
      </c>
      <c r="AO840" s="3276"/>
      <c r="AP840" s="3276" t="s">
        <v>3069</v>
      </c>
      <c r="AQ840" s="3267" t="s">
        <v>3113</v>
      </c>
      <c r="AR840" s="3276">
        <v>2006</v>
      </c>
      <c r="AS840" s="3276">
        <v>10</v>
      </c>
      <c r="AT840" s="3276">
        <v>26</v>
      </c>
      <c r="AU840" s="3276"/>
      <c r="AV840" s="3276" t="s">
        <v>2968</v>
      </c>
      <c r="AW840" s="3276" t="s">
        <v>3112</v>
      </c>
      <c r="AX840" s="3276"/>
      <c r="AY840" s="3291"/>
      <c r="AZ840" s="3276" t="s">
        <v>8878</v>
      </c>
      <c r="BA840" s="3276"/>
      <c r="BB840" s="3291"/>
      <c r="BC840" s="3276"/>
      <c r="BD840" s="3292"/>
      <c r="BE840" s="3276"/>
      <c r="BF840" s="3281"/>
      <c r="BG840" s="3299">
        <v>39007</v>
      </c>
      <c r="BH840" s="3276"/>
      <c r="BI840" s="3276" t="s">
        <v>3069</v>
      </c>
      <c r="BJ840" s="3283">
        <v>39014</v>
      </c>
      <c r="BK840" s="3283"/>
      <c r="BL840" s="3267" t="s">
        <v>2998</v>
      </c>
      <c r="BM840" s="3267" t="s">
        <v>2879</v>
      </c>
      <c r="BN840" s="3276" t="s">
        <v>2999</v>
      </c>
      <c r="BO840" s="3276" t="s">
        <v>3146</v>
      </c>
      <c r="BP840" s="3276"/>
      <c r="BQ840" s="3276" t="e">
        <v>#DIV/0!</v>
      </c>
      <c r="BR840" s="3276" t="e">
        <v>#DIV/0!</v>
      </c>
      <c r="BS840" s="3285"/>
      <c r="BT840" s="3285"/>
      <c r="BU840" s="3285"/>
    </row>
    <row r="841" spans="1:249" hidden="1">
      <c r="A841" s="3267" t="s">
        <v>8880</v>
      </c>
      <c r="B841" s="3267" t="s">
        <v>8881</v>
      </c>
      <c r="C841" s="3269" t="s">
        <v>8882</v>
      </c>
      <c r="D841" s="3269" t="s">
        <v>8883</v>
      </c>
      <c r="E841" s="3268" t="s">
        <v>2985</v>
      </c>
      <c r="F841" s="3268" t="s">
        <v>4466</v>
      </c>
      <c r="G841" s="3267"/>
      <c r="H841" s="3268" t="s">
        <v>5151</v>
      </c>
      <c r="I841" s="3268"/>
      <c r="J841" s="3267" t="s">
        <v>7106</v>
      </c>
      <c r="K841" s="3267" t="s">
        <v>8884</v>
      </c>
      <c r="L841" s="3267">
        <v>64.98</v>
      </c>
      <c r="M841" s="3267">
        <v>13</v>
      </c>
      <c r="N841" s="3267" t="s">
        <v>3122</v>
      </c>
      <c r="O841" s="3267"/>
      <c r="P841" s="3267" t="s">
        <v>2963</v>
      </c>
      <c r="Q841" s="3271">
        <v>500000</v>
      </c>
      <c r="R841" s="3267">
        <v>7695</v>
      </c>
      <c r="S841" s="3272">
        <v>43.78</v>
      </c>
      <c r="T841" s="3273">
        <v>437800</v>
      </c>
      <c r="U841" s="3267">
        <v>6738</v>
      </c>
      <c r="V841" s="3289">
        <v>0.2</v>
      </c>
      <c r="W841" s="3272">
        <v>35.020000000000003</v>
      </c>
      <c r="X841" s="3275">
        <v>350200</v>
      </c>
      <c r="Y841" s="3276">
        <v>2006</v>
      </c>
      <c r="Z841" s="3276">
        <v>11</v>
      </c>
      <c r="AA841" s="3276">
        <v>23</v>
      </c>
      <c r="AB841" s="3267">
        <v>1310</v>
      </c>
      <c r="AC841" s="3267" t="s">
        <v>2980</v>
      </c>
      <c r="AD841" s="3304">
        <v>91302006101115</v>
      </c>
      <c r="AE841" s="3276" t="s">
        <v>3069</v>
      </c>
      <c r="AF841" s="3268" t="s">
        <v>2966</v>
      </c>
      <c r="AG841" s="3279" t="s">
        <v>2967</v>
      </c>
      <c r="AH841" s="3267"/>
      <c r="AI841" s="3279" t="s">
        <v>2992</v>
      </c>
      <c r="AJ841" s="3284"/>
      <c r="AK841" s="3316" t="s">
        <v>3137</v>
      </c>
      <c r="AL841" s="3276" t="s">
        <v>5837</v>
      </c>
      <c r="AM841" s="3267" t="s">
        <v>8885</v>
      </c>
      <c r="AN841" s="3279" t="s">
        <v>2994</v>
      </c>
      <c r="AO841" s="3267" t="s">
        <v>2968</v>
      </c>
      <c r="AP841" s="3267" t="s">
        <v>3069</v>
      </c>
      <c r="AQ841" s="3267" t="s">
        <v>3228</v>
      </c>
      <c r="AR841" s="3276">
        <v>2006</v>
      </c>
      <c r="AS841" s="3276">
        <v>11</v>
      </c>
      <c r="AT841" s="3276">
        <v>23</v>
      </c>
      <c r="AU841" s="3276"/>
      <c r="AV841" s="3276"/>
      <c r="AW841" s="3276" t="s">
        <v>3171</v>
      </c>
      <c r="AX841" s="3276"/>
      <c r="AY841" s="3291"/>
      <c r="AZ841" s="3267" t="s">
        <v>8884</v>
      </c>
      <c r="BA841" s="3296"/>
      <c r="BB841" s="3297"/>
      <c r="BC841" s="3296"/>
      <c r="BD841" s="3298"/>
      <c r="BE841" s="3276"/>
      <c r="BF841" s="3281"/>
      <c r="BG841" s="3293">
        <v>38981</v>
      </c>
      <c r="BH841" s="3267"/>
      <c r="BI841" s="3314" t="s">
        <v>3069</v>
      </c>
      <c r="BJ841" s="3283">
        <v>39014</v>
      </c>
      <c r="BK841" s="3283"/>
      <c r="BL841" s="3267" t="s">
        <v>2998</v>
      </c>
      <c r="BM841" s="3276" t="s">
        <v>2879</v>
      </c>
      <c r="BN841" s="3276" t="s">
        <v>2999</v>
      </c>
      <c r="BO841" s="3276" t="s">
        <v>3000</v>
      </c>
      <c r="BP841" s="3276"/>
      <c r="BQ841" s="3276" t="e">
        <v>#DIV/0!</v>
      </c>
      <c r="BR841" s="3276" t="e">
        <v>#DIV/0!</v>
      </c>
      <c r="BS841" s="3285"/>
      <c r="BT841" s="3285"/>
      <c r="BU841" s="3285"/>
    </row>
    <row r="842" spans="1:249" hidden="1">
      <c r="A842" s="3267" t="s">
        <v>8886</v>
      </c>
      <c r="B842" s="3267" t="s">
        <v>8887</v>
      </c>
      <c r="C842" s="3269" t="s">
        <v>8888</v>
      </c>
      <c r="D842" s="3269" t="s">
        <v>8889</v>
      </c>
      <c r="E842" s="3268" t="s">
        <v>2985</v>
      </c>
      <c r="F842" s="3268" t="s">
        <v>4786</v>
      </c>
      <c r="G842" s="3267"/>
      <c r="H842" s="3267" t="s">
        <v>4597</v>
      </c>
      <c r="I842" s="3268"/>
      <c r="J842" s="3267" t="s">
        <v>8890</v>
      </c>
      <c r="K842" s="3267" t="s">
        <v>4676</v>
      </c>
      <c r="L842" s="3267">
        <v>96</v>
      </c>
      <c r="M842" s="3269">
        <v>23</v>
      </c>
      <c r="N842" s="3267" t="s">
        <v>3098</v>
      </c>
      <c r="O842" s="3267"/>
      <c r="P842" s="3267" t="s">
        <v>2963</v>
      </c>
      <c r="Q842" s="3271">
        <v>685000</v>
      </c>
      <c r="R842" s="3267">
        <v>7135</v>
      </c>
      <c r="S842" s="3272">
        <v>58.49</v>
      </c>
      <c r="T842" s="3273">
        <v>584900</v>
      </c>
      <c r="U842" s="3267">
        <v>6093</v>
      </c>
      <c r="V842" s="3289">
        <v>0.3</v>
      </c>
      <c r="W842" s="3272">
        <v>40.94</v>
      </c>
      <c r="X842" s="3275">
        <v>409400</v>
      </c>
      <c r="Y842" s="3276">
        <v>2006</v>
      </c>
      <c r="Z842" s="3276">
        <v>11</v>
      </c>
      <c r="AA842" s="3276">
        <v>28</v>
      </c>
      <c r="AB842" s="3267">
        <v>1500</v>
      </c>
      <c r="AC842" s="3267" t="s">
        <v>2980</v>
      </c>
      <c r="AD842" s="3269" t="s">
        <v>8891</v>
      </c>
      <c r="AE842" s="3279" t="s">
        <v>3344</v>
      </c>
      <c r="AF842" s="3268" t="s">
        <v>2966</v>
      </c>
      <c r="AG842" s="3279" t="s">
        <v>2967</v>
      </c>
      <c r="AH842" s="3267"/>
      <c r="AI842" s="3279" t="s">
        <v>2992</v>
      </c>
      <c r="AJ842" s="3284"/>
      <c r="AK842" s="3278" t="s">
        <v>3137</v>
      </c>
      <c r="AL842" s="3276">
        <v>52</v>
      </c>
      <c r="AM842" s="3276"/>
      <c r="AN842" s="3279" t="s">
        <v>3099</v>
      </c>
      <c r="AO842" s="3267"/>
      <c r="AP842" s="3279" t="s">
        <v>3305</v>
      </c>
      <c r="AQ842" s="3267" t="s">
        <v>3228</v>
      </c>
      <c r="AR842" s="3276"/>
      <c r="AS842" s="3276"/>
      <c r="AT842" s="3276"/>
      <c r="AU842" s="3276"/>
      <c r="AV842" s="3276"/>
      <c r="AW842" s="3276" t="s">
        <v>3119</v>
      </c>
      <c r="AX842" s="3276"/>
      <c r="AY842" s="3291"/>
      <c r="AZ842" s="3267" t="s">
        <v>4676</v>
      </c>
      <c r="BA842" s="3296"/>
      <c r="BB842" s="3297"/>
      <c r="BC842" s="3296"/>
      <c r="BD842" s="3298"/>
      <c r="BE842" s="3276">
        <v>13681279196</v>
      </c>
      <c r="BF842" s="3281"/>
      <c r="BG842" s="3293">
        <v>39006</v>
      </c>
      <c r="BH842" s="3267" t="s">
        <v>2998</v>
      </c>
      <c r="BI842" s="3314" t="s">
        <v>3305</v>
      </c>
      <c r="BJ842" s="3283">
        <v>39014</v>
      </c>
      <c r="BK842" s="3283"/>
      <c r="BL842" s="3267" t="s">
        <v>3249</v>
      </c>
      <c r="BM842" s="3276" t="s">
        <v>2879</v>
      </c>
      <c r="BN842" s="3276" t="s">
        <v>2999</v>
      </c>
      <c r="BO842" s="3276" t="s">
        <v>3000</v>
      </c>
      <c r="BP842" s="3276"/>
      <c r="BQ842" s="3276" t="e">
        <v>#DIV/0!</v>
      </c>
      <c r="BR842" s="3276" t="e">
        <v>#DIV/0!</v>
      </c>
      <c r="BS842" s="3285"/>
      <c r="BT842" s="3285"/>
      <c r="BU842" s="3285"/>
    </row>
    <row r="843" spans="1:249" hidden="1">
      <c r="A843" s="3267" t="s">
        <v>8892</v>
      </c>
      <c r="B843" s="3267" t="s">
        <v>8893</v>
      </c>
      <c r="C843" s="3269" t="s">
        <v>8894</v>
      </c>
      <c r="D843" s="3269" t="s">
        <v>8895</v>
      </c>
      <c r="E843" s="3268" t="s">
        <v>2985</v>
      </c>
      <c r="F843" s="3268" t="s">
        <v>8896</v>
      </c>
      <c r="G843" s="3267"/>
      <c r="H843" s="3268" t="s">
        <v>3263</v>
      </c>
      <c r="I843" s="3268" t="s">
        <v>3608</v>
      </c>
      <c r="J843" s="3267" t="s">
        <v>3123</v>
      </c>
      <c r="K843" s="3267" t="s">
        <v>8897</v>
      </c>
      <c r="L843" s="3267">
        <v>69.28</v>
      </c>
      <c r="M843" s="3267">
        <v>4</v>
      </c>
      <c r="N843" s="3267" t="s">
        <v>7978</v>
      </c>
      <c r="O843" s="3267"/>
      <c r="P843" s="3267" t="s">
        <v>2963</v>
      </c>
      <c r="Q843" s="3271">
        <v>490000</v>
      </c>
      <c r="R843" s="3267">
        <v>7073</v>
      </c>
      <c r="S843" s="3272">
        <v>44.93</v>
      </c>
      <c r="T843" s="3273">
        <v>449300</v>
      </c>
      <c r="U843" s="3267">
        <v>6486</v>
      </c>
      <c r="V843" s="3289">
        <v>0.2</v>
      </c>
      <c r="W843" s="3272">
        <v>35.94</v>
      </c>
      <c r="X843" s="3275">
        <v>359400</v>
      </c>
      <c r="Y843" s="3276">
        <v>2006</v>
      </c>
      <c r="Z843" s="3276">
        <v>11</v>
      </c>
      <c r="AA843" s="3276">
        <v>3</v>
      </c>
      <c r="AB843" s="3267">
        <v>1345</v>
      </c>
      <c r="AC843" s="3267" t="s">
        <v>2980</v>
      </c>
      <c r="AD843" s="3280" t="s">
        <v>8898</v>
      </c>
      <c r="AE843" s="3279" t="s">
        <v>3115</v>
      </c>
      <c r="AF843" s="3268" t="s">
        <v>2966</v>
      </c>
      <c r="AG843" s="3279" t="s">
        <v>2967</v>
      </c>
      <c r="AH843" s="3267"/>
      <c r="AI843" s="3279" t="s">
        <v>2992</v>
      </c>
      <c r="AJ843" s="3284"/>
      <c r="AK843" s="3278" t="s">
        <v>3137</v>
      </c>
      <c r="AL843" s="3276">
        <v>32</v>
      </c>
      <c r="AM843" s="3267"/>
      <c r="AN843" s="3279" t="s">
        <v>3131</v>
      </c>
      <c r="AO843" s="3267"/>
      <c r="AP843" s="3279" t="s">
        <v>3305</v>
      </c>
      <c r="AQ843" s="3267" t="s">
        <v>3228</v>
      </c>
      <c r="AR843" s="3276"/>
      <c r="AS843" s="3276"/>
      <c r="AT843" s="3276"/>
      <c r="AU843" s="3276"/>
      <c r="AV843" s="3276"/>
      <c r="AW843" s="3276" t="s">
        <v>3119</v>
      </c>
      <c r="AX843" s="3276"/>
      <c r="AY843" s="3291"/>
      <c r="AZ843" s="3267" t="s">
        <v>8897</v>
      </c>
      <c r="BA843" s="3296"/>
      <c r="BB843" s="3297"/>
      <c r="BC843" s="3296"/>
      <c r="BD843" s="3298"/>
      <c r="BE843" s="3276"/>
      <c r="BF843" s="3281"/>
      <c r="BG843" s="3293">
        <v>39001</v>
      </c>
      <c r="BH843" s="3267" t="s">
        <v>2998</v>
      </c>
      <c r="BI843" s="3314" t="s">
        <v>3305</v>
      </c>
      <c r="BJ843" s="3283">
        <v>39014</v>
      </c>
      <c r="BK843" s="3283"/>
      <c r="BL843" s="3267" t="s">
        <v>3249</v>
      </c>
      <c r="BM843" s="3276" t="s">
        <v>2879</v>
      </c>
      <c r="BN843" s="3276" t="s">
        <v>3111</v>
      </c>
      <c r="BO843" s="3276" t="s">
        <v>5779</v>
      </c>
      <c r="BP843" s="3276"/>
      <c r="BQ843" s="3276" t="e">
        <v>#DIV/0!</v>
      </c>
      <c r="BR843" s="3276" t="e">
        <v>#DIV/0!</v>
      </c>
      <c r="BS843" s="3285"/>
      <c r="BT843" s="3285"/>
      <c r="BU843" s="3285"/>
    </row>
    <row r="844" spans="1:249" hidden="1">
      <c r="A844" s="3267" t="s">
        <v>8899</v>
      </c>
      <c r="B844" s="3267" t="s">
        <v>8900</v>
      </c>
      <c r="C844" s="3269" t="s">
        <v>8901</v>
      </c>
      <c r="D844" s="3269" t="s">
        <v>8902</v>
      </c>
      <c r="E844" s="3268" t="s">
        <v>2985</v>
      </c>
      <c r="F844" s="3268" t="s">
        <v>3777</v>
      </c>
      <c r="G844" s="3267"/>
      <c r="H844" s="3268" t="s">
        <v>3244</v>
      </c>
      <c r="I844" s="3268"/>
      <c r="J844" s="3267" t="s">
        <v>6259</v>
      </c>
      <c r="K844" s="3267" t="s">
        <v>8903</v>
      </c>
      <c r="L844" s="3267">
        <v>42.82</v>
      </c>
      <c r="M844" s="3267">
        <v>15</v>
      </c>
      <c r="N844" s="3267" t="s">
        <v>3152</v>
      </c>
      <c r="O844" s="3267"/>
      <c r="P844" s="3267" t="s">
        <v>2963</v>
      </c>
      <c r="Q844" s="3271">
        <v>352000</v>
      </c>
      <c r="R844" s="3267">
        <v>8220</v>
      </c>
      <c r="S844" s="3272">
        <v>27.15</v>
      </c>
      <c r="T844" s="3273">
        <v>271500</v>
      </c>
      <c r="U844" s="3267">
        <v>6342</v>
      </c>
      <c r="V844" s="3289">
        <v>0.2</v>
      </c>
      <c r="W844" s="3272">
        <v>21.72</v>
      </c>
      <c r="X844" s="3275">
        <v>217200</v>
      </c>
      <c r="Y844" s="3276">
        <v>2006</v>
      </c>
      <c r="Z844" s="3276">
        <v>11</v>
      </c>
      <c r="AA844" s="3276">
        <v>9</v>
      </c>
      <c r="AB844" s="3267">
        <v>810</v>
      </c>
      <c r="AC844" s="3267" t="s">
        <v>2980</v>
      </c>
      <c r="AD844" s="3280" t="s">
        <v>8904</v>
      </c>
      <c r="AE844" s="3279" t="s">
        <v>3115</v>
      </c>
      <c r="AF844" s="3268" t="s">
        <v>2966</v>
      </c>
      <c r="AG844" s="3279" t="s">
        <v>2967</v>
      </c>
      <c r="AH844" s="3267"/>
      <c r="AI844" s="3279" t="s">
        <v>2992</v>
      </c>
      <c r="AJ844" s="3284"/>
      <c r="AK844" s="3278" t="s">
        <v>3137</v>
      </c>
      <c r="AL844" s="3276">
        <v>48</v>
      </c>
      <c r="AM844" s="3267"/>
      <c r="AN844" s="3279" t="s">
        <v>3140</v>
      </c>
      <c r="AO844" s="3267"/>
      <c r="AP844" s="3279" t="s">
        <v>3305</v>
      </c>
      <c r="AQ844" s="3267" t="s">
        <v>3228</v>
      </c>
      <c r="AR844" s="3276"/>
      <c r="AS844" s="3276"/>
      <c r="AT844" s="3276"/>
      <c r="AU844" s="3276"/>
      <c r="AV844" s="3276"/>
      <c r="AW844" s="3276" t="s">
        <v>3119</v>
      </c>
      <c r="AX844" s="3276"/>
      <c r="AY844" s="3291"/>
      <c r="AZ844" s="3267" t="s">
        <v>8903</v>
      </c>
      <c r="BA844" s="3296"/>
      <c r="BB844" s="3297"/>
      <c r="BC844" s="3296"/>
      <c r="BD844" s="3298"/>
      <c r="BE844" s="3276"/>
      <c r="BF844" s="3281"/>
      <c r="BG844" s="3293">
        <v>39001</v>
      </c>
      <c r="BH844" s="3267" t="s">
        <v>2998</v>
      </c>
      <c r="BI844" s="3314" t="s">
        <v>3305</v>
      </c>
      <c r="BJ844" s="3283">
        <v>39014</v>
      </c>
      <c r="BK844" s="3283"/>
      <c r="BL844" s="3267" t="s">
        <v>3249</v>
      </c>
      <c r="BM844" s="3276" t="s">
        <v>2879</v>
      </c>
      <c r="BN844" s="3276" t="s">
        <v>3111</v>
      </c>
      <c r="BO844" s="3276" t="s">
        <v>5779</v>
      </c>
      <c r="BP844" s="3276"/>
      <c r="BQ844" s="3276" t="e">
        <v>#DIV/0!</v>
      </c>
      <c r="BR844" s="3276" t="e">
        <v>#DIV/0!</v>
      </c>
      <c r="BS844" s="3285"/>
      <c r="BT844" s="3285"/>
      <c r="BU844" s="3285"/>
    </row>
    <row r="845" spans="1:249" hidden="1">
      <c r="A845" s="3267" t="s">
        <v>8905</v>
      </c>
      <c r="B845" s="3267" t="s">
        <v>8906</v>
      </c>
      <c r="C845" s="3269" t="s">
        <v>8907</v>
      </c>
      <c r="D845" s="3269" t="s">
        <v>8908</v>
      </c>
      <c r="E845" s="3268" t="s">
        <v>2985</v>
      </c>
      <c r="F845" s="3268" t="s">
        <v>4761</v>
      </c>
      <c r="G845" s="3267"/>
      <c r="H845" s="3267" t="s">
        <v>3194</v>
      </c>
      <c r="I845" s="3268"/>
      <c r="J845" s="3267" t="s">
        <v>5475</v>
      </c>
      <c r="K845" s="3267" t="s">
        <v>8909</v>
      </c>
      <c r="L845" s="3267">
        <v>91.35</v>
      </c>
      <c r="M845" s="3269">
        <v>7</v>
      </c>
      <c r="N845" s="3267" t="s">
        <v>8910</v>
      </c>
      <c r="O845" s="3267">
        <v>72.47</v>
      </c>
      <c r="P845" s="3267" t="s">
        <v>2963</v>
      </c>
      <c r="Q845" s="3271">
        <v>500000</v>
      </c>
      <c r="R845" s="3267">
        <v>5473</v>
      </c>
      <c r="S845" s="3272">
        <v>50.53</v>
      </c>
      <c r="T845" s="3273">
        <v>505300</v>
      </c>
      <c r="U845" s="3267">
        <v>5532</v>
      </c>
      <c r="V845" s="3289">
        <v>0.3</v>
      </c>
      <c r="W845" s="3272">
        <v>35.369999999999997</v>
      </c>
      <c r="X845" s="3275">
        <v>353700</v>
      </c>
      <c r="Y845" s="3276">
        <v>2006</v>
      </c>
      <c r="Z845" s="3276">
        <v>11</v>
      </c>
      <c r="AA845" s="3276">
        <v>10</v>
      </c>
      <c r="AB845" s="3267">
        <v>1500</v>
      </c>
      <c r="AC845" s="3267" t="s">
        <v>2980</v>
      </c>
      <c r="AD845" s="3269" t="s">
        <v>8911</v>
      </c>
      <c r="AE845" s="3279" t="s">
        <v>3344</v>
      </c>
      <c r="AF845" s="3268" t="s">
        <v>2966</v>
      </c>
      <c r="AG845" s="3279" t="s">
        <v>2967</v>
      </c>
      <c r="AH845" s="3267"/>
      <c r="AI845" s="3279" t="s">
        <v>2992</v>
      </c>
      <c r="AJ845" s="3284"/>
      <c r="AK845" s="3278" t="s">
        <v>3137</v>
      </c>
      <c r="AL845" s="3276">
        <v>55</v>
      </c>
      <c r="AM845" s="3276"/>
      <c r="AN845" s="3279" t="s">
        <v>3140</v>
      </c>
      <c r="AO845" s="3267"/>
      <c r="AP845" s="3279" t="s">
        <v>3305</v>
      </c>
      <c r="AQ845" s="3267" t="s">
        <v>3228</v>
      </c>
      <c r="AR845" s="3276"/>
      <c r="AS845" s="3276"/>
      <c r="AT845" s="3276"/>
      <c r="AU845" s="3276"/>
      <c r="AV845" s="3276"/>
      <c r="AW845" s="3276" t="s">
        <v>3112</v>
      </c>
      <c r="AX845" s="3276"/>
      <c r="AY845" s="3291"/>
      <c r="AZ845" s="3267" t="s">
        <v>8909</v>
      </c>
      <c r="BA845" s="3296"/>
      <c r="BB845" s="3297"/>
      <c r="BC845" s="3296"/>
      <c r="BD845" s="3298"/>
      <c r="BE845" s="3276">
        <v>13051320980</v>
      </c>
      <c r="BF845" s="3281"/>
      <c r="BG845" s="3293">
        <v>38964</v>
      </c>
      <c r="BH845" s="3267" t="s">
        <v>2998</v>
      </c>
      <c r="BI845" s="3314" t="s">
        <v>3305</v>
      </c>
      <c r="BJ845" s="3283">
        <v>39016</v>
      </c>
      <c r="BK845" s="3283"/>
      <c r="BL845" s="3267" t="s">
        <v>3249</v>
      </c>
      <c r="BM845" s="3276" t="s">
        <v>2879</v>
      </c>
      <c r="BN845" s="3276" t="s">
        <v>2999</v>
      </c>
      <c r="BO845" s="3276" t="s">
        <v>3146</v>
      </c>
      <c r="BP845" s="3276"/>
      <c r="BQ845" s="3276">
        <v>6973</v>
      </c>
      <c r="BR845" s="3276">
        <v>6899</v>
      </c>
      <c r="BS845" s="3285"/>
      <c r="BT845" s="3285"/>
      <c r="BU845" s="3285"/>
    </row>
    <row r="846" spans="1:249" hidden="1">
      <c r="A846" s="3267" t="s">
        <v>8912</v>
      </c>
      <c r="B846" s="3267" t="s">
        <v>8913</v>
      </c>
      <c r="C846" s="3269" t="s">
        <v>8914</v>
      </c>
      <c r="D846" s="3269" t="s">
        <v>8915</v>
      </c>
      <c r="E846" s="3268" t="s">
        <v>2985</v>
      </c>
      <c r="F846" s="3268" t="s">
        <v>8916</v>
      </c>
      <c r="G846" s="3267"/>
      <c r="H846" s="3267" t="s">
        <v>3127</v>
      </c>
      <c r="I846" s="3268"/>
      <c r="J846" s="3267" t="s">
        <v>8917</v>
      </c>
      <c r="K846" s="3267" t="s">
        <v>8913</v>
      </c>
      <c r="L846" s="3267">
        <v>76.790000000000006</v>
      </c>
      <c r="M846" s="3267">
        <v>15</v>
      </c>
      <c r="N846" s="3267" t="s">
        <v>3122</v>
      </c>
      <c r="O846" s="3267"/>
      <c r="P846" s="3267" t="s">
        <v>2963</v>
      </c>
      <c r="Q846" s="3271">
        <v>530000</v>
      </c>
      <c r="R846" s="3267">
        <v>6902</v>
      </c>
      <c r="S846" s="3272">
        <v>46.38</v>
      </c>
      <c r="T846" s="3273">
        <v>463800</v>
      </c>
      <c r="U846" s="3267">
        <v>6041</v>
      </c>
      <c r="V846" s="3289">
        <v>0.2</v>
      </c>
      <c r="W846" s="3272">
        <v>37.1</v>
      </c>
      <c r="X846" s="3275">
        <v>371000</v>
      </c>
      <c r="Y846" s="3276">
        <v>2006</v>
      </c>
      <c r="Z846" s="3276">
        <v>12</v>
      </c>
      <c r="AA846" s="3276">
        <v>6</v>
      </c>
      <c r="AB846" s="3267">
        <v>1390</v>
      </c>
      <c r="AC846" s="3267" t="s">
        <v>2980</v>
      </c>
      <c r="AD846" s="3269" t="s">
        <v>8918</v>
      </c>
      <c r="AE846" s="3279" t="s">
        <v>3344</v>
      </c>
      <c r="AF846" s="3268" t="s">
        <v>2966</v>
      </c>
      <c r="AG846" s="3279" t="s">
        <v>2967</v>
      </c>
      <c r="AH846" s="3267" t="s">
        <v>8919</v>
      </c>
      <c r="AI846" s="3279" t="s">
        <v>2992</v>
      </c>
      <c r="AJ846" s="3284"/>
      <c r="AK846" s="3278" t="s">
        <v>3120</v>
      </c>
      <c r="AL846" s="3276">
        <v>42</v>
      </c>
      <c r="AM846" s="3267" t="s">
        <v>8920</v>
      </c>
      <c r="AN846" s="3279" t="s">
        <v>3140</v>
      </c>
      <c r="AO846" s="3267"/>
      <c r="AP846" s="3279" t="s">
        <v>3305</v>
      </c>
      <c r="AQ846" s="3267" t="s">
        <v>3228</v>
      </c>
      <c r="AR846" s="3276"/>
      <c r="AS846" s="3276"/>
      <c r="AT846" s="3276"/>
      <c r="AU846" s="3276"/>
      <c r="AV846" s="3276"/>
      <c r="AW846" s="3276" t="s">
        <v>3112</v>
      </c>
      <c r="AX846" s="3276"/>
      <c r="AY846" s="3291"/>
      <c r="AZ846" s="3267" t="s">
        <v>8921</v>
      </c>
      <c r="BA846" s="3296"/>
      <c r="BB846" s="3297"/>
      <c r="BC846" s="3296"/>
      <c r="BD846" s="3296"/>
      <c r="BE846" s="3276">
        <v>13611100045</v>
      </c>
      <c r="BF846" s="3281"/>
      <c r="BG846" s="3293">
        <v>39016</v>
      </c>
      <c r="BH846" s="3267" t="s">
        <v>2998</v>
      </c>
      <c r="BI846" s="3314" t="s">
        <v>3305</v>
      </c>
      <c r="BJ846" s="3283">
        <v>39016</v>
      </c>
      <c r="BK846" s="3283"/>
      <c r="BL846" s="3267" t="s">
        <v>3249</v>
      </c>
      <c r="BM846" s="3276" t="s">
        <v>2879</v>
      </c>
      <c r="BN846" s="3276" t="s">
        <v>2999</v>
      </c>
      <c r="BO846" s="3276" t="s">
        <v>3146</v>
      </c>
      <c r="BP846" s="3276"/>
      <c r="BQ846" s="3276" t="e">
        <v>#DIV/0!</v>
      </c>
      <c r="BR846" s="3276" t="e">
        <v>#DIV/0!</v>
      </c>
      <c r="BS846" s="3285"/>
      <c r="BT846" s="3285"/>
      <c r="BU846" s="3285"/>
    </row>
    <row r="847" spans="1:249" hidden="1">
      <c r="A847" s="3267" t="s">
        <v>8922</v>
      </c>
      <c r="B847" s="3267" t="s">
        <v>8923</v>
      </c>
      <c r="C847" s="3269" t="s">
        <v>8924</v>
      </c>
      <c r="D847" s="3269" t="s">
        <v>8925</v>
      </c>
      <c r="E847" s="3268" t="s">
        <v>2985</v>
      </c>
      <c r="F847" s="3268" t="s">
        <v>8926</v>
      </c>
      <c r="G847" s="3267"/>
      <c r="H847" s="3267" t="s">
        <v>3139</v>
      </c>
      <c r="I847" s="3268" t="s">
        <v>3458</v>
      </c>
      <c r="J847" s="3267" t="s">
        <v>7401</v>
      </c>
      <c r="K847" s="3267" t="s">
        <v>8927</v>
      </c>
      <c r="L847" s="3267">
        <v>73.56</v>
      </c>
      <c r="M847" s="3267">
        <v>4</v>
      </c>
      <c r="N847" s="3267" t="s">
        <v>3098</v>
      </c>
      <c r="O847" s="3267"/>
      <c r="P847" s="3267" t="s">
        <v>2963</v>
      </c>
      <c r="Q847" s="3271">
        <v>440000</v>
      </c>
      <c r="R847" s="3267">
        <v>5982</v>
      </c>
      <c r="S847" s="3272">
        <v>45.67</v>
      </c>
      <c r="T847" s="3273">
        <v>456700</v>
      </c>
      <c r="U847" s="3267">
        <v>6209</v>
      </c>
      <c r="V847" s="3289">
        <v>0.2</v>
      </c>
      <c r="W847" s="3272">
        <v>36.53</v>
      </c>
      <c r="X847" s="3275">
        <v>365300</v>
      </c>
      <c r="Y847" s="3276">
        <v>2006</v>
      </c>
      <c r="Z847" s="3276">
        <v>11</v>
      </c>
      <c r="AA847" s="3276">
        <v>15</v>
      </c>
      <c r="AB847" s="3267">
        <v>1370</v>
      </c>
      <c r="AC847" s="3267" t="s">
        <v>2980</v>
      </c>
      <c r="AD847" s="3269" t="s">
        <v>8928</v>
      </c>
      <c r="AE847" s="3276" t="s">
        <v>3344</v>
      </c>
      <c r="AF847" s="3267" t="s">
        <v>2966</v>
      </c>
      <c r="AG847" s="3279" t="s">
        <v>2967</v>
      </c>
      <c r="AH847" s="3267" t="s">
        <v>5388</v>
      </c>
      <c r="AI847" s="3279" t="s">
        <v>2992</v>
      </c>
      <c r="AJ847" s="3284"/>
      <c r="AK847" s="3316" t="s">
        <v>3137</v>
      </c>
      <c r="AL847" s="3276">
        <v>35</v>
      </c>
      <c r="AM847" s="3267"/>
      <c r="AN847" s="3279" t="s">
        <v>3114</v>
      </c>
      <c r="AO847" s="3267"/>
      <c r="AP847" s="3276" t="s">
        <v>4230</v>
      </c>
      <c r="AQ847" s="3276" t="s">
        <v>3113</v>
      </c>
      <c r="AR847" s="3276"/>
      <c r="AS847" s="3276"/>
      <c r="AT847" s="3276"/>
      <c r="AU847" s="3276"/>
      <c r="AV847" s="3276" t="s">
        <v>2968</v>
      </c>
      <c r="AW847" s="3276" t="s">
        <v>3171</v>
      </c>
      <c r="AX847" s="3276"/>
      <c r="AY847" s="3291"/>
      <c r="AZ847" s="3267" t="s">
        <v>8927</v>
      </c>
      <c r="BA847" s="3296"/>
      <c r="BB847" s="3297"/>
      <c r="BC847" s="3296"/>
      <c r="BD847" s="3298"/>
      <c r="BE847" s="3276">
        <v>13501158652</v>
      </c>
      <c r="BF847" s="3281" t="s">
        <v>2968</v>
      </c>
      <c r="BG847" s="3293">
        <v>38960</v>
      </c>
      <c r="BH847" s="3267" t="s">
        <v>2998</v>
      </c>
      <c r="BI847" s="3267" t="s">
        <v>4230</v>
      </c>
      <c r="BJ847" s="3283">
        <v>39017</v>
      </c>
      <c r="BK847" s="3283"/>
      <c r="BL847" s="3267" t="s">
        <v>3249</v>
      </c>
      <c r="BM847" s="3276" t="s">
        <v>2879</v>
      </c>
      <c r="BN847" s="3276" t="s">
        <v>2999</v>
      </c>
      <c r="BO847" s="3276" t="s">
        <v>3146</v>
      </c>
      <c r="BP847" s="3276"/>
      <c r="BQ847" s="3276" t="e">
        <v>#DIV/0!</v>
      </c>
      <c r="BR847" s="3276" t="e">
        <v>#DIV/0!</v>
      </c>
      <c r="BS847" s="3285"/>
      <c r="BT847" s="3285"/>
      <c r="BU847" s="3285"/>
    </row>
    <row r="848" spans="1:249" hidden="1">
      <c r="A848" s="3268" t="s">
        <v>8929</v>
      </c>
      <c r="B848" s="3267" t="s">
        <v>5238</v>
      </c>
      <c r="C848" s="3269" t="s">
        <v>5239</v>
      </c>
      <c r="D848" s="3269" t="s">
        <v>5240</v>
      </c>
      <c r="E848" s="3267" t="s">
        <v>2985</v>
      </c>
      <c r="F848" s="3268" t="s">
        <v>5241</v>
      </c>
      <c r="G848" s="3267"/>
      <c r="H848" s="3267" t="s">
        <v>3182</v>
      </c>
      <c r="I848" s="3267"/>
      <c r="J848" s="3269" t="s">
        <v>8930</v>
      </c>
      <c r="K848" s="3267" t="s">
        <v>5243</v>
      </c>
      <c r="L848" s="3267">
        <v>91.08</v>
      </c>
      <c r="M848" s="3267">
        <v>6</v>
      </c>
      <c r="N848" s="3267" t="s">
        <v>3125</v>
      </c>
      <c r="O848" s="3267"/>
      <c r="P848" s="3363" t="s">
        <v>2963</v>
      </c>
      <c r="Q848" s="3271">
        <v>570000</v>
      </c>
      <c r="R848" s="3267">
        <v>6258</v>
      </c>
      <c r="S848" s="3272">
        <v>52.99</v>
      </c>
      <c r="T848" s="3273">
        <v>529900</v>
      </c>
      <c r="U848" s="3267">
        <v>5819</v>
      </c>
      <c r="V848" s="3289">
        <v>0.3</v>
      </c>
      <c r="W848" s="3272">
        <v>37.090000000000003</v>
      </c>
      <c r="X848" s="3275">
        <v>370900</v>
      </c>
      <c r="Y848" s="3267">
        <v>2006</v>
      </c>
      <c r="Z848" s="3276">
        <v>7</v>
      </c>
      <c r="AA848" s="3276">
        <v>6</v>
      </c>
      <c r="AB848" s="3267">
        <v>1500</v>
      </c>
      <c r="AC848" s="3267" t="s">
        <v>3444</v>
      </c>
      <c r="AD848" s="3267"/>
      <c r="AE848" s="3267" t="s">
        <v>3487</v>
      </c>
      <c r="AF848" s="3267" t="s">
        <v>2966</v>
      </c>
      <c r="AG848" s="3267" t="s">
        <v>2967</v>
      </c>
      <c r="AH848" s="3267" t="s">
        <v>2968</v>
      </c>
      <c r="AI848" s="3270" t="s">
        <v>2992</v>
      </c>
      <c r="AJ848" s="3284"/>
      <c r="AK848" s="3278">
        <v>7</v>
      </c>
      <c r="AL848" s="3276">
        <v>42</v>
      </c>
      <c r="AM848" s="3276"/>
      <c r="AN848" s="3279" t="s">
        <v>3131</v>
      </c>
      <c r="AO848" s="3276" t="s">
        <v>2968</v>
      </c>
      <c r="AP848" s="3276" t="s">
        <v>3487</v>
      </c>
      <c r="AQ848" s="3276" t="s">
        <v>2996</v>
      </c>
      <c r="AR848" s="3276"/>
      <c r="AS848" s="3276"/>
      <c r="AT848" s="3276"/>
      <c r="AU848" s="3276"/>
      <c r="AV848" s="3276" t="s">
        <v>2968</v>
      </c>
      <c r="AW848" s="3276" t="s">
        <v>3171</v>
      </c>
      <c r="AX848" s="3276"/>
      <c r="AY848" s="3291"/>
      <c r="AZ848" s="3267"/>
      <c r="BA848" s="3276"/>
      <c r="BB848" s="3291"/>
      <c r="BC848" s="3276"/>
      <c r="BD848" s="3292"/>
      <c r="BE848" s="3276"/>
      <c r="BF848" s="3281"/>
      <c r="BG848" s="3290">
        <v>38889</v>
      </c>
      <c r="BH848" s="3276" t="s">
        <v>2998</v>
      </c>
      <c r="BI848" s="3267" t="s">
        <v>3487</v>
      </c>
      <c r="BJ848" s="3283">
        <v>38902</v>
      </c>
      <c r="BK848" s="3283"/>
      <c r="BL848" s="3267" t="s">
        <v>2998</v>
      </c>
      <c r="BM848" s="3276"/>
      <c r="BN848" s="3276"/>
      <c r="BO848" s="3276"/>
      <c r="BP848" s="3276"/>
      <c r="BQ848" s="3276" t="e">
        <v>#DIV/0!</v>
      </c>
      <c r="BR848" s="3276" t="e">
        <v>#DIV/0!</v>
      </c>
      <c r="BS848" s="3285"/>
      <c r="BT848" s="3285"/>
      <c r="BU848" s="3285"/>
    </row>
    <row r="849" spans="1:255" hidden="1">
      <c r="A849" s="3267" t="s">
        <v>8931</v>
      </c>
      <c r="B849" s="3267" t="s">
        <v>8932</v>
      </c>
      <c r="C849" s="3269" t="s">
        <v>8933</v>
      </c>
      <c r="D849" s="3269" t="s">
        <v>8934</v>
      </c>
      <c r="E849" s="3268" t="s">
        <v>2985</v>
      </c>
      <c r="F849" s="3268" t="s">
        <v>8193</v>
      </c>
      <c r="G849" s="3267"/>
      <c r="H849" s="3267" t="s">
        <v>3225</v>
      </c>
      <c r="I849" s="3268"/>
      <c r="J849" s="3267" t="s">
        <v>6988</v>
      </c>
      <c r="K849" s="3267" t="s">
        <v>8935</v>
      </c>
      <c r="L849" s="3267">
        <v>69.319999999999993</v>
      </c>
      <c r="M849" s="3267">
        <v>15</v>
      </c>
      <c r="N849" s="3267" t="s">
        <v>3098</v>
      </c>
      <c r="O849" s="3267"/>
      <c r="P849" s="3267" t="s">
        <v>2963</v>
      </c>
      <c r="Q849" s="3271">
        <v>619000</v>
      </c>
      <c r="R849" s="3267">
        <v>8930</v>
      </c>
      <c r="S849" s="3272">
        <v>49.36</v>
      </c>
      <c r="T849" s="3273">
        <v>493600</v>
      </c>
      <c r="U849" s="3267">
        <v>7122</v>
      </c>
      <c r="V849" s="3289">
        <v>0.2</v>
      </c>
      <c r="W849" s="3272">
        <v>39.479999999999997</v>
      </c>
      <c r="X849" s="3275">
        <v>394799.99999999994</v>
      </c>
      <c r="Y849" s="3276">
        <v>2006</v>
      </c>
      <c r="Z849" s="3276">
        <v>11</v>
      </c>
      <c r="AA849" s="3276">
        <v>28</v>
      </c>
      <c r="AB849" s="3267">
        <v>1480</v>
      </c>
      <c r="AC849" s="3267" t="s">
        <v>2980</v>
      </c>
      <c r="AD849" s="3269" t="s">
        <v>8936</v>
      </c>
      <c r="AE849" s="3276" t="s">
        <v>3304</v>
      </c>
      <c r="AF849" s="3267" t="s">
        <v>2966</v>
      </c>
      <c r="AG849" s="3279" t="s">
        <v>2967</v>
      </c>
      <c r="AH849" s="3267"/>
      <c r="AI849" s="3279" t="s">
        <v>2992</v>
      </c>
      <c r="AJ849" s="3284"/>
      <c r="AK849" s="3316" t="s">
        <v>3137</v>
      </c>
      <c r="AL849" s="3276">
        <v>43</v>
      </c>
      <c r="AM849" s="3267" t="s">
        <v>8937</v>
      </c>
      <c r="AN849" s="3279" t="s">
        <v>3099</v>
      </c>
      <c r="AO849" s="3267"/>
      <c r="AP849" s="3276" t="s">
        <v>4532</v>
      </c>
      <c r="AQ849" s="3276" t="s">
        <v>3113</v>
      </c>
      <c r="AR849" s="3267">
        <v>2006</v>
      </c>
      <c r="AS849" s="3267">
        <v>11</v>
      </c>
      <c r="AT849" s="3267">
        <v>28</v>
      </c>
      <c r="AU849" s="3276"/>
      <c r="AV849" s="3276" t="s">
        <v>2968</v>
      </c>
      <c r="AW849" s="3276" t="s">
        <v>3171</v>
      </c>
      <c r="AX849" s="3276"/>
      <c r="AY849" s="3291"/>
      <c r="AZ849" s="3267" t="s">
        <v>8935</v>
      </c>
      <c r="BA849" s="3296"/>
      <c r="BB849" s="3297"/>
      <c r="BC849" s="3296"/>
      <c r="BD849" s="3298"/>
      <c r="BE849" s="3276">
        <v>13801005949</v>
      </c>
      <c r="BF849" s="3281" t="s">
        <v>2968</v>
      </c>
      <c r="BG849" s="3293">
        <v>39016</v>
      </c>
      <c r="BH849" s="3267" t="s">
        <v>2998</v>
      </c>
      <c r="BI849" s="3267" t="s">
        <v>4532</v>
      </c>
      <c r="BJ849" s="3283">
        <v>39020</v>
      </c>
      <c r="BK849" s="3283"/>
      <c r="BL849" s="3267" t="s">
        <v>2998</v>
      </c>
      <c r="BM849" s="3276" t="s">
        <v>2879</v>
      </c>
      <c r="BN849" s="3276" t="s">
        <v>2999</v>
      </c>
      <c r="BO849" s="3276" t="s">
        <v>3146</v>
      </c>
      <c r="BP849" s="3276"/>
      <c r="BQ849" s="3276" t="e">
        <v>#DIV/0!</v>
      </c>
      <c r="BR849" s="3276" t="e">
        <v>#DIV/0!</v>
      </c>
      <c r="BS849" s="3285"/>
      <c r="BT849" s="3285"/>
      <c r="BU849" s="3285"/>
    </row>
    <row r="850" spans="1:255" hidden="1">
      <c r="A850" s="3267" t="s">
        <v>8938</v>
      </c>
      <c r="B850" s="3267" t="s">
        <v>8939</v>
      </c>
      <c r="C850" s="3269" t="s">
        <v>8940</v>
      </c>
      <c r="D850" s="3269" t="s">
        <v>8941</v>
      </c>
      <c r="E850" s="3267" t="s">
        <v>2985</v>
      </c>
      <c r="F850" s="3269" t="s">
        <v>8942</v>
      </c>
      <c r="G850" s="3267"/>
      <c r="H850" s="3267" t="s">
        <v>3703</v>
      </c>
      <c r="I850" s="3268"/>
      <c r="J850" s="3268" t="s">
        <v>3471</v>
      </c>
      <c r="K850" s="3267" t="s">
        <v>8943</v>
      </c>
      <c r="L850" s="3267">
        <v>91.65</v>
      </c>
      <c r="M850" s="3267">
        <v>18</v>
      </c>
      <c r="N850" s="3267" t="s">
        <v>3125</v>
      </c>
      <c r="O850" s="3267"/>
      <c r="P850" s="3267" t="s">
        <v>2963</v>
      </c>
      <c r="Q850" s="3271">
        <v>630000</v>
      </c>
      <c r="R850" s="3267">
        <v>6874</v>
      </c>
      <c r="S850" s="3272">
        <v>58.73</v>
      </c>
      <c r="T850" s="3273">
        <v>587300</v>
      </c>
      <c r="U850" s="3267">
        <v>6409</v>
      </c>
      <c r="V850" s="3289">
        <v>0.3</v>
      </c>
      <c r="W850" s="3272">
        <v>41.11</v>
      </c>
      <c r="X850" s="3275">
        <v>411100</v>
      </c>
      <c r="Y850" s="3276">
        <v>2006</v>
      </c>
      <c r="Z850" s="3276">
        <v>11</v>
      </c>
      <c r="AA850" s="3276">
        <v>16</v>
      </c>
      <c r="AB850" s="3267">
        <v>1500</v>
      </c>
      <c r="AC850" s="3267" t="s">
        <v>2980</v>
      </c>
      <c r="AD850" s="3366">
        <v>91302006101489</v>
      </c>
      <c r="AE850" s="3279" t="s">
        <v>2991</v>
      </c>
      <c r="AF850" s="3268"/>
      <c r="AG850" s="3279" t="s">
        <v>2967</v>
      </c>
      <c r="AH850" s="3267"/>
      <c r="AI850" s="3279" t="s">
        <v>2992</v>
      </c>
      <c r="AJ850" s="3284"/>
      <c r="AK850" s="3278" t="s">
        <v>3137</v>
      </c>
      <c r="AL850" s="3276">
        <v>55</v>
      </c>
      <c r="AM850" s="3267"/>
      <c r="AN850" s="3279" t="s">
        <v>3114</v>
      </c>
      <c r="AO850" s="3267"/>
      <c r="AP850" s="3279" t="s">
        <v>2991</v>
      </c>
      <c r="AQ850" s="3276" t="s">
        <v>3113</v>
      </c>
      <c r="AR850" s="3276">
        <v>2006</v>
      </c>
      <c r="AS850" s="3276">
        <v>11</v>
      </c>
      <c r="AT850" s="3276">
        <v>16</v>
      </c>
      <c r="AU850" s="3276"/>
      <c r="AV850" s="3276"/>
      <c r="AW850" s="3276" t="s">
        <v>2997</v>
      </c>
      <c r="AX850" s="3276"/>
      <c r="AY850" s="3291"/>
      <c r="AZ850" s="3267" t="s">
        <v>8943</v>
      </c>
      <c r="BA850" s="3296"/>
      <c r="BB850" s="3297"/>
      <c r="BC850" s="3296"/>
      <c r="BD850" s="3298"/>
      <c r="BE850" s="3276"/>
      <c r="BF850" s="3281"/>
      <c r="BG850" s="3293">
        <v>38971</v>
      </c>
      <c r="BH850" s="3267"/>
      <c r="BI850" s="3267" t="s">
        <v>2991</v>
      </c>
      <c r="BJ850" s="3299">
        <v>39020</v>
      </c>
      <c r="BK850" s="3283"/>
      <c r="BL850" s="3267" t="s">
        <v>2998</v>
      </c>
      <c r="BM850" s="3276" t="s">
        <v>2879</v>
      </c>
      <c r="BN850" s="3276" t="s">
        <v>2999</v>
      </c>
      <c r="BO850" s="3276" t="s">
        <v>3146</v>
      </c>
      <c r="BP850" s="3276"/>
      <c r="BQ850" s="3276" t="e">
        <v>#DIV/0!</v>
      </c>
      <c r="BR850" s="3276" t="e">
        <v>#DIV/0!</v>
      </c>
      <c r="BS850" s="3285"/>
      <c r="BT850" s="3285"/>
      <c r="BU850" s="3285"/>
      <c r="BY850" s="3262" t="s">
        <v>3262</v>
      </c>
      <c r="BZ850" s="3262" t="s">
        <v>3262</v>
      </c>
      <c r="CA850" s="3262" t="s">
        <v>3262</v>
      </c>
      <c r="CB850" s="3262" t="s">
        <v>3262</v>
      </c>
      <c r="CC850" s="3262" t="s">
        <v>3262</v>
      </c>
      <c r="CD850" s="3262" t="s">
        <v>3262</v>
      </c>
      <c r="CE850" s="3262" t="s">
        <v>3262</v>
      </c>
      <c r="CF850" s="3262" t="s">
        <v>3262</v>
      </c>
      <c r="CG850" s="3262" t="s">
        <v>3262</v>
      </c>
      <c r="CH850" s="3262" t="s">
        <v>3262</v>
      </c>
      <c r="CI850" s="3262" t="s">
        <v>3262</v>
      </c>
      <c r="CJ850" s="3262" t="s">
        <v>3262</v>
      </c>
      <c r="CK850" s="3262" t="s">
        <v>3262</v>
      </c>
      <c r="CL850" s="3262" t="s">
        <v>3262</v>
      </c>
      <c r="CM850" s="3262" t="s">
        <v>3262</v>
      </c>
      <c r="CN850" s="3262" t="s">
        <v>3262</v>
      </c>
      <c r="CO850" s="3262" t="s">
        <v>3262</v>
      </c>
      <c r="CP850" s="3262" t="s">
        <v>3262</v>
      </c>
      <c r="CQ850" s="3262" t="s">
        <v>3262</v>
      </c>
      <c r="CR850" s="3262" t="s">
        <v>3262</v>
      </c>
      <c r="CS850" s="3262" t="s">
        <v>3262</v>
      </c>
      <c r="CT850" s="3262" t="s">
        <v>3262</v>
      </c>
      <c r="CU850" s="3262" t="s">
        <v>3262</v>
      </c>
      <c r="CV850" s="3262" t="s">
        <v>3262</v>
      </c>
      <c r="CW850" s="3262" t="s">
        <v>3262</v>
      </c>
      <c r="CX850" s="3262" t="s">
        <v>3262</v>
      </c>
      <c r="CY850" s="3262" t="s">
        <v>3262</v>
      </c>
      <c r="CZ850" s="3262" t="s">
        <v>3262</v>
      </c>
      <c r="DA850" s="3262" t="s">
        <v>3262</v>
      </c>
      <c r="DB850" s="3262" t="s">
        <v>3262</v>
      </c>
      <c r="DC850" s="3262" t="s">
        <v>3262</v>
      </c>
      <c r="DD850" s="3262" t="s">
        <v>3262</v>
      </c>
      <c r="DE850" s="3262" t="s">
        <v>3262</v>
      </c>
      <c r="DF850" s="3262" t="s">
        <v>3262</v>
      </c>
      <c r="DG850" s="3262" t="s">
        <v>3262</v>
      </c>
      <c r="DH850" s="3262" t="s">
        <v>3262</v>
      </c>
      <c r="DI850" s="3262" t="s">
        <v>3262</v>
      </c>
      <c r="DJ850" s="3262" t="s">
        <v>3262</v>
      </c>
      <c r="DK850" s="3262" t="s">
        <v>3262</v>
      </c>
      <c r="DL850" s="3262" t="s">
        <v>3262</v>
      </c>
      <c r="DM850" s="3262" t="s">
        <v>3262</v>
      </c>
      <c r="DN850" s="3262" t="s">
        <v>3262</v>
      </c>
      <c r="DO850" s="3262" t="s">
        <v>3262</v>
      </c>
      <c r="DP850" s="3262" t="s">
        <v>3262</v>
      </c>
      <c r="DQ850" s="3262" t="s">
        <v>3262</v>
      </c>
      <c r="DR850" s="3262" t="s">
        <v>3262</v>
      </c>
      <c r="DS850" s="3262" t="s">
        <v>3262</v>
      </c>
      <c r="DT850" s="3262" t="s">
        <v>3262</v>
      </c>
      <c r="DU850" s="3262" t="s">
        <v>3262</v>
      </c>
      <c r="DV850" s="3262" t="s">
        <v>3262</v>
      </c>
      <c r="DW850" s="3262" t="s">
        <v>3262</v>
      </c>
      <c r="DX850" s="3262" t="s">
        <v>3262</v>
      </c>
      <c r="DY850" s="3262" t="s">
        <v>3262</v>
      </c>
      <c r="DZ850" s="3262" t="s">
        <v>3262</v>
      </c>
      <c r="EA850" s="3262" t="s">
        <v>3262</v>
      </c>
      <c r="EB850" s="3262" t="s">
        <v>3262</v>
      </c>
      <c r="EC850" s="3262" t="s">
        <v>3262</v>
      </c>
      <c r="ED850" s="3262" t="s">
        <v>3262</v>
      </c>
      <c r="EE850" s="3262" t="s">
        <v>3262</v>
      </c>
      <c r="EF850" s="3262" t="s">
        <v>3262</v>
      </c>
      <c r="EG850" s="3262" t="s">
        <v>3262</v>
      </c>
      <c r="EH850" s="3262" t="s">
        <v>3262</v>
      </c>
      <c r="EI850" s="3262" t="s">
        <v>3262</v>
      </c>
      <c r="EJ850" s="3262" t="s">
        <v>3262</v>
      </c>
      <c r="EK850" s="3262" t="s">
        <v>3262</v>
      </c>
      <c r="EL850" s="3262" t="s">
        <v>3262</v>
      </c>
      <c r="EM850" s="3262" t="s">
        <v>3262</v>
      </c>
      <c r="EN850" s="3262" t="s">
        <v>3262</v>
      </c>
      <c r="EO850" s="3262" t="s">
        <v>3262</v>
      </c>
      <c r="EP850" s="3262" t="s">
        <v>3262</v>
      </c>
      <c r="EQ850" s="3262" t="s">
        <v>3262</v>
      </c>
      <c r="ER850" s="3262" t="s">
        <v>3262</v>
      </c>
      <c r="ES850" s="3262" t="s">
        <v>3262</v>
      </c>
      <c r="ET850" s="3262" t="s">
        <v>3262</v>
      </c>
      <c r="EU850" s="3262" t="s">
        <v>3262</v>
      </c>
      <c r="EV850" s="3262" t="s">
        <v>3262</v>
      </c>
      <c r="EW850" s="3262" t="s">
        <v>3262</v>
      </c>
      <c r="EX850" s="3262" t="s">
        <v>3262</v>
      </c>
      <c r="EY850" s="3262" t="s">
        <v>3262</v>
      </c>
      <c r="EZ850" s="3262" t="s">
        <v>3262</v>
      </c>
      <c r="FA850" s="3262" t="s">
        <v>3262</v>
      </c>
      <c r="FB850" s="3262" t="s">
        <v>3262</v>
      </c>
      <c r="FC850" s="3262" t="s">
        <v>3262</v>
      </c>
      <c r="FD850" s="3262" t="s">
        <v>3262</v>
      </c>
      <c r="FE850" s="3262" t="s">
        <v>3262</v>
      </c>
      <c r="FF850" s="3262" t="s">
        <v>3262</v>
      </c>
      <c r="FG850" s="3262" t="s">
        <v>3262</v>
      </c>
      <c r="FH850" s="3262" t="s">
        <v>3262</v>
      </c>
      <c r="FI850" s="3262" t="s">
        <v>3262</v>
      </c>
      <c r="FJ850" s="3262" t="s">
        <v>3262</v>
      </c>
      <c r="FK850" s="3262" t="s">
        <v>3262</v>
      </c>
      <c r="FL850" s="3262" t="s">
        <v>3262</v>
      </c>
      <c r="FM850" s="3262" t="s">
        <v>3262</v>
      </c>
      <c r="FN850" s="3262" t="s">
        <v>3262</v>
      </c>
      <c r="FO850" s="3262" t="s">
        <v>3262</v>
      </c>
      <c r="FP850" s="3262" t="s">
        <v>3262</v>
      </c>
      <c r="FQ850" s="3262" t="s">
        <v>3262</v>
      </c>
      <c r="FR850" s="3262" t="s">
        <v>3262</v>
      </c>
      <c r="FS850" s="3262" t="s">
        <v>3262</v>
      </c>
      <c r="FT850" s="3262" t="s">
        <v>3262</v>
      </c>
      <c r="FU850" s="3262" t="s">
        <v>3262</v>
      </c>
      <c r="FV850" s="3262" t="s">
        <v>3262</v>
      </c>
      <c r="FW850" s="3262" t="s">
        <v>3262</v>
      </c>
      <c r="FX850" s="3262" t="s">
        <v>3262</v>
      </c>
      <c r="FY850" s="3262" t="s">
        <v>3262</v>
      </c>
      <c r="FZ850" s="3262" t="s">
        <v>3262</v>
      </c>
      <c r="GA850" s="3262" t="s">
        <v>3262</v>
      </c>
      <c r="GB850" s="3262" t="s">
        <v>3262</v>
      </c>
      <c r="GC850" s="3262" t="s">
        <v>3262</v>
      </c>
      <c r="GD850" s="3262" t="s">
        <v>3262</v>
      </c>
      <c r="GE850" s="3262" t="s">
        <v>3262</v>
      </c>
      <c r="GF850" s="3262" t="s">
        <v>3262</v>
      </c>
      <c r="GG850" s="3262" t="s">
        <v>3262</v>
      </c>
      <c r="GH850" s="3262" t="s">
        <v>3262</v>
      </c>
      <c r="GI850" s="3262" t="s">
        <v>3262</v>
      </c>
      <c r="GJ850" s="3262" t="s">
        <v>3262</v>
      </c>
      <c r="GK850" s="3262" t="s">
        <v>3262</v>
      </c>
      <c r="GL850" s="3262" t="s">
        <v>3262</v>
      </c>
      <c r="GM850" s="3262" t="s">
        <v>3262</v>
      </c>
      <c r="GN850" s="3262" t="s">
        <v>3262</v>
      </c>
      <c r="GO850" s="3262" t="s">
        <v>3262</v>
      </c>
      <c r="GP850" s="3262" t="s">
        <v>3262</v>
      </c>
      <c r="GQ850" s="3262" t="s">
        <v>3262</v>
      </c>
      <c r="GR850" s="3262" t="s">
        <v>3262</v>
      </c>
      <c r="GS850" s="3262" t="s">
        <v>3262</v>
      </c>
      <c r="GT850" s="3262" t="s">
        <v>3262</v>
      </c>
      <c r="GU850" s="3262" t="s">
        <v>3262</v>
      </c>
      <c r="GV850" s="3262" t="s">
        <v>3262</v>
      </c>
      <c r="GW850" s="3262" t="s">
        <v>3262</v>
      </c>
      <c r="GX850" s="3262" t="s">
        <v>3262</v>
      </c>
      <c r="GY850" s="3262" t="s">
        <v>3262</v>
      </c>
      <c r="GZ850" s="3262" t="s">
        <v>3262</v>
      </c>
      <c r="HA850" s="3262" t="s">
        <v>3262</v>
      </c>
      <c r="HB850" s="3262" t="s">
        <v>3262</v>
      </c>
      <c r="HC850" s="3262" t="s">
        <v>3262</v>
      </c>
      <c r="HD850" s="3262" t="s">
        <v>3262</v>
      </c>
      <c r="HE850" s="3262" t="s">
        <v>3262</v>
      </c>
      <c r="HF850" s="3262" t="s">
        <v>3262</v>
      </c>
      <c r="HG850" s="3262" t="s">
        <v>3262</v>
      </c>
      <c r="HH850" s="3262" t="s">
        <v>3262</v>
      </c>
      <c r="HI850" s="3262" t="s">
        <v>3262</v>
      </c>
      <c r="HJ850" s="3262" t="s">
        <v>3262</v>
      </c>
      <c r="HK850" s="3262" t="s">
        <v>3262</v>
      </c>
      <c r="HL850" s="3262" t="s">
        <v>3262</v>
      </c>
      <c r="HM850" s="3262" t="s">
        <v>3262</v>
      </c>
      <c r="HN850" s="3262" t="s">
        <v>3262</v>
      </c>
      <c r="HO850" s="3262" t="s">
        <v>3262</v>
      </c>
      <c r="HP850" s="3262" t="s">
        <v>3262</v>
      </c>
      <c r="HQ850" s="3262" t="s">
        <v>3262</v>
      </c>
      <c r="HR850" s="3262" t="s">
        <v>3262</v>
      </c>
      <c r="HS850" s="3262" t="s">
        <v>3262</v>
      </c>
      <c r="HT850" s="3262" t="s">
        <v>3262</v>
      </c>
      <c r="HU850" s="3262" t="s">
        <v>3262</v>
      </c>
      <c r="HV850" s="3262" t="s">
        <v>3262</v>
      </c>
      <c r="HW850" s="3262" t="s">
        <v>3262</v>
      </c>
      <c r="HX850" s="3262" t="s">
        <v>3262</v>
      </c>
      <c r="HY850" s="3262" t="s">
        <v>3262</v>
      </c>
      <c r="HZ850" s="3262" t="s">
        <v>3262</v>
      </c>
      <c r="IA850" s="3262" t="s">
        <v>3262</v>
      </c>
      <c r="IB850" s="3262" t="s">
        <v>3262</v>
      </c>
      <c r="IC850" s="3262" t="s">
        <v>3262</v>
      </c>
      <c r="ID850" s="3262" t="s">
        <v>3262</v>
      </c>
      <c r="IE850" s="3262" t="s">
        <v>3262</v>
      </c>
      <c r="IF850" s="3262" t="s">
        <v>3262</v>
      </c>
      <c r="IG850" s="3262" t="s">
        <v>3262</v>
      </c>
      <c r="IH850" s="3262" t="s">
        <v>3262</v>
      </c>
      <c r="II850" s="3262" t="s">
        <v>3262</v>
      </c>
      <c r="IJ850" s="3262" t="s">
        <v>3262</v>
      </c>
      <c r="IK850" s="3262" t="s">
        <v>3262</v>
      </c>
      <c r="IL850" s="3262" t="s">
        <v>3262</v>
      </c>
      <c r="IM850" s="3262" t="s">
        <v>3262</v>
      </c>
      <c r="IN850" s="3262" t="s">
        <v>3262</v>
      </c>
      <c r="IO850" s="3262" t="s">
        <v>3262</v>
      </c>
    </row>
    <row r="851" spans="1:255" hidden="1">
      <c r="A851" s="3267" t="s">
        <v>8944</v>
      </c>
      <c r="B851" s="3267" t="s">
        <v>8945</v>
      </c>
      <c r="C851" s="3269" t="s">
        <v>8946</v>
      </c>
      <c r="D851" s="3269" t="s">
        <v>8947</v>
      </c>
      <c r="E851" s="3268" t="s">
        <v>2985</v>
      </c>
      <c r="F851" s="3268" t="s">
        <v>4135</v>
      </c>
      <c r="G851" s="3267" t="s">
        <v>3262</v>
      </c>
      <c r="H851" s="3268" t="s">
        <v>8948</v>
      </c>
      <c r="I851" s="3268" t="s">
        <v>2968</v>
      </c>
      <c r="J851" s="3267" t="s">
        <v>8949</v>
      </c>
      <c r="K851" s="3267" t="s">
        <v>8950</v>
      </c>
      <c r="L851" s="3267" t="s">
        <v>8951</v>
      </c>
      <c r="M851" s="3267" t="s">
        <v>3282</v>
      </c>
      <c r="N851" s="3267" t="s">
        <v>3122</v>
      </c>
      <c r="O851" s="3267" t="s">
        <v>3262</v>
      </c>
      <c r="P851" s="3267" t="s">
        <v>2963</v>
      </c>
      <c r="Q851" s="3271" t="s">
        <v>8952</v>
      </c>
      <c r="R851" s="3267" t="s">
        <v>8953</v>
      </c>
      <c r="S851" s="3272" t="s">
        <v>8954</v>
      </c>
      <c r="T851" s="3273" t="s">
        <v>8955</v>
      </c>
      <c r="U851" s="3267" t="s">
        <v>8956</v>
      </c>
      <c r="V851" s="3289" t="s">
        <v>6079</v>
      </c>
      <c r="W851" s="3272" t="s">
        <v>8957</v>
      </c>
      <c r="X851" s="3275" t="s">
        <v>8958</v>
      </c>
      <c r="Y851" s="3276" t="s">
        <v>4007</v>
      </c>
      <c r="Z851" s="3276" t="s">
        <v>4029</v>
      </c>
      <c r="AA851" s="3276" t="s">
        <v>6082</v>
      </c>
      <c r="AB851" s="3267" t="s">
        <v>8959</v>
      </c>
      <c r="AC851" s="3267" t="s">
        <v>2980</v>
      </c>
      <c r="AD851" s="3280" t="s">
        <v>8960</v>
      </c>
      <c r="AE851" s="3268" t="s">
        <v>2979</v>
      </c>
      <c r="AF851" s="3268" t="s">
        <v>2966</v>
      </c>
      <c r="AG851" s="3279" t="s">
        <v>2967</v>
      </c>
      <c r="AH851" s="3267" t="s">
        <v>3262</v>
      </c>
      <c r="AI851" s="3267" t="s">
        <v>2992</v>
      </c>
      <c r="AJ851" s="3284" t="s">
        <v>3262</v>
      </c>
      <c r="AK851" s="3278" t="s">
        <v>3120</v>
      </c>
      <c r="AL851" s="3276" t="s">
        <v>8961</v>
      </c>
      <c r="AM851" s="3276" t="s">
        <v>3262</v>
      </c>
      <c r="AN851" s="3267" t="s">
        <v>3114</v>
      </c>
      <c r="AO851" s="3267" t="s">
        <v>3262</v>
      </c>
      <c r="AP851" s="3279" t="s">
        <v>2979</v>
      </c>
      <c r="AQ851" s="3267" t="s">
        <v>3228</v>
      </c>
      <c r="AR851" s="3276" t="s">
        <v>3262</v>
      </c>
      <c r="AS851" s="3276" t="s">
        <v>3262</v>
      </c>
      <c r="AT851" s="3276" t="s">
        <v>3262</v>
      </c>
      <c r="AU851" s="3276" t="s">
        <v>3262</v>
      </c>
      <c r="AV851" s="3276" t="s">
        <v>3262</v>
      </c>
      <c r="AW851" s="3276" t="s">
        <v>3171</v>
      </c>
      <c r="AX851" s="3276" t="s">
        <v>3262</v>
      </c>
      <c r="AY851" s="3291" t="s">
        <v>3262</v>
      </c>
      <c r="AZ851" s="3267" t="s">
        <v>8950</v>
      </c>
      <c r="BA851" s="3296" t="s">
        <v>3262</v>
      </c>
      <c r="BB851" s="3297" t="s">
        <v>3262</v>
      </c>
      <c r="BC851" s="3296" t="s">
        <v>3262</v>
      </c>
      <c r="BD851" s="3298" t="s">
        <v>3262</v>
      </c>
      <c r="BE851" s="3276" t="s">
        <v>3262</v>
      </c>
      <c r="BF851" s="3281" t="s">
        <v>3262</v>
      </c>
      <c r="BG851" s="3293" t="s">
        <v>8962</v>
      </c>
      <c r="BH851" s="3267" t="s">
        <v>3262</v>
      </c>
      <c r="BI851" s="3314" t="s">
        <v>2979</v>
      </c>
      <c r="BJ851" s="3283" t="s">
        <v>8963</v>
      </c>
      <c r="BK851" s="3283" t="s">
        <v>3262</v>
      </c>
      <c r="BL851" s="3267" t="s">
        <v>2998</v>
      </c>
      <c r="BM851" s="3276" t="s">
        <v>2879</v>
      </c>
      <c r="BN851" s="3276" t="s">
        <v>3111</v>
      </c>
      <c r="BO851" s="3276" t="s">
        <v>3268</v>
      </c>
      <c r="BP851" s="3276" t="s">
        <v>3262</v>
      </c>
      <c r="BQ851" s="3276" t="s">
        <v>4010</v>
      </c>
      <c r="BR851" s="3276" t="s">
        <v>4010</v>
      </c>
      <c r="BS851" s="3285"/>
      <c r="BT851" s="3285"/>
      <c r="BU851" s="3285"/>
    </row>
    <row r="852" spans="1:255" hidden="1">
      <c r="A852" s="3267" t="s">
        <v>8964</v>
      </c>
      <c r="B852" s="3267" t="s">
        <v>8965</v>
      </c>
      <c r="C852" s="3269" t="s">
        <v>8966</v>
      </c>
      <c r="D852" s="3269" t="s">
        <v>8967</v>
      </c>
      <c r="E852" s="3267" t="s">
        <v>2985</v>
      </c>
      <c r="F852" s="3269" t="s">
        <v>8456</v>
      </c>
      <c r="G852" s="3267"/>
      <c r="H852" s="3267" t="s">
        <v>3097</v>
      </c>
      <c r="I852" s="3268" t="s">
        <v>3586</v>
      </c>
      <c r="J852" s="3268" t="s">
        <v>3380</v>
      </c>
      <c r="K852" s="3267" t="s">
        <v>8968</v>
      </c>
      <c r="L852" s="3267">
        <v>61.63</v>
      </c>
      <c r="M852" s="3267">
        <v>3</v>
      </c>
      <c r="N852" s="3267" t="s">
        <v>3122</v>
      </c>
      <c r="O852" s="3267"/>
      <c r="P852" s="3267" t="s">
        <v>2963</v>
      </c>
      <c r="Q852" s="3271">
        <v>470000</v>
      </c>
      <c r="R852" s="3267">
        <v>7626</v>
      </c>
      <c r="S852" s="3272">
        <v>38.479999999999997</v>
      </c>
      <c r="T852" s="3273">
        <v>384800</v>
      </c>
      <c r="U852" s="3267">
        <v>6245</v>
      </c>
      <c r="V852" s="3289">
        <v>0.2</v>
      </c>
      <c r="W852" s="3272">
        <v>30.78</v>
      </c>
      <c r="X852" s="3275">
        <v>307800</v>
      </c>
      <c r="Y852" s="3276">
        <v>2006</v>
      </c>
      <c r="Z852" s="3276">
        <v>12</v>
      </c>
      <c r="AA852" s="3276">
        <v>26</v>
      </c>
      <c r="AB852" s="3267">
        <v>1150</v>
      </c>
      <c r="AC852" s="3267" t="s">
        <v>2980</v>
      </c>
      <c r="AD852" s="3366">
        <v>91302006101519</v>
      </c>
      <c r="AE852" s="3279" t="s">
        <v>3396</v>
      </c>
      <c r="AF852" s="3267" t="s">
        <v>2966</v>
      </c>
      <c r="AG852" s="3279" t="s">
        <v>2967</v>
      </c>
      <c r="AH852" s="3267"/>
      <c r="AI852" s="3279" t="s">
        <v>2992</v>
      </c>
      <c r="AJ852" s="3284"/>
      <c r="AK852" s="3278" t="s">
        <v>3137</v>
      </c>
      <c r="AL852" s="3276">
        <v>33</v>
      </c>
      <c r="AM852" s="3276" t="s">
        <v>8969</v>
      </c>
      <c r="AN852" s="3279" t="s">
        <v>3131</v>
      </c>
      <c r="AO852" s="3267"/>
      <c r="AP852" s="3279" t="s">
        <v>3396</v>
      </c>
      <c r="AQ852" s="3267" t="s">
        <v>3228</v>
      </c>
      <c r="AR852" s="3276"/>
      <c r="AS852" s="3276"/>
      <c r="AT852" s="3276"/>
      <c r="AU852" s="3276"/>
      <c r="AV852" s="3276"/>
      <c r="AW852" s="3276" t="s">
        <v>2997</v>
      </c>
      <c r="AX852" s="3276"/>
      <c r="AY852" s="3291"/>
      <c r="AZ852" s="3267" t="s">
        <v>8968</v>
      </c>
      <c r="BA852" s="3296"/>
      <c r="BB852" s="3297"/>
      <c r="BC852" s="3296"/>
      <c r="BD852" s="3298"/>
      <c r="BE852" s="3276"/>
      <c r="BF852" s="3281"/>
      <c r="BG852" s="3293">
        <v>39021</v>
      </c>
      <c r="BH852" s="3267"/>
      <c r="BI852" s="3267" t="s">
        <v>3396</v>
      </c>
      <c r="BJ852" s="3299">
        <v>39021</v>
      </c>
      <c r="BK852" s="3283"/>
      <c r="BL852" s="3267" t="s">
        <v>2998</v>
      </c>
      <c r="BM852" s="3276" t="s">
        <v>2879</v>
      </c>
      <c r="BN852" s="3276" t="s">
        <v>2999</v>
      </c>
      <c r="BO852" s="3276" t="s">
        <v>3146</v>
      </c>
      <c r="BP852" s="3276"/>
      <c r="BQ852" s="3276" t="e">
        <v>#DIV/0!</v>
      </c>
      <c r="BR852" s="3276" t="e">
        <v>#DIV/0!</v>
      </c>
      <c r="BS852" s="3285"/>
      <c r="BT852" s="3285"/>
      <c r="BU852" s="3285"/>
      <c r="BW852" s="3262" t="s">
        <v>3262</v>
      </c>
      <c r="BX852" s="3262" t="s">
        <v>3262</v>
      </c>
      <c r="BY852" s="3262" t="s">
        <v>3262</v>
      </c>
      <c r="BZ852" s="3262" t="s">
        <v>3262</v>
      </c>
      <c r="CA852" s="3262" t="s">
        <v>3262</v>
      </c>
      <c r="CB852" s="3262" t="s">
        <v>3262</v>
      </c>
      <c r="CC852" s="3262" t="s">
        <v>3262</v>
      </c>
      <c r="CD852" s="3262" t="s">
        <v>3262</v>
      </c>
      <c r="CE852" s="3262" t="s">
        <v>3262</v>
      </c>
      <c r="CF852" s="3262" t="s">
        <v>3262</v>
      </c>
      <c r="CG852" s="3262" t="s">
        <v>3262</v>
      </c>
      <c r="CH852" s="3262" t="s">
        <v>3262</v>
      </c>
      <c r="CI852" s="3262" t="s">
        <v>3262</v>
      </c>
      <c r="CJ852" s="3262" t="s">
        <v>3262</v>
      </c>
      <c r="CK852" s="3262" t="s">
        <v>3262</v>
      </c>
      <c r="CL852" s="3262" t="s">
        <v>3262</v>
      </c>
      <c r="CM852" s="3262" t="s">
        <v>3262</v>
      </c>
      <c r="CN852" s="3262" t="s">
        <v>3262</v>
      </c>
      <c r="CO852" s="3262" t="s">
        <v>3262</v>
      </c>
      <c r="CP852" s="3262" t="s">
        <v>3262</v>
      </c>
      <c r="CQ852" s="3262" t="s">
        <v>3262</v>
      </c>
      <c r="CR852" s="3262" t="s">
        <v>3262</v>
      </c>
      <c r="CS852" s="3262" t="s">
        <v>3262</v>
      </c>
      <c r="CT852" s="3262" t="s">
        <v>3262</v>
      </c>
      <c r="CU852" s="3262" t="s">
        <v>3262</v>
      </c>
      <c r="CV852" s="3262" t="s">
        <v>3262</v>
      </c>
      <c r="CW852" s="3262" t="s">
        <v>3262</v>
      </c>
      <c r="CX852" s="3262" t="s">
        <v>3262</v>
      </c>
      <c r="CY852" s="3262" t="s">
        <v>3262</v>
      </c>
      <c r="CZ852" s="3262" t="s">
        <v>3262</v>
      </c>
      <c r="DA852" s="3262" t="s">
        <v>3262</v>
      </c>
      <c r="DB852" s="3262" t="s">
        <v>3262</v>
      </c>
      <c r="DC852" s="3262" t="s">
        <v>3262</v>
      </c>
      <c r="DD852" s="3262" t="s">
        <v>3262</v>
      </c>
      <c r="DE852" s="3262" t="s">
        <v>3262</v>
      </c>
      <c r="DF852" s="3262" t="s">
        <v>3262</v>
      </c>
      <c r="DG852" s="3262" t="s">
        <v>3262</v>
      </c>
      <c r="DH852" s="3262" t="s">
        <v>3262</v>
      </c>
      <c r="DI852" s="3262" t="s">
        <v>3262</v>
      </c>
      <c r="DJ852" s="3262" t="s">
        <v>3262</v>
      </c>
      <c r="DK852" s="3262" t="s">
        <v>3262</v>
      </c>
      <c r="DL852" s="3262" t="s">
        <v>3262</v>
      </c>
      <c r="DM852" s="3262" t="s">
        <v>3262</v>
      </c>
      <c r="DN852" s="3262" t="s">
        <v>3262</v>
      </c>
      <c r="DO852" s="3262" t="s">
        <v>3262</v>
      </c>
      <c r="DP852" s="3262" t="s">
        <v>3262</v>
      </c>
      <c r="DQ852" s="3262" t="s">
        <v>3262</v>
      </c>
      <c r="DR852" s="3262" t="s">
        <v>3262</v>
      </c>
      <c r="DS852" s="3262" t="s">
        <v>3262</v>
      </c>
      <c r="DT852" s="3262" t="s">
        <v>3262</v>
      </c>
      <c r="DU852" s="3262" t="s">
        <v>3262</v>
      </c>
      <c r="DV852" s="3262" t="s">
        <v>3262</v>
      </c>
      <c r="DW852" s="3262" t="s">
        <v>3262</v>
      </c>
      <c r="DX852" s="3262" t="s">
        <v>3262</v>
      </c>
      <c r="DY852" s="3262" t="s">
        <v>3262</v>
      </c>
      <c r="DZ852" s="3262" t="s">
        <v>3262</v>
      </c>
      <c r="EA852" s="3262" t="s">
        <v>3262</v>
      </c>
      <c r="EB852" s="3262" t="s">
        <v>3262</v>
      </c>
      <c r="EC852" s="3262" t="s">
        <v>3262</v>
      </c>
      <c r="ED852" s="3262" t="s">
        <v>3262</v>
      </c>
      <c r="EE852" s="3262" t="s">
        <v>3262</v>
      </c>
      <c r="EF852" s="3262" t="s">
        <v>3262</v>
      </c>
      <c r="EG852" s="3262" t="s">
        <v>3262</v>
      </c>
      <c r="EH852" s="3262" t="s">
        <v>3262</v>
      </c>
      <c r="EI852" s="3262" t="s">
        <v>3262</v>
      </c>
      <c r="EJ852" s="3262" t="s">
        <v>3262</v>
      </c>
      <c r="EK852" s="3262" t="s">
        <v>3262</v>
      </c>
      <c r="EL852" s="3262" t="s">
        <v>3262</v>
      </c>
      <c r="EM852" s="3262" t="s">
        <v>3262</v>
      </c>
      <c r="EN852" s="3262" t="s">
        <v>3262</v>
      </c>
      <c r="EO852" s="3262" t="s">
        <v>3262</v>
      </c>
      <c r="EP852" s="3262" t="s">
        <v>3262</v>
      </c>
      <c r="EQ852" s="3262" t="s">
        <v>3262</v>
      </c>
      <c r="ER852" s="3262" t="s">
        <v>3262</v>
      </c>
      <c r="ES852" s="3262" t="s">
        <v>3262</v>
      </c>
      <c r="ET852" s="3262" t="s">
        <v>3262</v>
      </c>
      <c r="EU852" s="3262" t="s">
        <v>3262</v>
      </c>
      <c r="EV852" s="3262" t="s">
        <v>3262</v>
      </c>
      <c r="EW852" s="3262" t="s">
        <v>3262</v>
      </c>
      <c r="EX852" s="3262" t="s">
        <v>3262</v>
      </c>
      <c r="EY852" s="3262" t="s">
        <v>3262</v>
      </c>
      <c r="EZ852" s="3262" t="s">
        <v>3262</v>
      </c>
      <c r="FA852" s="3262" t="s">
        <v>3262</v>
      </c>
      <c r="FB852" s="3262" t="s">
        <v>3262</v>
      </c>
      <c r="FC852" s="3262" t="s">
        <v>3262</v>
      </c>
      <c r="FD852" s="3262" t="s">
        <v>3262</v>
      </c>
      <c r="FE852" s="3262" t="s">
        <v>3262</v>
      </c>
      <c r="FF852" s="3262" t="s">
        <v>3262</v>
      </c>
      <c r="FG852" s="3262" t="s">
        <v>3262</v>
      </c>
      <c r="FH852" s="3262" t="s">
        <v>3262</v>
      </c>
      <c r="FI852" s="3262" t="s">
        <v>3262</v>
      </c>
      <c r="FJ852" s="3262" t="s">
        <v>3262</v>
      </c>
      <c r="FK852" s="3262" t="s">
        <v>3262</v>
      </c>
      <c r="FL852" s="3262" t="s">
        <v>3262</v>
      </c>
      <c r="FM852" s="3262" t="s">
        <v>3262</v>
      </c>
      <c r="FN852" s="3262" t="s">
        <v>3262</v>
      </c>
      <c r="FO852" s="3262" t="s">
        <v>3262</v>
      </c>
      <c r="FP852" s="3262" t="s">
        <v>3262</v>
      </c>
      <c r="FQ852" s="3262" t="s">
        <v>3262</v>
      </c>
      <c r="FR852" s="3262" t="s">
        <v>3262</v>
      </c>
      <c r="FS852" s="3262" t="s">
        <v>3262</v>
      </c>
      <c r="FT852" s="3262" t="s">
        <v>3262</v>
      </c>
      <c r="FU852" s="3262" t="s">
        <v>3262</v>
      </c>
      <c r="FV852" s="3262" t="s">
        <v>3262</v>
      </c>
      <c r="FW852" s="3262" t="s">
        <v>3262</v>
      </c>
      <c r="FX852" s="3262" t="s">
        <v>3262</v>
      </c>
      <c r="FY852" s="3262" t="s">
        <v>3262</v>
      </c>
      <c r="FZ852" s="3262" t="s">
        <v>3262</v>
      </c>
      <c r="GA852" s="3262" t="s">
        <v>3262</v>
      </c>
      <c r="GB852" s="3262" t="s">
        <v>3262</v>
      </c>
      <c r="GC852" s="3262" t="s">
        <v>3262</v>
      </c>
      <c r="GD852" s="3262" t="s">
        <v>3262</v>
      </c>
      <c r="GE852" s="3262" t="s">
        <v>3262</v>
      </c>
      <c r="GF852" s="3262" t="s">
        <v>3262</v>
      </c>
      <c r="GG852" s="3262" t="s">
        <v>3262</v>
      </c>
      <c r="GH852" s="3262" t="s">
        <v>3262</v>
      </c>
      <c r="GI852" s="3262" t="s">
        <v>3262</v>
      </c>
      <c r="GJ852" s="3262" t="s">
        <v>3262</v>
      </c>
      <c r="GK852" s="3262" t="s">
        <v>3262</v>
      </c>
      <c r="GL852" s="3262" t="s">
        <v>3262</v>
      </c>
      <c r="GM852" s="3262" t="s">
        <v>3262</v>
      </c>
      <c r="GN852" s="3262" t="s">
        <v>3262</v>
      </c>
      <c r="GO852" s="3262" t="s">
        <v>3262</v>
      </c>
      <c r="GP852" s="3262" t="s">
        <v>3262</v>
      </c>
      <c r="GQ852" s="3262" t="s">
        <v>3262</v>
      </c>
      <c r="GR852" s="3262" t="s">
        <v>3262</v>
      </c>
      <c r="GS852" s="3262" t="s">
        <v>3262</v>
      </c>
      <c r="GT852" s="3262" t="s">
        <v>3262</v>
      </c>
      <c r="GU852" s="3262" t="s">
        <v>3262</v>
      </c>
      <c r="GV852" s="3262" t="s">
        <v>3262</v>
      </c>
      <c r="GW852" s="3262" t="s">
        <v>3262</v>
      </c>
      <c r="GX852" s="3262" t="s">
        <v>3262</v>
      </c>
      <c r="GY852" s="3262" t="s">
        <v>3262</v>
      </c>
      <c r="GZ852" s="3262" t="s">
        <v>3262</v>
      </c>
      <c r="HA852" s="3262" t="s">
        <v>3262</v>
      </c>
      <c r="HB852" s="3262" t="s">
        <v>3262</v>
      </c>
      <c r="HC852" s="3262" t="s">
        <v>3262</v>
      </c>
      <c r="HD852" s="3262" t="s">
        <v>3262</v>
      </c>
      <c r="HE852" s="3262" t="s">
        <v>3262</v>
      </c>
      <c r="HF852" s="3262" t="s">
        <v>3262</v>
      </c>
      <c r="HG852" s="3262" t="s">
        <v>3262</v>
      </c>
      <c r="HH852" s="3262" t="s">
        <v>3262</v>
      </c>
      <c r="HI852" s="3262" t="s">
        <v>3262</v>
      </c>
      <c r="HJ852" s="3262" t="s">
        <v>3262</v>
      </c>
      <c r="HK852" s="3262" t="s">
        <v>3262</v>
      </c>
      <c r="HL852" s="3262" t="s">
        <v>3262</v>
      </c>
      <c r="HM852" s="3262" t="s">
        <v>3262</v>
      </c>
      <c r="HN852" s="3262" t="s">
        <v>3262</v>
      </c>
      <c r="HO852" s="3262" t="s">
        <v>3262</v>
      </c>
      <c r="HP852" s="3262" t="s">
        <v>3262</v>
      </c>
      <c r="HQ852" s="3262" t="s">
        <v>3262</v>
      </c>
      <c r="HR852" s="3262" t="s">
        <v>3262</v>
      </c>
      <c r="HS852" s="3262" t="s">
        <v>3262</v>
      </c>
      <c r="HT852" s="3262" t="s">
        <v>3262</v>
      </c>
      <c r="HU852" s="3262" t="s">
        <v>3262</v>
      </c>
      <c r="HV852" s="3262" t="s">
        <v>3262</v>
      </c>
      <c r="HW852" s="3262" t="s">
        <v>3262</v>
      </c>
      <c r="HX852" s="3262" t="s">
        <v>3262</v>
      </c>
      <c r="HY852" s="3262" t="s">
        <v>3262</v>
      </c>
      <c r="HZ852" s="3262" t="s">
        <v>3262</v>
      </c>
      <c r="IA852" s="3262" t="s">
        <v>3262</v>
      </c>
      <c r="IB852" s="3262" t="s">
        <v>3262</v>
      </c>
      <c r="IC852" s="3262" t="s">
        <v>3262</v>
      </c>
      <c r="ID852" s="3262" t="s">
        <v>3262</v>
      </c>
      <c r="IE852" s="3262" t="s">
        <v>3262</v>
      </c>
      <c r="IF852" s="3262" t="s">
        <v>3262</v>
      </c>
      <c r="IG852" s="3262" t="s">
        <v>3262</v>
      </c>
      <c r="IH852" s="3262" t="s">
        <v>3262</v>
      </c>
      <c r="II852" s="3262" t="s">
        <v>3262</v>
      </c>
      <c r="IJ852" s="3262" t="s">
        <v>3262</v>
      </c>
      <c r="IK852" s="3262" t="s">
        <v>3262</v>
      </c>
    </row>
    <row r="853" spans="1:255" hidden="1">
      <c r="A853" s="3267" t="s">
        <v>8970</v>
      </c>
      <c r="B853" s="3267" t="s">
        <v>8971</v>
      </c>
      <c r="C853" s="3269" t="s">
        <v>8972</v>
      </c>
      <c r="D853" s="3269" t="s">
        <v>8973</v>
      </c>
      <c r="E853" s="3268" t="s">
        <v>2985</v>
      </c>
      <c r="F853" s="3268" t="s">
        <v>5896</v>
      </c>
      <c r="G853" s="3267"/>
      <c r="H853" s="3267" t="s">
        <v>3225</v>
      </c>
      <c r="I853" s="3268"/>
      <c r="J853" s="3267" t="s">
        <v>3185</v>
      </c>
      <c r="K853" s="3267" t="s">
        <v>8974</v>
      </c>
      <c r="L853" s="3267">
        <v>62.08</v>
      </c>
      <c r="M853" s="3267">
        <v>2</v>
      </c>
      <c r="N853" s="3267" t="s">
        <v>3122</v>
      </c>
      <c r="O853" s="3267"/>
      <c r="P853" s="3267" t="s">
        <v>2963</v>
      </c>
      <c r="Q853" s="3271">
        <v>643000</v>
      </c>
      <c r="R853" s="3267">
        <v>10358</v>
      </c>
      <c r="S853" s="3272">
        <v>51.5</v>
      </c>
      <c r="T853" s="3273">
        <v>515000</v>
      </c>
      <c r="U853" s="3267">
        <v>8296</v>
      </c>
      <c r="V853" s="3289">
        <v>0.2</v>
      </c>
      <c r="W853" s="3272">
        <v>41.2</v>
      </c>
      <c r="X853" s="3275">
        <v>412000</v>
      </c>
      <c r="Y853" s="3276">
        <v>2006</v>
      </c>
      <c r="Z853" s="3276">
        <v>11</v>
      </c>
      <c r="AA853" s="3276">
        <v>9</v>
      </c>
      <c r="AB853" s="3267">
        <v>1500</v>
      </c>
      <c r="AC853" s="3267" t="s">
        <v>2980</v>
      </c>
      <c r="AD853" s="3269" t="s">
        <v>8975</v>
      </c>
      <c r="AE853" s="3276" t="s">
        <v>3344</v>
      </c>
      <c r="AF853" s="3267" t="s">
        <v>2966</v>
      </c>
      <c r="AG853" s="3279" t="s">
        <v>2967</v>
      </c>
      <c r="AH853" s="3267" t="s">
        <v>2968</v>
      </c>
      <c r="AI853" s="3279" t="s">
        <v>2992</v>
      </c>
      <c r="AJ853" s="3284"/>
      <c r="AK853" s="3316" t="s">
        <v>3137</v>
      </c>
      <c r="AL853" s="3276">
        <v>50</v>
      </c>
      <c r="AM853" s="3267"/>
      <c r="AN853" s="3279" t="s">
        <v>3140</v>
      </c>
      <c r="AO853" s="3267"/>
      <c r="AP853" s="3276" t="s">
        <v>4230</v>
      </c>
      <c r="AQ853" s="3276" t="s">
        <v>3113</v>
      </c>
      <c r="AR853" s="3276"/>
      <c r="AS853" s="3276"/>
      <c r="AT853" s="3276"/>
      <c r="AU853" s="3276"/>
      <c r="AV853" s="3276" t="s">
        <v>2968</v>
      </c>
      <c r="AW853" s="3276" t="s">
        <v>3171</v>
      </c>
      <c r="AX853" s="3276"/>
      <c r="AY853" s="3291"/>
      <c r="AZ853" s="3267" t="s">
        <v>8974</v>
      </c>
      <c r="BA853" s="3296"/>
      <c r="BB853" s="3297"/>
      <c r="BC853" s="3296"/>
      <c r="BD853" s="3298"/>
      <c r="BE853" s="3276" t="s">
        <v>8976</v>
      </c>
      <c r="BF853" s="3281" t="s">
        <v>2968</v>
      </c>
      <c r="BG853" s="3293">
        <v>39014</v>
      </c>
      <c r="BH853" s="3267" t="s">
        <v>2998</v>
      </c>
      <c r="BI853" s="3267" t="s">
        <v>4230</v>
      </c>
      <c r="BJ853" s="3283">
        <v>39021</v>
      </c>
      <c r="BK853" s="3283"/>
      <c r="BL853" s="3267" t="s">
        <v>3249</v>
      </c>
      <c r="BM853" s="3276" t="s">
        <v>2879</v>
      </c>
      <c r="BN853" s="3276" t="s">
        <v>2999</v>
      </c>
      <c r="BO853" s="3276" t="s">
        <v>3146</v>
      </c>
      <c r="BP853" s="3276"/>
      <c r="BQ853" s="3276" t="e">
        <v>#DIV/0!</v>
      </c>
      <c r="BR853" s="3276" t="e">
        <v>#DIV/0!</v>
      </c>
      <c r="BS853" s="3285"/>
      <c r="BT853" s="3285"/>
      <c r="BU853" s="3285"/>
    </row>
    <row r="854" spans="1:255" hidden="1">
      <c r="A854" s="3267" t="s">
        <v>8977</v>
      </c>
      <c r="B854" s="3267" t="s">
        <v>8978</v>
      </c>
      <c r="C854" s="3269" t="s">
        <v>8979</v>
      </c>
      <c r="D854" s="3269" t="s">
        <v>8980</v>
      </c>
      <c r="E854" s="3268" t="s">
        <v>2985</v>
      </c>
      <c r="F854" s="3268" t="s">
        <v>3401</v>
      </c>
      <c r="G854" s="3267"/>
      <c r="H854" s="3267" t="s">
        <v>3169</v>
      </c>
      <c r="I854" s="3268" t="s">
        <v>3318</v>
      </c>
      <c r="J854" s="3267" t="s">
        <v>3126</v>
      </c>
      <c r="K854" s="3267" t="s">
        <v>8981</v>
      </c>
      <c r="L854" s="3267">
        <v>106.54</v>
      </c>
      <c r="M854" s="3267">
        <v>6</v>
      </c>
      <c r="N854" s="3267" t="s">
        <v>3098</v>
      </c>
      <c r="O854" s="3267"/>
      <c r="P854" s="3267" t="s">
        <v>3495</v>
      </c>
      <c r="Q854" s="3271">
        <v>770000</v>
      </c>
      <c r="R854" s="3267">
        <v>7227</v>
      </c>
      <c r="S854" s="3272">
        <v>70.290000000000006</v>
      </c>
      <c r="T854" s="3273">
        <v>702900.00000000012</v>
      </c>
      <c r="U854" s="3267">
        <v>6598</v>
      </c>
      <c r="V854" s="3289">
        <v>0.3</v>
      </c>
      <c r="W854" s="3272">
        <v>49.2</v>
      </c>
      <c r="X854" s="3275">
        <v>492000</v>
      </c>
      <c r="Y854" s="3276">
        <v>2006</v>
      </c>
      <c r="Z854" s="3276">
        <v>11</v>
      </c>
      <c r="AA854" s="3276">
        <v>20</v>
      </c>
      <c r="AB854" s="3267">
        <v>1500</v>
      </c>
      <c r="AC854" s="3267" t="s">
        <v>2980</v>
      </c>
      <c r="AD854" s="3280" t="s">
        <v>8982</v>
      </c>
      <c r="AE854" s="3279" t="s">
        <v>3344</v>
      </c>
      <c r="AF854" s="3267" t="s">
        <v>2966</v>
      </c>
      <c r="AG854" s="3279" t="s">
        <v>2967</v>
      </c>
      <c r="AH854" s="3267" t="s">
        <v>2968</v>
      </c>
      <c r="AI854" s="3279" t="s">
        <v>2992</v>
      </c>
      <c r="AJ854" s="3284"/>
      <c r="AK854" s="3278" t="s">
        <v>3137</v>
      </c>
      <c r="AL854" s="3276">
        <v>43</v>
      </c>
      <c r="AM854" s="3276"/>
      <c r="AN854" s="3279" t="s">
        <v>2994</v>
      </c>
      <c r="AO854" s="3267"/>
      <c r="AP854" s="3279" t="s">
        <v>3305</v>
      </c>
      <c r="AQ854" s="3276" t="s">
        <v>3113</v>
      </c>
      <c r="AR854" s="3276"/>
      <c r="AS854" s="3276"/>
      <c r="AT854" s="3276"/>
      <c r="AU854" s="3276"/>
      <c r="AV854" s="3276" t="s">
        <v>2968</v>
      </c>
      <c r="AW854" s="3276" t="s">
        <v>3171</v>
      </c>
      <c r="AX854" s="3276"/>
      <c r="AY854" s="3291"/>
      <c r="AZ854" s="3267" t="s">
        <v>8981</v>
      </c>
      <c r="BA854" s="3296"/>
      <c r="BB854" s="3297"/>
      <c r="BC854" s="3296"/>
      <c r="BD854" s="3298"/>
      <c r="BE854" s="3276">
        <v>13701052382</v>
      </c>
      <c r="BF854" s="3281" t="s">
        <v>2968</v>
      </c>
      <c r="BG854" s="3293">
        <v>38977</v>
      </c>
      <c r="BH854" s="3354" t="s">
        <v>2998</v>
      </c>
      <c r="BI854" s="3314" t="s">
        <v>3305</v>
      </c>
      <c r="BJ854" s="3283">
        <v>39021</v>
      </c>
      <c r="BK854" s="3283"/>
      <c r="BL854" s="3267" t="s">
        <v>3249</v>
      </c>
      <c r="BM854" s="3276" t="s">
        <v>2879</v>
      </c>
      <c r="BN854" s="3276" t="s">
        <v>2999</v>
      </c>
      <c r="BO854" s="3276" t="s">
        <v>3146</v>
      </c>
      <c r="BP854" s="3276"/>
      <c r="BQ854" s="3276" t="e">
        <v>#DIV/0!</v>
      </c>
      <c r="BR854" s="3276" t="e">
        <v>#DIV/0!</v>
      </c>
      <c r="BS854" s="3285"/>
      <c r="BT854" s="3285"/>
      <c r="BU854" s="3285"/>
    </row>
    <row r="855" spans="1:255" hidden="1">
      <c r="A855" s="3268" t="s">
        <v>8983</v>
      </c>
      <c r="B855" s="3267" t="s">
        <v>8984</v>
      </c>
      <c r="C855" s="3269" t="s">
        <v>8985</v>
      </c>
      <c r="D855" s="3269" t="s">
        <v>8986</v>
      </c>
      <c r="E855" s="3267" t="s">
        <v>2985</v>
      </c>
      <c r="F855" s="3268" t="s">
        <v>8987</v>
      </c>
      <c r="G855" s="3267"/>
      <c r="H855" s="3267" t="s">
        <v>3263</v>
      </c>
      <c r="I855" s="3267" t="s">
        <v>3458</v>
      </c>
      <c r="J855" s="3269" t="s">
        <v>3958</v>
      </c>
      <c r="K855" s="3267" t="s">
        <v>8988</v>
      </c>
      <c r="L855" s="3267">
        <v>82.45</v>
      </c>
      <c r="M855" s="3267">
        <v>1</v>
      </c>
      <c r="N855" s="3267" t="s">
        <v>3125</v>
      </c>
      <c r="O855" s="3267"/>
      <c r="P855" s="3267" t="s">
        <v>2963</v>
      </c>
      <c r="Q855" s="3271">
        <v>380000</v>
      </c>
      <c r="R855" s="3267">
        <v>4609</v>
      </c>
      <c r="S855" s="3272">
        <v>36.270000000000003</v>
      </c>
      <c r="T855" s="3273">
        <v>362700</v>
      </c>
      <c r="U855" s="3267">
        <v>4400</v>
      </c>
      <c r="V855" s="3289">
        <v>0.2</v>
      </c>
      <c r="W855" s="3272">
        <v>29.01</v>
      </c>
      <c r="X855" s="3275">
        <v>290100</v>
      </c>
      <c r="Y855" s="3267">
        <v>2006</v>
      </c>
      <c r="Z855" s="3276">
        <v>11</v>
      </c>
      <c r="AA855" s="3276">
        <v>14</v>
      </c>
      <c r="AB855" s="3267">
        <v>1085</v>
      </c>
      <c r="AC855" s="3267" t="s">
        <v>2980</v>
      </c>
      <c r="AD855" s="3269" t="s">
        <v>8989</v>
      </c>
      <c r="AE855" s="3276" t="s">
        <v>3180</v>
      </c>
      <c r="AF855" s="3267" t="s">
        <v>2966</v>
      </c>
      <c r="AG855" s="3267" t="s">
        <v>2967</v>
      </c>
      <c r="AH855" s="3267" t="s">
        <v>2968</v>
      </c>
      <c r="AI855" s="3279" t="s">
        <v>2992</v>
      </c>
      <c r="AJ855" s="3284"/>
      <c r="AK855" s="3278" t="s">
        <v>3137</v>
      </c>
      <c r="AL855" s="3276">
        <v>40</v>
      </c>
      <c r="AM855" s="3267"/>
      <c r="AN855" s="3279" t="s">
        <v>3140</v>
      </c>
      <c r="AO855" s="3276" t="s">
        <v>2968</v>
      </c>
      <c r="AP855" s="3267" t="s">
        <v>3180</v>
      </c>
      <c r="AQ855" s="3276" t="s">
        <v>3113</v>
      </c>
      <c r="AR855" s="3276"/>
      <c r="AS855" s="3276"/>
      <c r="AT855" s="3276"/>
      <c r="AU855" s="3276"/>
      <c r="AV855" s="3276" t="s">
        <v>2968</v>
      </c>
      <c r="AW855" s="3276" t="s">
        <v>3171</v>
      </c>
      <c r="AX855" s="3276"/>
      <c r="AY855" s="3291"/>
      <c r="AZ855" s="3267" t="s">
        <v>8988</v>
      </c>
      <c r="BA855" s="3276"/>
      <c r="BB855" s="3291"/>
      <c r="BC855" s="3276"/>
      <c r="BD855" s="3292"/>
      <c r="BE855" s="3276"/>
      <c r="BF855" s="3281"/>
      <c r="BG855" s="3290">
        <v>39016</v>
      </c>
      <c r="BH855" s="3276"/>
      <c r="BI855" s="3314" t="s">
        <v>3180</v>
      </c>
      <c r="BJ855" s="3290">
        <v>39022</v>
      </c>
      <c r="BK855" s="3283"/>
      <c r="BL855" s="3267" t="s">
        <v>2998</v>
      </c>
      <c r="BM855" s="3276" t="s">
        <v>2879</v>
      </c>
      <c r="BN855" s="3276" t="s">
        <v>2999</v>
      </c>
      <c r="BO855" s="3276" t="s">
        <v>3146</v>
      </c>
      <c r="BP855" s="3276"/>
      <c r="BQ855" s="3276" t="e">
        <v>#DIV/0!</v>
      </c>
      <c r="BR855" s="3276" t="e">
        <v>#DIV/0!</v>
      </c>
      <c r="BS855" s="3285"/>
      <c r="BT855" s="3285"/>
      <c r="BU855" s="3285"/>
      <c r="BV855" s="3375"/>
      <c r="BW855" s="3375"/>
      <c r="BX855" s="3375"/>
      <c r="BY855" s="3375"/>
      <c r="BZ855" s="3375"/>
      <c r="CA855" s="3375"/>
      <c r="CB855" s="3375"/>
      <c r="CC855" s="3375"/>
      <c r="CD855" s="3375"/>
      <c r="CE855" s="3375"/>
      <c r="CF855" s="3375"/>
      <c r="CG855" s="3375"/>
      <c r="CH855" s="3375"/>
      <c r="CI855" s="3375"/>
      <c r="CJ855" s="3375"/>
      <c r="CK855" s="3375"/>
      <c r="CL855" s="3375"/>
      <c r="CM855" s="3375"/>
      <c r="CN855" s="3375"/>
      <c r="CO855" s="3375"/>
      <c r="CP855" s="3375"/>
      <c r="CQ855" s="3375"/>
      <c r="CR855" s="3375"/>
      <c r="CS855" s="3375"/>
      <c r="CT855" s="3375"/>
      <c r="CU855" s="3375"/>
      <c r="CV855" s="3375"/>
      <c r="CW855" s="3375"/>
      <c r="CX855" s="3375"/>
      <c r="CY855" s="3375"/>
      <c r="CZ855" s="3375"/>
      <c r="DA855" s="3375"/>
      <c r="DB855" s="3375"/>
      <c r="DC855" s="3375"/>
      <c r="DD855" s="3375"/>
      <c r="DE855" s="3375"/>
      <c r="DF855" s="3375"/>
      <c r="DG855" s="3375"/>
      <c r="DH855" s="3375"/>
      <c r="DI855" s="3375"/>
      <c r="DJ855" s="3375"/>
      <c r="DK855" s="3375"/>
      <c r="DL855" s="3375"/>
      <c r="DM855" s="3375"/>
      <c r="DN855" s="3375"/>
      <c r="DO855" s="3375"/>
      <c r="DP855" s="3375"/>
      <c r="DQ855" s="3375"/>
      <c r="DR855" s="3375"/>
      <c r="DS855" s="3375"/>
      <c r="DT855" s="3375"/>
      <c r="DU855" s="3375"/>
      <c r="DV855" s="3375"/>
      <c r="DW855" s="3375"/>
      <c r="DX855" s="3375"/>
      <c r="DY855" s="3375"/>
      <c r="DZ855" s="3375"/>
      <c r="EA855" s="3375"/>
      <c r="EB855" s="3375"/>
      <c r="EC855" s="3375"/>
      <c r="ED855" s="3375"/>
      <c r="EE855" s="3375"/>
      <c r="EF855" s="3375"/>
      <c r="EG855" s="3375"/>
      <c r="EH855" s="3375"/>
      <c r="EI855" s="3375"/>
      <c r="EJ855" s="3375"/>
      <c r="EK855" s="3375"/>
      <c r="EL855" s="3375"/>
      <c r="EM855" s="3375"/>
      <c r="EN855" s="3375"/>
      <c r="EO855" s="3375"/>
      <c r="EP855" s="3375"/>
      <c r="EQ855" s="3375"/>
      <c r="ER855" s="3375"/>
      <c r="ES855" s="3375"/>
      <c r="ET855" s="3375"/>
      <c r="EU855" s="3375"/>
      <c r="EV855" s="3375"/>
      <c r="EW855" s="3375"/>
      <c r="EX855" s="3375"/>
      <c r="EY855" s="3375"/>
      <c r="EZ855" s="3375"/>
      <c r="FA855" s="3375"/>
      <c r="FB855" s="3375"/>
      <c r="FC855" s="3375"/>
      <c r="FD855" s="3375"/>
      <c r="FE855" s="3375"/>
      <c r="FF855" s="3375"/>
      <c r="FG855" s="3375"/>
      <c r="FH855" s="3375"/>
      <c r="FI855" s="3375"/>
      <c r="FJ855" s="3375"/>
      <c r="FK855" s="3375"/>
      <c r="FL855" s="3375"/>
      <c r="FM855" s="3375"/>
      <c r="FN855" s="3375"/>
      <c r="FO855" s="3375"/>
      <c r="FP855" s="3375"/>
      <c r="FQ855" s="3375"/>
      <c r="FR855" s="3375"/>
      <c r="FS855" s="3375"/>
      <c r="FT855" s="3375"/>
      <c r="FU855" s="3375"/>
      <c r="FV855" s="3375"/>
      <c r="FW855" s="3375"/>
      <c r="FX855" s="3375"/>
      <c r="FY855" s="3375"/>
      <c r="FZ855" s="3375"/>
      <c r="GA855" s="3375"/>
      <c r="GB855" s="3375"/>
      <c r="GC855" s="3375"/>
      <c r="GD855" s="3375"/>
      <c r="GE855" s="3375"/>
      <c r="GF855" s="3375"/>
      <c r="GG855" s="3375"/>
      <c r="GH855" s="3375"/>
      <c r="GI855" s="3375"/>
      <c r="GJ855" s="3375"/>
      <c r="GK855" s="3375"/>
      <c r="GL855" s="3375"/>
      <c r="GM855" s="3375"/>
      <c r="GN855" s="3375"/>
      <c r="GO855" s="3375"/>
      <c r="GP855" s="3375"/>
      <c r="GQ855" s="3375"/>
      <c r="GR855" s="3375"/>
      <c r="GS855" s="3375"/>
      <c r="GT855" s="3375"/>
      <c r="GU855" s="3375"/>
      <c r="GV855" s="3375"/>
      <c r="GW855" s="3375"/>
      <c r="GX855" s="3375"/>
      <c r="GY855" s="3375"/>
      <c r="GZ855" s="3375"/>
      <c r="HA855" s="3375"/>
      <c r="HB855" s="3375"/>
      <c r="HC855" s="3375"/>
      <c r="HD855" s="3375"/>
      <c r="HE855" s="3375"/>
      <c r="HF855" s="3375"/>
      <c r="HG855" s="3375"/>
      <c r="HH855" s="3375"/>
      <c r="HI855" s="3375"/>
      <c r="HJ855" s="3375"/>
      <c r="HK855" s="3375"/>
      <c r="HL855" s="3375"/>
      <c r="HM855" s="3375"/>
      <c r="HN855" s="3375"/>
      <c r="HO855" s="3375"/>
      <c r="HP855" s="3375"/>
      <c r="HQ855" s="3375"/>
      <c r="HR855" s="3375"/>
      <c r="HS855" s="3375"/>
      <c r="HT855" s="3375"/>
      <c r="HU855" s="3375"/>
      <c r="HV855" s="3375"/>
      <c r="HW855" s="3375"/>
      <c r="HX855" s="3375"/>
      <c r="HY855" s="3375"/>
      <c r="HZ855" s="3375"/>
      <c r="IA855" s="3375"/>
      <c r="IB855" s="3375"/>
      <c r="IC855" s="3375"/>
      <c r="ID855" s="3375"/>
      <c r="IE855" s="3375"/>
      <c r="IF855" s="3375"/>
      <c r="IG855" s="3375"/>
      <c r="IH855" s="3375"/>
      <c r="II855" s="3375"/>
      <c r="IJ855" s="3375"/>
      <c r="IK855" s="3375"/>
      <c r="IL855" s="3375"/>
      <c r="IM855" s="3375"/>
      <c r="IN855" s="3375"/>
      <c r="IO855" s="3375"/>
      <c r="IP855" s="3375"/>
      <c r="IQ855" s="3375"/>
      <c r="IR855" s="3375"/>
      <c r="IS855" s="3375"/>
      <c r="IT855" s="3375"/>
      <c r="IU855" s="3375"/>
    </row>
    <row r="856" spans="1:255" hidden="1">
      <c r="A856" s="3267" t="s">
        <v>8990</v>
      </c>
      <c r="B856" s="3267" t="s">
        <v>8991</v>
      </c>
      <c r="C856" s="3269" t="s">
        <v>8992</v>
      </c>
      <c r="D856" s="3267">
        <v>13811256303</v>
      </c>
      <c r="E856" s="3267" t="s">
        <v>2985</v>
      </c>
      <c r="F856" s="3267" t="s">
        <v>8993</v>
      </c>
      <c r="G856" s="3267"/>
      <c r="H856" s="3267"/>
      <c r="I856" s="3267"/>
      <c r="J856" s="3267" t="s">
        <v>8994</v>
      </c>
      <c r="K856" s="3268" t="s">
        <v>8995</v>
      </c>
      <c r="L856" s="3267">
        <v>64.25</v>
      </c>
      <c r="M856" s="3267">
        <v>3</v>
      </c>
      <c r="N856" s="3267" t="s">
        <v>3122</v>
      </c>
      <c r="O856" s="3267"/>
      <c r="P856" s="3267" t="s">
        <v>2963</v>
      </c>
      <c r="Q856" s="3267">
        <v>360000</v>
      </c>
      <c r="R856" s="3267">
        <v>5603</v>
      </c>
      <c r="S856" s="3272">
        <v>33.93</v>
      </c>
      <c r="T856" s="3273">
        <v>339300</v>
      </c>
      <c r="U856" s="3267">
        <v>5281</v>
      </c>
      <c r="V856" s="3274">
        <v>0.2</v>
      </c>
      <c r="W856" s="3272">
        <v>27.14</v>
      </c>
      <c r="X856" s="3275">
        <v>271400</v>
      </c>
      <c r="Y856" s="3267">
        <v>2007</v>
      </c>
      <c r="Z856" s="3267">
        <v>1</v>
      </c>
      <c r="AA856" s="3276">
        <v>4</v>
      </c>
      <c r="AB856" s="3267">
        <v>1015</v>
      </c>
      <c r="AC856" s="3267" t="s">
        <v>2980</v>
      </c>
      <c r="AD856" s="3269" t="s">
        <v>8996</v>
      </c>
      <c r="AE856" s="3267" t="s">
        <v>3069</v>
      </c>
      <c r="AF856" s="3267" t="s">
        <v>2966</v>
      </c>
      <c r="AG856" s="3267" t="s">
        <v>2967</v>
      </c>
      <c r="AH856" s="3267"/>
      <c r="AI856" s="3267" t="s">
        <v>2992</v>
      </c>
      <c r="AJ856" s="3284"/>
      <c r="AK856" s="3267" t="s">
        <v>3131</v>
      </c>
      <c r="AL856" s="3267" t="s">
        <v>8785</v>
      </c>
      <c r="AM856" s="3267"/>
      <c r="AN856" s="3267" t="s">
        <v>3131</v>
      </c>
      <c r="AO856" s="3267"/>
      <c r="AP856" s="3267" t="s">
        <v>3069</v>
      </c>
      <c r="AQ856" s="3276" t="s">
        <v>2996</v>
      </c>
      <c r="AR856" s="3267"/>
      <c r="AS856" s="3267"/>
      <c r="AT856" s="3267"/>
      <c r="AU856" s="3267"/>
      <c r="AV856" s="3267"/>
      <c r="AW856" s="3267" t="s">
        <v>3112</v>
      </c>
      <c r="AX856" s="3267"/>
      <c r="AY856" s="3269"/>
      <c r="AZ856" s="3268" t="s">
        <v>8995</v>
      </c>
      <c r="BA856" s="3267"/>
      <c r="BB856" s="3267"/>
      <c r="BC856" s="3267"/>
      <c r="BD856" s="3267"/>
      <c r="BE856" s="3267"/>
      <c r="BF856" s="3267"/>
      <c r="BG856" s="3307">
        <v>39002</v>
      </c>
      <c r="BH856" s="3267"/>
      <c r="BI856" s="3279" t="s">
        <v>3069</v>
      </c>
      <c r="BJ856" s="3307">
        <v>39023</v>
      </c>
      <c r="BK856" s="3283"/>
      <c r="BL856" s="3267" t="s">
        <v>2998</v>
      </c>
      <c r="BM856" s="3267" t="s">
        <v>2879</v>
      </c>
      <c r="BN856" s="3267" t="s">
        <v>2999</v>
      </c>
      <c r="BO856" s="3267" t="s">
        <v>3000</v>
      </c>
      <c r="BP856" s="3267"/>
      <c r="BQ856" s="3276" t="e">
        <v>#DIV/0!</v>
      </c>
      <c r="BR856" s="3276" t="e">
        <v>#DIV/0!</v>
      </c>
      <c r="BS856" s="3285"/>
      <c r="BT856" s="3285"/>
      <c r="BU856" s="3285"/>
    </row>
    <row r="857" spans="1:255" hidden="1">
      <c r="A857" s="3267" t="s">
        <v>8997</v>
      </c>
      <c r="B857" s="3267" t="s">
        <v>8998</v>
      </c>
      <c r="C857" s="3269" t="s">
        <v>8999</v>
      </c>
      <c r="D857" s="3269" t="s">
        <v>9000</v>
      </c>
      <c r="E857" s="3268" t="s">
        <v>2985</v>
      </c>
      <c r="F857" s="3268" t="s">
        <v>6396</v>
      </c>
      <c r="G857" s="3267"/>
      <c r="H857" s="3267" t="s">
        <v>3178</v>
      </c>
      <c r="I857" s="3268"/>
      <c r="J857" s="3268" t="s">
        <v>9001</v>
      </c>
      <c r="K857" s="3267" t="s">
        <v>9002</v>
      </c>
      <c r="L857" s="3267">
        <v>68.13</v>
      </c>
      <c r="M857" s="3267">
        <v>15</v>
      </c>
      <c r="N857" s="3267" t="s">
        <v>3122</v>
      </c>
      <c r="O857" s="3267"/>
      <c r="P857" s="3267" t="s">
        <v>2963</v>
      </c>
      <c r="Q857" s="3271">
        <v>337000</v>
      </c>
      <c r="R857" s="3267">
        <v>4946</v>
      </c>
      <c r="S857" s="3272">
        <v>44.14</v>
      </c>
      <c r="T857" s="3273">
        <v>441400</v>
      </c>
      <c r="U857" s="3267">
        <v>6480</v>
      </c>
      <c r="V857" s="3289">
        <v>0.2</v>
      </c>
      <c r="W857" s="3272">
        <v>35.31</v>
      </c>
      <c r="X857" s="3275">
        <v>353100</v>
      </c>
      <c r="Y857" s="3276">
        <v>2006</v>
      </c>
      <c r="Z857" s="3276">
        <v>11</v>
      </c>
      <c r="AA857" s="3276">
        <v>7</v>
      </c>
      <c r="AB857" s="3267">
        <v>1320</v>
      </c>
      <c r="AC857" s="3267" t="s">
        <v>2980</v>
      </c>
      <c r="AD857" s="3366">
        <v>91302006110138</v>
      </c>
      <c r="AE857" s="3279" t="s">
        <v>2991</v>
      </c>
      <c r="AF857" s="3268"/>
      <c r="AG857" s="3279" t="s">
        <v>2967</v>
      </c>
      <c r="AH857" s="3267"/>
      <c r="AI857" s="3279" t="s">
        <v>2992</v>
      </c>
      <c r="AJ857" s="3284"/>
      <c r="AK857" s="3278" t="s">
        <v>3137</v>
      </c>
      <c r="AL857" s="3276">
        <v>44</v>
      </c>
      <c r="AM857" s="3276"/>
      <c r="AN857" s="3279" t="s">
        <v>3140</v>
      </c>
      <c r="AO857" s="3267"/>
      <c r="AP857" s="3279" t="s">
        <v>2991</v>
      </c>
      <c r="AQ857" s="3276" t="s">
        <v>2996</v>
      </c>
      <c r="AR857" s="3276"/>
      <c r="AS857" s="3276"/>
      <c r="AT857" s="3276"/>
      <c r="AU857" s="3276"/>
      <c r="AV857" s="3276"/>
      <c r="AW857" s="3276" t="s">
        <v>2997</v>
      </c>
      <c r="AX857" s="3276"/>
      <c r="AY857" s="3291"/>
      <c r="AZ857" s="3267" t="s">
        <v>9002</v>
      </c>
      <c r="BA857" s="3296"/>
      <c r="BB857" s="3297"/>
      <c r="BC857" s="3296"/>
      <c r="BD857" s="3298"/>
      <c r="BE857" s="3276"/>
      <c r="BF857" s="3281"/>
      <c r="BG857" s="3293">
        <v>39023</v>
      </c>
      <c r="BH857" s="3267"/>
      <c r="BI857" s="3267" t="s">
        <v>2991</v>
      </c>
      <c r="BJ857" s="3299">
        <v>39023</v>
      </c>
      <c r="BK857" s="3283" t="s">
        <v>2968</v>
      </c>
      <c r="BL857" s="3267" t="s">
        <v>2998</v>
      </c>
      <c r="BM857" s="3276" t="s">
        <v>3128</v>
      </c>
      <c r="BN857" s="3276" t="s">
        <v>3111</v>
      </c>
      <c r="BO857" s="3276" t="s">
        <v>3146</v>
      </c>
      <c r="BP857" s="3276"/>
      <c r="BQ857" s="3276" t="e">
        <v>#DIV/0!</v>
      </c>
      <c r="BR857" s="3276" t="e">
        <v>#DIV/0!</v>
      </c>
      <c r="BS857" s="3285"/>
      <c r="BT857" s="3285"/>
      <c r="BU857" s="3285"/>
      <c r="BY857" s="3262" t="s">
        <v>3262</v>
      </c>
      <c r="BZ857" s="3262" t="s">
        <v>3262</v>
      </c>
      <c r="CA857" s="3262" t="s">
        <v>3262</v>
      </c>
      <c r="CB857" s="3262" t="s">
        <v>3262</v>
      </c>
      <c r="CC857" s="3262" t="s">
        <v>3262</v>
      </c>
      <c r="CD857" s="3262" t="s">
        <v>3262</v>
      </c>
      <c r="CE857" s="3262" t="s">
        <v>3262</v>
      </c>
      <c r="CF857" s="3262" t="s">
        <v>3262</v>
      </c>
      <c r="CG857" s="3262" t="s">
        <v>3262</v>
      </c>
      <c r="CH857" s="3262" t="s">
        <v>3262</v>
      </c>
      <c r="CI857" s="3262" t="s">
        <v>3262</v>
      </c>
      <c r="CJ857" s="3262" t="s">
        <v>3262</v>
      </c>
      <c r="CK857" s="3262" t="s">
        <v>3262</v>
      </c>
      <c r="CL857" s="3262" t="s">
        <v>3262</v>
      </c>
      <c r="CM857" s="3262" t="s">
        <v>3262</v>
      </c>
      <c r="CN857" s="3262" t="s">
        <v>3262</v>
      </c>
      <c r="CO857" s="3262" t="s">
        <v>3262</v>
      </c>
      <c r="CP857" s="3262" t="s">
        <v>3262</v>
      </c>
      <c r="CQ857" s="3262" t="s">
        <v>3262</v>
      </c>
      <c r="CR857" s="3262" t="s">
        <v>3262</v>
      </c>
      <c r="CS857" s="3262" t="s">
        <v>3262</v>
      </c>
      <c r="CT857" s="3262" t="s">
        <v>3262</v>
      </c>
      <c r="CU857" s="3262" t="s">
        <v>3262</v>
      </c>
      <c r="CV857" s="3262" t="s">
        <v>3262</v>
      </c>
      <c r="CW857" s="3262" t="s">
        <v>3262</v>
      </c>
      <c r="CX857" s="3262" t="s">
        <v>3262</v>
      </c>
      <c r="CY857" s="3262" t="s">
        <v>3262</v>
      </c>
      <c r="CZ857" s="3262" t="s">
        <v>3262</v>
      </c>
      <c r="DA857" s="3262" t="s">
        <v>3262</v>
      </c>
      <c r="DB857" s="3262" t="s">
        <v>3262</v>
      </c>
      <c r="DC857" s="3262" t="s">
        <v>3262</v>
      </c>
      <c r="DD857" s="3262" t="s">
        <v>3262</v>
      </c>
      <c r="DE857" s="3262" t="s">
        <v>3262</v>
      </c>
      <c r="DF857" s="3262" t="s">
        <v>3262</v>
      </c>
      <c r="DG857" s="3262" t="s">
        <v>3262</v>
      </c>
      <c r="DH857" s="3262" t="s">
        <v>3262</v>
      </c>
      <c r="DI857" s="3262" t="s">
        <v>3262</v>
      </c>
      <c r="DJ857" s="3262" t="s">
        <v>3262</v>
      </c>
      <c r="DK857" s="3262" t="s">
        <v>3262</v>
      </c>
      <c r="DL857" s="3262" t="s">
        <v>3262</v>
      </c>
      <c r="DM857" s="3262" t="s">
        <v>3262</v>
      </c>
      <c r="DN857" s="3262" t="s">
        <v>3262</v>
      </c>
      <c r="DO857" s="3262" t="s">
        <v>3262</v>
      </c>
      <c r="DP857" s="3262" t="s">
        <v>3262</v>
      </c>
      <c r="DQ857" s="3262" t="s">
        <v>3262</v>
      </c>
      <c r="DR857" s="3262" t="s">
        <v>3262</v>
      </c>
      <c r="DS857" s="3262" t="s">
        <v>3262</v>
      </c>
      <c r="DT857" s="3262" t="s">
        <v>3262</v>
      </c>
      <c r="DU857" s="3262" t="s">
        <v>3262</v>
      </c>
      <c r="DV857" s="3262" t="s">
        <v>3262</v>
      </c>
      <c r="DW857" s="3262" t="s">
        <v>3262</v>
      </c>
      <c r="DX857" s="3262" t="s">
        <v>3262</v>
      </c>
      <c r="DY857" s="3262" t="s">
        <v>3262</v>
      </c>
      <c r="DZ857" s="3262" t="s">
        <v>3262</v>
      </c>
      <c r="EA857" s="3262" t="s">
        <v>3262</v>
      </c>
      <c r="EB857" s="3262" t="s">
        <v>3262</v>
      </c>
      <c r="EC857" s="3262" t="s">
        <v>3262</v>
      </c>
      <c r="ED857" s="3262" t="s">
        <v>3262</v>
      </c>
      <c r="EE857" s="3262" t="s">
        <v>3262</v>
      </c>
      <c r="EF857" s="3262" t="s">
        <v>3262</v>
      </c>
      <c r="EG857" s="3262" t="s">
        <v>3262</v>
      </c>
      <c r="EH857" s="3262" t="s">
        <v>3262</v>
      </c>
      <c r="EI857" s="3262" t="s">
        <v>3262</v>
      </c>
      <c r="EJ857" s="3262" t="s">
        <v>3262</v>
      </c>
      <c r="EK857" s="3262" t="s">
        <v>3262</v>
      </c>
      <c r="EL857" s="3262" t="s">
        <v>3262</v>
      </c>
      <c r="EM857" s="3262" t="s">
        <v>3262</v>
      </c>
      <c r="EN857" s="3262" t="s">
        <v>3262</v>
      </c>
      <c r="EO857" s="3262" t="s">
        <v>3262</v>
      </c>
      <c r="EP857" s="3262" t="s">
        <v>3262</v>
      </c>
      <c r="EQ857" s="3262" t="s">
        <v>3262</v>
      </c>
      <c r="ER857" s="3262" t="s">
        <v>3262</v>
      </c>
      <c r="ES857" s="3262" t="s">
        <v>3262</v>
      </c>
      <c r="ET857" s="3262" t="s">
        <v>3262</v>
      </c>
      <c r="EU857" s="3262" t="s">
        <v>3262</v>
      </c>
      <c r="EV857" s="3262" t="s">
        <v>3262</v>
      </c>
      <c r="EW857" s="3262" t="s">
        <v>3262</v>
      </c>
      <c r="EX857" s="3262" t="s">
        <v>3262</v>
      </c>
      <c r="EY857" s="3262" t="s">
        <v>3262</v>
      </c>
      <c r="EZ857" s="3262" t="s">
        <v>3262</v>
      </c>
      <c r="FA857" s="3262" t="s">
        <v>3262</v>
      </c>
      <c r="FB857" s="3262" t="s">
        <v>3262</v>
      </c>
      <c r="FC857" s="3262" t="s">
        <v>3262</v>
      </c>
      <c r="FD857" s="3262" t="s">
        <v>3262</v>
      </c>
      <c r="FE857" s="3262" t="s">
        <v>3262</v>
      </c>
      <c r="FF857" s="3262" t="s">
        <v>3262</v>
      </c>
      <c r="FG857" s="3262" t="s">
        <v>3262</v>
      </c>
      <c r="FH857" s="3262" t="s">
        <v>3262</v>
      </c>
      <c r="FI857" s="3262" t="s">
        <v>3262</v>
      </c>
      <c r="FJ857" s="3262" t="s">
        <v>3262</v>
      </c>
      <c r="FK857" s="3262" t="s">
        <v>3262</v>
      </c>
      <c r="FL857" s="3262" t="s">
        <v>3262</v>
      </c>
      <c r="FM857" s="3262" t="s">
        <v>3262</v>
      </c>
      <c r="FN857" s="3262" t="s">
        <v>3262</v>
      </c>
      <c r="FO857" s="3262" t="s">
        <v>3262</v>
      </c>
      <c r="FP857" s="3262" t="s">
        <v>3262</v>
      </c>
      <c r="FQ857" s="3262" t="s">
        <v>3262</v>
      </c>
      <c r="FR857" s="3262" t="s">
        <v>3262</v>
      </c>
      <c r="FS857" s="3262" t="s">
        <v>3262</v>
      </c>
      <c r="FT857" s="3262" t="s">
        <v>3262</v>
      </c>
      <c r="FU857" s="3262" t="s">
        <v>3262</v>
      </c>
      <c r="FV857" s="3262" t="s">
        <v>3262</v>
      </c>
      <c r="FW857" s="3262" t="s">
        <v>3262</v>
      </c>
      <c r="FX857" s="3262" t="s">
        <v>3262</v>
      </c>
      <c r="FY857" s="3262" t="s">
        <v>3262</v>
      </c>
      <c r="FZ857" s="3262" t="s">
        <v>3262</v>
      </c>
      <c r="GA857" s="3262" t="s">
        <v>3262</v>
      </c>
      <c r="GB857" s="3262" t="s">
        <v>3262</v>
      </c>
      <c r="GC857" s="3262" t="s">
        <v>3262</v>
      </c>
      <c r="GD857" s="3262" t="s">
        <v>3262</v>
      </c>
      <c r="GE857" s="3262" t="s">
        <v>3262</v>
      </c>
      <c r="GF857" s="3262" t="s">
        <v>3262</v>
      </c>
      <c r="GG857" s="3262" t="s">
        <v>3262</v>
      </c>
      <c r="GH857" s="3262" t="s">
        <v>3262</v>
      </c>
      <c r="GI857" s="3262" t="s">
        <v>3262</v>
      </c>
      <c r="GJ857" s="3262" t="s">
        <v>3262</v>
      </c>
      <c r="GK857" s="3262" t="s">
        <v>3262</v>
      </c>
      <c r="GL857" s="3262" t="s">
        <v>3262</v>
      </c>
      <c r="GM857" s="3262" t="s">
        <v>3262</v>
      </c>
      <c r="GN857" s="3262" t="s">
        <v>3262</v>
      </c>
      <c r="GO857" s="3262" t="s">
        <v>3262</v>
      </c>
      <c r="GP857" s="3262" t="s">
        <v>3262</v>
      </c>
      <c r="GQ857" s="3262" t="s">
        <v>3262</v>
      </c>
      <c r="GR857" s="3262" t="s">
        <v>3262</v>
      </c>
      <c r="GS857" s="3262" t="s">
        <v>3262</v>
      </c>
      <c r="GT857" s="3262" t="s">
        <v>3262</v>
      </c>
      <c r="GU857" s="3262" t="s">
        <v>3262</v>
      </c>
      <c r="GV857" s="3262" t="s">
        <v>3262</v>
      </c>
      <c r="GW857" s="3262" t="s">
        <v>3262</v>
      </c>
      <c r="GX857" s="3262" t="s">
        <v>3262</v>
      </c>
      <c r="GY857" s="3262" t="s">
        <v>3262</v>
      </c>
      <c r="GZ857" s="3262" t="s">
        <v>3262</v>
      </c>
      <c r="HA857" s="3262" t="s">
        <v>3262</v>
      </c>
      <c r="HB857" s="3262" t="s">
        <v>3262</v>
      </c>
      <c r="HC857" s="3262" t="s">
        <v>3262</v>
      </c>
      <c r="HD857" s="3262" t="s">
        <v>3262</v>
      </c>
      <c r="HE857" s="3262" t="s">
        <v>3262</v>
      </c>
      <c r="HF857" s="3262" t="s">
        <v>3262</v>
      </c>
      <c r="HG857" s="3262" t="s">
        <v>3262</v>
      </c>
      <c r="HH857" s="3262" t="s">
        <v>3262</v>
      </c>
      <c r="HI857" s="3262" t="s">
        <v>3262</v>
      </c>
      <c r="HJ857" s="3262" t="s">
        <v>3262</v>
      </c>
      <c r="HK857" s="3262" t="s">
        <v>3262</v>
      </c>
      <c r="HL857" s="3262" t="s">
        <v>3262</v>
      </c>
      <c r="HM857" s="3262" t="s">
        <v>3262</v>
      </c>
      <c r="HN857" s="3262" t="s">
        <v>3262</v>
      </c>
      <c r="HO857" s="3262" t="s">
        <v>3262</v>
      </c>
      <c r="HP857" s="3262" t="s">
        <v>3262</v>
      </c>
      <c r="HQ857" s="3262" t="s">
        <v>3262</v>
      </c>
      <c r="HR857" s="3262" t="s">
        <v>3262</v>
      </c>
      <c r="HS857" s="3262" t="s">
        <v>3262</v>
      </c>
      <c r="HT857" s="3262" t="s">
        <v>3262</v>
      </c>
      <c r="HU857" s="3262" t="s">
        <v>3262</v>
      </c>
      <c r="HV857" s="3262" t="s">
        <v>3262</v>
      </c>
      <c r="HW857" s="3262" t="s">
        <v>3262</v>
      </c>
      <c r="HX857" s="3262" t="s">
        <v>3262</v>
      </c>
      <c r="HY857" s="3262" t="s">
        <v>3262</v>
      </c>
      <c r="HZ857" s="3262" t="s">
        <v>3262</v>
      </c>
      <c r="IA857" s="3262" t="s">
        <v>3262</v>
      </c>
      <c r="IB857" s="3262" t="s">
        <v>3262</v>
      </c>
      <c r="IC857" s="3262" t="s">
        <v>3262</v>
      </c>
      <c r="ID857" s="3262" t="s">
        <v>3262</v>
      </c>
      <c r="IE857" s="3262" t="s">
        <v>3262</v>
      </c>
      <c r="IF857" s="3262" t="s">
        <v>3262</v>
      </c>
      <c r="IG857" s="3262" t="s">
        <v>3262</v>
      </c>
      <c r="IH857" s="3262" t="s">
        <v>3262</v>
      </c>
      <c r="II857" s="3262" t="s">
        <v>3262</v>
      </c>
      <c r="IJ857" s="3262" t="s">
        <v>3262</v>
      </c>
      <c r="IK857" s="3262" t="s">
        <v>3262</v>
      </c>
      <c r="IL857" s="3262" t="s">
        <v>3262</v>
      </c>
      <c r="IM857" s="3262" t="s">
        <v>3262</v>
      </c>
      <c r="IN857" s="3262" t="s">
        <v>3262</v>
      </c>
      <c r="IO857" s="3262" t="s">
        <v>3262</v>
      </c>
    </row>
    <row r="858" spans="1:255" hidden="1">
      <c r="A858" s="3267" t="s">
        <v>9003</v>
      </c>
      <c r="B858" s="3267" t="s">
        <v>9004</v>
      </c>
      <c r="C858" s="3269" t="s">
        <v>9005</v>
      </c>
      <c r="D858" s="3269" t="s">
        <v>9006</v>
      </c>
      <c r="E858" s="3268" t="s">
        <v>2985</v>
      </c>
      <c r="F858" s="3268" t="s">
        <v>9007</v>
      </c>
      <c r="G858" s="3267"/>
      <c r="H858" s="3267" t="s">
        <v>3182</v>
      </c>
      <c r="I858" s="3268"/>
      <c r="J858" s="3268" t="s">
        <v>9008</v>
      </c>
      <c r="K858" s="3267" t="s">
        <v>9004</v>
      </c>
      <c r="L858" s="3267">
        <v>104</v>
      </c>
      <c r="M858" s="3267">
        <v>1</v>
      </c>
      <c r="N858" s="3267" t="s">
        <v>3098</v>
      </c>
      <c r="O858" s="3267"/>
      <c r="P858" s="3267" t="s">
        <v>2963</v>
      </c>
      <c r="Q858" s="3271">
        <v>730000</v>
      </c>
      <c r="R858" s="3267">
        <v>7019</v>
      </c>
      <c r="S858" s="3272">
        <v>72.05</v>
      </c>
      <c r="T858" s="3273">
        <v>720500</v>
      </c>
      <c r="U858" s="3267">
        <v>6928</v>
      </c>
      <c r="V858" s="3289">
        <v>0.3</v>
      </c>
      <c r="W858" s="3272">
        <v>50.43</v>
      </c>
      <c r="X858" s="3275">
        <v>504300</v>
      </c>
      <c r="Y858" s="3276">
        <v>2006</v>
      </c>
      <c r="Z858" s="3276">
        <v>12</v>
      </c>
      <c r="AA858" s="3276">
        <v>12</v>
      </c>
      <c r="AB858" s="3267">
        <v>1500</v>
      </c>
      <c r="AC858" s="3267" t="s">
        <v>2980</v>
      </c>
      <c r="AD858" s="3366">
        <v>91302006110136</v>
      </c>
      <c r="AE858" s="3279" t="s">
        <v>2991</v>
      </c>
      <c r="AF858" s="3268"/>
      <c r="AG858" s="3279" t="s">
        <v>2967</v>
      </c>
      <c r="AH858" s="3267"/>
      <c r="AI858" s="3279" t="s">
        <v>2992</v>
      </c>
      <c r="AJ858" s="3284"/>
      <c r="AK858" s="3278" t="s">
        <v>3120</v>
      </c>
      <c r="AL858" s="3276">
        <v>58</v>
      </c>
      <c r="AM858" s="3276" t="s">
        <v>9009</v>
      </c>
      <c r="AN858" s="3279" t="s">
        <v>3114</v>
      </c>
      <c r="AO858" s="3267"/>
      <c r="AP858" s="3279" t="s">
        <v>2991</v>
      </c>
      <c r="AQ858" s="3267" t="s">
        <v>3228</v>
      </c>
      <c r="AR858" s="3276">
        <v>2006</v>
      </c>
      <c r="AS858" s="3276">
        <v>12</v>
      </c>
      <c r="AT858" s="3276">
        <v>12</v>
      </c>
      <c r="AU858" s="3276"/>
      <c r="AV858" s="3276"/>
      <c r="AW858" s="3276" t="s">
        <v>2997</v>
      </c>
      <c r="AX858" s="3276"/>
      <c r="AY858" s="3291"/>
      <c r="AZ858" s="3267" t="s">
        <v>9010</v>
      </c>
      <c r="BA858" s="3296"/>
      <c r="BB858" s="3297"/>
      <c r="BC858" s="3296"/>
      <c r="BD858" s="3298"/>
      <c r="BE858" s="3276"/>
      <c r="BF858" s="3281"/>
      <c r="BG858" s="3293">
        <v>39020</v>
      </c>
      <c r="BH858" s="3267"/>
      <c r="BI858" s="3267" t="s">
        <v>2991</v>
      </c>
      <c r="BJ858" s="3299">
        <v>39023</v>
      </c>
      <c r="BK858" s="3283" t="s">
        <v>2968</v>
      </c>
      <c r="BL858" s="3267" t="s">
        <v>2998</v>
      </c>
      <c r="BM858" s="3276" t="s">
        <v>2879</v>
      </c>
      <c r="BN858" s="3276" t="s">
        <v>2999</v>
      </c>
      <c r="BO858" s="3276" t="s">
        <v>3146</v>
      </c>
      <c r="BP858" s="3276"/>
      <c r="BQ858" s="3276" t="e">
        <v>#DIV/0!</v>
      </c>
      <c r="BR858" s="3276" t="e">
        <v>#DIV/0!</v>
      </c>
      <c r="BS858" s="3285"/>
      <c r="BT858" s="3285"/>
      <c r="BU858" s="3285"/>
      <c r="BW858" s="3262" t="s">
        <v>3262</v>
      </c>
      <c r="BX858" s="3262" t="s">
        <v>3262</v>
      </c>
      <c r="BY858" s="3262" t="s">
        <v>3262</v>
      </c>
      <c r="BZ858" s="3262" t="s">
        <v>3262</v>
      </c>
      <c r="CA858" s="3262" t="s">
        <v>3262</v>
      </c>
      <c r="CB858" s="3262" t="s">
        <v>3262</v>
      </c>
      <c r="CC858" s="3262" t="s">
        <v>3262</v>
      </c>
      <c r="CD858" s="3262" t="s">
        <v>3262</v>
      </c>
      <c r="CE858" s="3262" t="s">
        <v>3262</v>
      </c>
      <c r="CF858" s="3262" t="s">
        <v>3262</v>
      </c>
      <c r="CG858" s="3262" t="s">
        <v>3262</v>
      </c>
      <c r="CH858" s="3262" t="s">
        <v>3262</v>
      </c>
      <c r="CI858" s="3262" t="s">
        <v>3262</v>
      </c>
      <c r="CJ858" s="3262" t="s">
        <v>3262</v>
      </c>
      <c r="CK858" s="3262" t="s">
        <v>3262</v>
      </c>
      <c r="CL858" s="3262" t="s">
        <v>3262</v>
      </c>
      <c r="CM858" s="3262" t="s">
        <v>3262</v>
      </c>
      <c r="CN858" s="3262" t="s">
        <v>3262</v>
      </c>
      <c r="CO858" s="3262" t="s">
        <v>3262</v>
      </c>
      <c r="CP858" s="3262" t="s">
        <v>3262</v>
      </c>
      <c r="CQ858" s="3262" t="s">
        <v>3262</v>
      </c>
      <c r="CR858" s="3262" t="s">
        <v>3262</v>
      </c>
      <c r="CS858" s="3262" t="s">
        <v>3262</v>
      </c>
      <c r="CT858" s="3262" t="s">
        <v>3262</v>
      </c>
      <c r="CU858" s="3262" t="s">
        <v>3262</v>
      </c>
      <c r="CV858" s="3262" t="s">
        <v>3262</v>
      </c>
      <c r="CW858" s="3262" t="s">
        <v>3262</v>
      </c>
      <c r="CX858" s="3262" t="s">
        <v>3262</v>
      </c>
      <c r="CY858" s="3262" t="s">
        <v>3262</v>
      </c>
      <c r="CZ858" s="3262" t="s">
        <v>3262</v>
      </c>
      <c r="DA858" s="3262" t="s">
        <v>3262</v>
      </c>
      <c r="DB858" s="3262" t="s">
        <v>3262</v>
      </c>
      <c r="DC858" s="3262" t="s">
        <v>3262</v>
      </c>
      <c r="DD858" s="3262" t="s">
        <v>3262</v>
      </c>
      <c r="DE858" s="3262" t="s">
        <v>3262</v>
      </c>
      <c r="DF858" s="3262" t="s">
        <v>3262</v>
      </c>
      <c r="DG858" s="3262" t="s">
        <v>3262</v>
      </c>
      <c r="DH858" s="3262" t="s">
        <v>3262</v>
      </c>
      <c r="DI858" s="3262" t="s">
        <v>3262</v>
      </c>
      <c r="DJ858" s="3262" t="s">
        <v>3262</v>
      </c>
      <c r="DK858" s="3262" t="s">
        <v>3262</v>
      </c>
      <c r="DL858" s="3262" t="s">
        <v>3262</v>
      </c>
      <c r="DM858" s="3262" t="s">
        <v>3262</v>
      </c>
      <c r="DN858" s="3262" t="s">
        <v>3262</v>
      </c>
      <c r="DO858" s="3262" t="s">
        <v>3262</v>
      </c>
      <c r="DP858" s="3262" t="s">
        <v>3262</v>
      </c>
      <c r="DQ858" s="3262" t="s">
        <v>3262</v>
      </c>
      <c r="DR858" s="3262" t="s">
        <v>3262</v>
      </c>
      <c r="DS858" s="3262" t="s">
        <v>3262</v>
      </c>
      <c r="DT858" s="3262" t="s">
        <v>3262</v>
      </c>
      <c r="DU858" s="3262" t="s">
        <v>3262</v>
      </c>
      <c r="DV858" s="3262" t="s">
        <v>3262</v>
      </c>
      <c r="DW858" s="3262" t="s">
        <v>3262</v>
      </c>
      <c r="DX858" s="3262" t="s">
        <v>3262</v>
      </c>
      <c r="DY858" s="3262" t="s">
        <v>3262</v>
      </c>
      <c r="DZ858" s="3262" t="s">
        <v>3262</v>
      </c>
      <c r="EA858" s="3262" t="s">
        <v>3262</v>
      </c>
      <c r="EB858" s="3262" t="s">
        <v>3262</v>
      </c>
      <c r="EC858" s="3262" t="s">
        <v>3262</v>
      </c>
      <c r="ED858" s="3262" t="s">
        <v>3262</v>
      </c>
      <c r="EE858" s="3262" t="s">
        <v>3262</v>
      </c>
      <c r="EF858" s="3262" t="s">
        <v>3262</v>
      </c>
      <c r="EG858" s="3262" t="s">
        <v>3262</v>
      </c>
      <c r="EH858" s="3262" t="s">
        <v>3262</v>
      </c>
      <c r="EI858" s="3262" t="s">
        <v>3262</v>
      </c>
      <c r="EJ858" s="3262" t="s">
        <v>3262</v>
      </c>
      <c r="EK858" s="3262" t="s">
        <v>3262</v>
      </c>
      <c r="EL858" s="3262" t="s">
        <v>3262</v>
      </c>
      <c r="EM858" s="3262" t="s">
        <v>3262</v>
      </c>
      <c r="EN858" s="3262" t="s">
        <v>3262</v>
      </c>
      <c r="EO858" s="3262" t="s">
        <v>3262</v>
      </c>
      <c r="EP858" s="3262" t="s">
        <v>3262</v>
      </c>
      <c r="EQ858" s="3262" t="s">
        <v>3262</v>
      </c>
      <c r="ER858" s="3262" t="s">
        <v>3262</v>
      </c>
      <c r="ES858" s="3262" t="s">
        <v>3262</v>
      </c>
      <c r="ET858" s="3262" t="s">
        <v>3262</v>
      </c>
      <c r="EU858" s="3262" t="s">
        <v>3262</v>
      </c>
      <c r="EV858" s="3262" t="s">
        <v>3262</v>
      </c>
      <c r="EW858" s="3262" t="s">
        <v>3262</v>
      </c>
      <c r="EX858" s="3262" t="s">
        <v>3262</v>
      </c>
      <c r="EY858" s="3262" t="s">
        <v>3262</v>
      </c>
      <c r="EZ858" s="3262" t="s">
        <v>3262</v>
      </c>
      <c r="FA858" s="3262" t="s">
        <v>3262</v>
      </c>
      <c r="FB858" s="3262" t="s">
        <v>3262</v>
      </c>
      <c r="FC858" s="3262" t="s">
        <v>3262</v>
      </c>
      <c r="FD858" s="3262" t="s">
        <v>3262</v>
      </c>
      <c r="FE858" s="3262" t="s">
        <v>3262</v>
      </c>
      <c r="FF858" s="3262" t="s">
        <v>3262</v>
      </c>
      <c r="FG858" s="3262" t="s">
        <v>3262</v>
      </c>
      <c r="FH858" s="3262" t="s">
        <v>3262</v>
      </c>
      <c r="FI858" s="3262" t="s">
        <v>3262</v>
      </c>
      <c r="FJ858" s="3262" t="s">
        <v>3262</v>
      </c>
      <c r="FK858" s="3262" t="s">
        <v>3262</v>
      </c>
      <c r="FL858" s="3262" t="s">
        <v>3262</v>
      </c>
      <c r="FM858" s="3262" t="s">
        <v>3262</v>
      </c>
      <c r="FN858" s="3262" t="s">
        <v>3262</v>
      </c>
      <c r="FO858" s="3262" t="s">
        <v>3262</v>
      </c>
      <c r="FP858" s="3262" t="s">
        <v>3262</v>
      </c>
      <c r="FQ858" s="3262" t="s">
        <v>3262</v>
      </c>
      <c r="FR858" s="3262" t="s">
        <v>3262</v>
      </c>
      <c r="FS858" s="3262" t="s">
        <v>3262</v>
      </c>
      <c r="FT858" s="3262" t="s">
        <v>3262</v>
      </c>
      <c r="FU858" s="3262" t="s">
        <v>3262</v>
      </c>
      <c r="FV858" s="3262" t="s">
        <v>3262</v>
      </c>
      <c r="FW858" s="3262" t="s">
        <v>3262</v>
      </c>
      <c r="FX858" s="3262" t="s">
        <v>3262</v>
      </c>
      <c r="FY858" s="3262" t="s">
        <v>3262</v>
      </c>
      <c r="FZ858" s="3262" t="s">
        <v>3262</v>
      </c>
      <c r="GA858" s="3262" t="s">
        <v>3262</v>
      </c>
      <c r="GB858" s="3262" t="s">
        <v>3262</v>
      </c>
      <c r="GC858" s="3262" t="s">
        <v>3262</v>
      </c>
      <c r="GD858" s="3262" t="s">
        <v>3262</v>
      </c>
      <c r="GE858" s="3262" t="s">
        <v>3262</v>
      </c>
      <c r="GF858" s="3262" t="s">
        <v>3262</v>
      </c>
      <c r="GG858" s="3262" t="s">
        <v>3262</v>
      </c>
      <c r="GH858" s="3262" t="s">
        <v>3262</v>
      </c>
      <c r="GI858" s="3262" t="s">
        <v>3262</v>
      </c>
      <c r="GJ858" s="3262" t="s">
        <v>3262</v>
      </c>
      <c r="GK858" s="3262" t="s">
        <v>3262</v>
      </c>
      <c r="GL858" s="3262" t="s">
        <v>3262</v>
      </c>
      <c r="GM858" s="3262" t="s">
        <v>3262</v>
      </c>
      <c r="GN858" s="3262" t="s">
        <v>3262</v>
      </c>
      <c r="GO858" s="3262" t="s">
        <v>3262</v>
      </c>
      <c r="GP858" s="3262" t="s">
        <v>3262</v>
      </c>
      <c r="GQ858" s="3262" t="s">
        <v>3262</v>
      </c>
      <c r="GR858" s="3262" t="s">
        <v>3262</v>
      </c>
      <c r="GS858" s="3262" t="s">
        <v>3262</v>
      </c>
      <c r="GT858" s="3262" t="s">
        <v>3262</v>
      </c>
      <c r="GU858" s="3262" t="s">
        <v>3262</v>
      </c>
      <c r="GV858" s="3262" t="s">
        <v>3262</v>
      </c>
      <c r="GW858" s="3262" t="s">
        <v>3262</v>
      </c>
      <c r="GX858" s="3262" t="s">
        <v>3262</v>
      </c>
      <c r="GY858" s="3262" t="s">
        <v>3262</v>
      </c>
      <c r="GZ858" s="3262" t="s">
        <v>3262</v>
      </c>
      <c r="HA858" s="3262" t="s">
        <v>3262</v>
      </c>
      <c r="HB858" s="3262" t="s">
        <v>3262</v>
      </c>
      <c r="HC858" s="3262" t="s">
        <v>3262</v>
      </c>
      <c r="HD858" s="3262" t="s">
        <v>3262</v>
      </c>
      <c r="HE858" s="3262" t="s">
        <v>3262</v>
      </c>
      <c r="HF858" s="3262" t="s">
        <v>3262</v>
      </c>
      <c r="HG858" s="3262" t="s">
        <v>3262</v>
      </c>
      <c r="HH858" s="3262" t="s">
        <v>3262</v>
      </c>
      <c r="HI858" s="3262" t="s">
        <v>3262</v>
      </c>
      <c r="HJ858" s="3262" t="s">
        <v>3262</v>
      </c>
      <c r="HK858" s="3262" t="s">
        <v>3262</v>
      </c>
      <c r="HL858" s="3262" t="s">
        <v>3262</v>
      </c>
      <c r="HM858" s="3262" t="s">
        <v>3262</v>
      </c>
      <c r="HN858" s="3262" t="s">
        <v>3262</v>
      </c>
      <c r="HO858" s="3262" t="s">
        <v>3262</v>
      </c>
      <c r="HP858" s="3262" t="s">
        <v>3262</v>
      </c>
      <c r="HQ858" s="3262" t="s">
        <v>3262</v>
      </c>
      <c r="HR858" s="3262" t="s">
        <v>3262</v>
      </c>
      <c r="HS858" s="3262" t="s">
        <v>3262</v>
      </c>
      <c r="HT858" s="3262" t="s">
        <v>3262</v>
      </c>
      <c r="HU858" s="3262" t="s">
        <v>3262</v>
      </c>
      <c r="HV858" s="3262" t="s">
        <v>3262</v>
      </c>
      <c r="HW858" s="3262" t="s">
        <v>3262</v>
      </c>
      <c r="HX858" s="3262" t="s">
        <v>3262</v>
      </c>
      <c r="HY858" s="3262" t="s">
        <v>3262</v>
      </c>
      <c r="HZ858" s="3262" t="s">
        <v>3262</v>
      </c>
      <c r="IA858" s="3262" t="s">
        <v>3262</v>
      </c>
      <c r="IB858" s="3262" t="s">
        <v>3262</v>
      </c>
      <c r="IC858" s="3262" t="s">
        <v>3262</v>
      </c>
      <c r="ID858" s="3262" t="s">
        <v>3262</v>
      </c>
      <c r="IE858" s="3262" t="s">
        <v>3262</v>
      </c>
      <c r="IF858" s="3262" t="s">
        <v>3262</v>
      </c>
      <c r="IG858" s="3262" t="s">
        <v>3262</v>
      </c>
      <c r="IH858" s="3262" t="s">
        <v>3262</v>
      </c>
      <c r="II858" s="3262" t="s">
        <v>3262</v>
      </c>
      <c r="IJ858" s="3262" t="s">
        <v>3262</v>
      </c>
      <c r="IK858" s="3262" t="s">
        <v>3262</v>
      </c>
    </row>
    <row r="859" spans="1:255" hidden="1">
      <c r="A859" s="3267" t="s">
        <v>9011</v>
      </c>
      <c r="B859" s="3267" t="s">
        <v>9012</v>
      </c>
      <c r="C859" s="3269" t="s">
        <v>9013</v>
      </c>
      <c r="D859" s="3269" t="s">
        <v>9014</v>
      </c>
      <c r="E859" s="3267" t="s">
        <v>2985</v>
      </c>
      <c r="F859" s="3269" t="s">
        <v>9015</v>
      </c>
      <c r="G859" s="3267"/>
      <c r="H859" s="3267" t="s">
        <v>3139</v>
      </c>
      <c r="I859" s="3268"/>
      <c r="J859" s="3268" t="s">
        <v>5143</v>
      </c>
      <c r="K859" s="3267" t="s">
        <v>9016</v>
      </c>
      <c r="L859" s="3267">
        <v>46.12</v>
      </c>
      <c r="M859" s="3267">
        <v>14</v>
      </c>
      <c r="N859" s="3267" t="s">
        <v>3152</v>
      </c>
      <c r="O859" s="3267"/>
      <c r="P859" s="3267" t="s">
        <v>2963</v>
      </c>
      <c r="Q859" s="3271">
        <v>400000</v>
      </c>
      <c r="R859" s="3267">
        <v>8673</v>
      </c>
      <c r="S859" s="3272">
        <v>37.700000000000003</v>
      </c>
      <c r="T859" s="3273">
        <v>377000</v>
      </c>
      <c r="U859" s="3267">
        <v>8175</v>
      </c>
      <c r="V859" s="3289">
        <v>0.2</v>
      </c>
      <c r="W859" s="3272">
        <v>30.16</v>
      </c>
      <c r="X859" s="3275">
        <v>301600</v>
      </c>
      <c r="Y859" s="3276">
        <v>2006</v>
      </c>
      <c r="Z859" s="3276">
        <v>11</v>
      </c>
      <c r="AA859" s="3276">
        <v>27</v>
      </c>
      <c r="AB859" s="3267">
        <v>1130</v>
      </c>
      <c r="AC859" s="3267" t="s">
        <v>2980</v>
      </c>
      <c r="AD859" s="3366">
        <v>91302006110175</v>
      </c>
      <c r="AE859" s="3279" t="s">
        <v>3396</v>
      </c>
      <c r="AF859" s="3268" t="s">
        <v>2966</v>
      </c>
      <c r="AG859" s="3279" t="s">
        <v>2967</v>
      </c>
      <c r="AH859" s="3267"/>
      <c r="AI859" s="3279" t="s">
        <v>2992</v>
      </c>
      <c r="AJ859" s="3284"/>
      <c r="AK859" s="3278" t="s">
        <v>3137</v>
      </c>
      <c r="AL859" s="3276">
        <v>51</v>
      </c>
      <c r="AM859" s="3276"/>
      <c r="AN859" s="3279" t="s">
        <v>3140</v>
      </c>
      <c r="AO859" s="3267"/>
      <c r="AP859" s="3279" t="s">
        <v>3396</v>
      </c>
      <c r="AQ859" s="3276" t="s">
        <v>3113</v>
      </c>
      <c r="AR859" s="3276"/>
      <c r="AS859" s="3276"/>
      <c r="AT859" s="3276"/>
      <c r="AU859" s="3276"/>
      <c r="AV859" s="3276"/>
      <c r="AW859" s="3276" t="s">
        <v>2997</v>
      </c>
      <c r="AX859" s="3276"/>
      <c r="AY859" s="3291"/>
      <c r="AZ859" s="3267" t="s">
        <v>9016</v>
      </c>
      <c r="BA859" s="3296"/>
      <c r="BB859" s="3297"/>
      <c r="BC859" s="3296"/>
      <c r="BD859" s="3298"/>
      <c r="BE859" s="3276"/>
      <c r="BF859" s="3281"/>
      <c r="BG859" s="3293">
        <v>38957</v>
      </c>
      <c r="BH859" s="3267"/>
      <c r="BI859" s="3267" t="s">
        <v>3396</v>
      </c>
      <c r="BJ859" s="3299">
        <v>39024</v>
      </c>
      <c r="BK859" s="3283"/>
      <c r="BL859" s="3267" t="s">
        <v>2998</v>
      </c>
      <c r="BM859" s="3276" t="s">
        <v>2879</v>
      </c>
      <c r="BN859" s="3276" t="s">
        <v>3111</v>
      </c>
      <c r="BO859" s="3276" t="s">
        <v>3146</v>
      </c>
      <c r="BP859" s="3276"/>
      <c r="BQ859" s="3276" t="e">
        <v>#DIV/0!</v>
      </c>
      <c r="BR859" s="3276" t="e">
        <v>#DIV/0!</v>
      </c>
      <c r="BS859" s="3285"/>
      <c r="BT859" s="3285"/>
      <c r="BU859" s="3285"/>
      <c r="BY859" s="3262" t="s">
        <v>3262</v>
      </c>
      <c r="BZ859" s="3262" t="s">
        <v>3262</v>
      </c>
      <c r="CA859" s="3262" t="s">
        <v>3262</v>
      </c>
      <c r="CB859" s="3262" t="s">
        <v>3262</v>
      </c>
      <c r="CC859" s="3262" t="s">
        <v>3262</v>
      </c>
      <c r="CD859" s="3262" t="s">
        <v>3262</v>
      </c>
      <c r="CE859" s="3262" t="s">
        <v>3262</v>
      </c>
      <c r="CF859" s="3262" t="s">
        <v>3262</v>
      </c>
      <c r="CG859" s="3262" t="s">
        <v>3262</v>
      </c>
      <c r="CH859" s="3262" t="s">
        <v>3262</v>
      </c>
      <c r="CI859" s="3262" t="s">
        <v>3262</v>
      </c>
      <c r="CJ859" s="3262" t="s">
        <v>3262</v>
      </c>
      <c r="CK859" s="3262" t="s">
        <v>3262</v>
      </c>
      <c r="CL859" s="3262" t="s">
        <v>3262</v>
      </c>
      <c r="CM859" s="3262" t="s">
        <v>3262</v>
      </c>
      <c r="CN859" s="3262" t="s">
        <v>3262</v>
      </c>
      <c r="CO859" s="3262" t="s">
        <v>3262</v>
      </c>
      <c r="CP859" s="3262" t="s">
        <v>3262</v>
      </c>
      <c r="CQ859" s="3262" t="s">
        <v>3262</v>
      </c>
      <c r="CR859" s="3262" t="s">
        <v>3262</v>
      </c>
      <c r="CS859" s="3262" t="s">
        <v>3262</v>
      </c>
      <c r="CT859" s="3262" t="s">
        <v>3262</v>
      </c>
      <c r="CU859" s="3262" t="s">
        <v>3262</v>
      </c>
      <c r="CV859" s="3262" t="s">
        <v>3262</v>
      </c>
      <c r="CW859" s="3262" t="s">
        <v>3262</v>
      </c>
      <c r="CX859" s="3262" t="s">
        <v>3262</v>
      </c>
      <c r="CY859" s="3262" t="s">
        <v>3262</v>
      </c>
      <c r="CZ859" s="3262" t="s">
        <v>3262</v>
      </c>
      <c r="DA859" s="3262" t="s">
        <v>3262</v>
      </c>
      <c r="DB859" s="3262" t="s">
        <v>3262</v>
      </c>
      <c r="DC859" s="3262" t="s">
        <v>3262</v>
      </c>
      <c r="DD859" s="3262" t="s">
        <v>3262</v>
      </c>
      <c r="DE859" s="3262" t="s">
        <v>3262</v>
      </c>
      <c r="DF859" s="3262" t="s">
        <v>3262</v>
      </c>
      <c r="DG859" s="3262" t="s">
        <v>3262</v>
      </c>
      <c r="DH859" s="3262" t="s">
        <v>3262</v>
      </c>
      <c r="DI859" s="3262" t="s">
        <v>3262</v>
      </c>
      <c r="DJ859" s="3262" t="s">
        <v>3262</v>
      </c>
      <c r="DK859" s="3262" t="s">
        <v>3262</v>
      </c>
      <c r="DL859" s="3262" t="s">
        <v>3262</v>
      </c>
      <c r="DM859" s="3262" t="s">
        <v>3262</v>
      </c>
      <c r="DN859" s="3262" t="s">
        <v>3262</v>
      </c>
      <c r="DO859" s="3262" t="s">
        <v>3262</v>
      </c>
      <c r="DP859" s="3262" t="s">
        <v>3262</v>
      </c>
      <c r="DQ859" s="3262" t="s">
        <v>3262</v>
      </c>
      <c r="DR859" s="3262" t="s">
        <v>3262</v>
      </c>
      <c r="DS859" s="3262" t="s">
        <v>3262</v>
      </c>
      <c r="DT859" s="3262" t="s">
        <v>3262</v>
      </c>
      <c r="DU859" s="3262" t="s">
        <v>3262</v>
      </c>
      <c r="DV859" s="3262" t="s">
        <v>3262</v>
      </c>
      <c r="DW859" s="3262" t="s">
        <v>3262</v>
      </c>
      <c r="DX859" s="3262" t="s">
        <v>3262</v>
      </c>
      <c r="DY859" s="3262" t="s">
        <v>3262</v>
      </c>
      <c r="DZ859" s="3262" t="s">
        <v>3262</v>
      </c>
      <c r="EA859" s="3262" t="s">
        <v>3262</v>
      </c>
      <c r="EB859" s="3262" t="s">
        <v>3262</v>
      </c>
      <c r="EC859" s="3262" t="s">
        <v>3262</v>
      </c>
      <c r="ED859" s="3262" t="s">
        <v>3262</v>
      </c>
      <c r="EE859" s="3262" t="s">
        <v>3262</v>
      </c>
      <c r="EF859" s="3262" t="s">
        <v>3262</v>
      </c>
      <c r="EG859" s="3262" t="s">
        <v>3262</v>
      </c>
      <c r="EH859" s="3262" t="s">
        <v>3262</v>
      </c>
      <c r="EI859" s="3262" t="s">
        <v>3262</v>
      </c>
      <c r="EJ859" s="3262" t="s">
        <v>3262</v>
      </c>
      <c r="EK859" s="3262" t="s">
        <v>3262</v>
      </c>
      <c r="EL859" s="3262" t="s">
        <v>3262</v>
      </c>
      <c r="EM859" s="3262" t="s">
        <v>3262</v>
      </c>
      <c r="EN859" s="3262" t="s">
        <v>3262</v>
      </c>
      <c r="EO859" s="3262" t="s">
        <v>3262</v>
      </c>
      <c r="EP859" s="3262" t="s">
        <v>3262</v>
      </c>
      <c r="EQ859" s="3262" t="s">
        <v>3262</v>
      </c>
      <c r="ER859" s="3262" t="s">
        <v>3262</v>
      </c>
      <c r="ES859" s="3262" t="s">
        <v>3262</v>
      </c>
      <c r="ET859" s="3262" t="s">
        <v>3262</v>
      </c>
      <c r="EU859" s="3262" t="s">
        <v>3262</v>
      </c>
      <c r="EV859" s="3262" t="s">
        <v>3262</v>
      </c>
      <c r="EW859" s="3262" t="s">
        <v>3262</v>
      </c>
      <c r="EX859" s="3262" t="s">
        <v>3262</v>
      </c>
      <c r="EY859" s="3262" t="s">
        <v>3262</v>
      </c>
      <c r="EZ859" s="3262" t="s">
        <v>3262</v>
      </c>
      <c r="FA859" s="3262" t="s">
        <v>3262</v>
      </c>
      <c r="FB859" s="3262" t="s">
        <v>3262</v>
      </c>
      <c r="FC859" s="3262" t="s">
        <v>3262</v>
      </c>
      <c r="FD859" s="3262" t="s">
        <v>3262</v>
      </c>
      <c r="FE859" s="3262" t="s">
        <v>3262</v>
      </c>
      <c r="FF859" s="3262" t="s">
        <v>3262</v>
      </c>
      <c r="FG859" s="3262" t="s">
        <v>3262</v>
      </c>
      <c r="FH859" s="3262" t="s">
        <v>3262</v>
      </c>
      <c r="FI859" s="3262" t="s">
        <v>3262</v>
      </c>
      <c r="FJ859" s="3262" t="s">
        <v>3262</v>
      </c>
      <c r="FK859" s="3262" t="s">
        <v>3262</v>
      </c>
      <c r="FL859" s="3262" t="s">
        <v>3262</v>
      </c>
      <c r="FM859" s="3262" t="s">
        <v>3262</v>
      </c>
      <c r="FN859" s="3262" t="s">
        <v>3262</v>
      </c>
      <c r="FO859" s="3262" t="s">
        <v>3262</v>
      </c>
      <c r="FP859" s="3262" t="s">
        <v>3262</v>
      </c>
      <c r="FQ859" s="3262" t="s">
        <v>3262</v>
      </c>
      <c r="FR859" s="3262" t="s">
        <v>3262</v>
      </c>
      <c r="FS859" s="3262" t="s">
        <v>3262</v>
      </c>
      <c r="FT859" s="3262" t="s">
        <v>3262</v>
      </c>
      <c r="FU859" s="3262" t="s">
        <v>3262</v>
      </c>
      <c r="FV859" s="3262" t="s">
        <v>3262</v>
      </c>
      <c r="FW859" s="3262" t="s">
        <v>3262</v>
      </c>
      <c r="FX859" s="3262" t="s">
        <v>3262</v>
      </c>
      <c r="FY859" s="3262" t="s">
        <v>3262</v>
      </c>
      <c r="FZ859" s="3262" t="s">
        <v>3262</v>
      </c>
      <c r="GA859" s="3262" t="s">
        <v>3262</v>
      </c>
      <c r="GB859" s="3262" t="s">
        <v>3262</v>
      </c>
      <c r="GC859" s="3262" t="s">
        <v>3262</v>
      </c>
      <c r="GD859" s="3262" t="s">
        <v>3262</v>
      </c>
      <c r="GE859" s="3262" t="s">
        <v>3262</v>
      </c>
      <c r="GF859" s="3262" t="s">
        <v>3262</v>
      </c>
      <c r="GG859" s="3262" t="s">
        <v>3262</v>
      </c>
      <c r="GH859" s="3262" t="s">
        <v>3262</v>
      </c>
      <c r="GI859" s="3262" t="s">
        <v>3262</v>
      </c>
      <c r="GJ859" s="3262" t="s">
        <v>3262</v>
      </c>
      <c r="GK859" s="3262" t="s">
        <v>3262</v>
      </c>
      <c r="GL859" s="3262" t="s">
        <v>3262</v>
      </c>
      <c r="GM859" s="3262" t="s">
        <v>3262</v>
      </c>
      <c r="GN859" s="3262" t="s">
        <v>3262</v>
      </c>
      <c r="GO859" s="3262" t="s">
        <v>3262</v>
      </c>
      <c r="GP859" s="3262" t="s">
        <v>3262</v>
      </c>
      <c r="GQ859" s="3262" t="s">
        <v>3262</v>
      </c>
      <c r="GR859" s="3262" t="s">
        <v>3262</v>
      </c>
      <c r="GS859" s="3262" t="s">
        <v>3262</v>
      </c>
      <c r="GT859" s="3262" t="s">
        <v>3262</v>
      </c>
      <c r="GU859" s="3262" t="s">
        <v>3262</v>
      </c>
      <c r="GV859" s="3262" t="s">
        <v>3262</v>
      </c>
      <c r="GW859" s="3262" t="s">
        <v>3262</v>
      </c>
      <c r="GX859" s="3262" t="s">
        <v>3262</v>
      </c>
      <c r="GY859" s="3262" t="s">
        <v>3262</v>
      </c>
      <c r="GZ859" s="3262" t="s">
        <v>3262</v>
      </c>
      <c r="HA859" s="3262" t="s">
        <v>3262</v>
      </c>
      <c r="HB859" s="3262" t="s">
        <v>3262</v>
      </c>
      <c r="HC859" s="3262" t="s">
        <v>3262</v>
      </c>
      <c r="HD859" s="3262" t="s">
        <v>3262</v>
      </c>
      <c r="HE859" s="3262" t="s">
        <v>3262</v>
      </c>
      <c r="HF859" s="3262" t="s">
        <v>3262</v>
      </c>
      <c r="HG859" s="3262" t="s">
        <v>3262</v>
      </c>
      <c r="HH859" s="3262" t="s">
        <v>3262</v>
      </c>
      <c r="HI859" s="3262" t="s">
        <v>3262</v>
      </c>
      <c r="HJ859" s="3262" t="s">
        <v>3262</v>
      </c>
      <c r="HK859" s="3262" t="s">
        <v>3262</v>
      </c>
      <c r="HL859" s="3262" t="s">
        <v>3262</v>
      </c>
      <c r="HM859" s="3262" t="s">
        <v>3262</v>
      </c>
      <c r="HN859" s="3262" t="s">
        <v>3262</v>
      </c>
      <c r="HO859" s="3262" t="s">
        <v>3262</v>
      </c>
      <c r="HP859" s="3262" t="s">
        <v>3262</v>
      </c>
      <c r="HQ859" s="3262" t="s">
        <v>3262</v>
      </c>
      <c r="HR859" s="3262" t="s">
        <v>3262</v>
      </c>
      <c r="HS859" s="3262" t="s">
        <v>3262</v>
      </c>
      <c r="HT859" s="3262" t="s">
        <v>3262</v>
      </c>
      <c r="HU859" s="3262" t="s">
        <v>3262</v>
      </c>
      <c r="HV859" s="3262" t="s">
        <v>3262</v>
      </c>
      <c r="HW859" s="3262" t="s">
        <v>3262</v>
      </c>
      <c r="HX859" s="3262" t="s">
        <v>3262</v>
      </c>
      <c r="HY859" s="3262" t="s">
        <v>3262</v>
      </c>
      <c r="HZ859" s="3262" t="s">
        <v>3262</v>
      </c>
      <c r="IA859" s="3262" t="s">
        <v>3262</v>
      </c>
      <c r="IB859" s="3262" t="s">
        <v>3262</v>
      </c>
      <c r="IC859" s="3262" t="s">
        <v>3262</v>
      </c>
      <c r="ID859" s="3262" t="s">
        <v>3262</v>
      </c>
      <c r="IE859" s="3262" t="s">
        <v>3262</v>
      </c>
      <c r="IF859" s="3262" t="s">
        <v>3262</v>
      </c>
      <c r="IG859" s="3262" t="s">
        <v>3262</v>
      </c>
      <c r="IH859" s="3262" t="s">
        <v>3262</v>
      </c>
      <c r="II859" s="3262" t="s">
        <v>3262</v>
      </c>
      <c r="IJ859" s="3262" t="s">
        <v>3262</v>
      </c>
    </row>
    <row r="860" spans="1:255" hidden="1">
      <c r="A860" s="3267" t="s">
        <v>9017</v>
      </c>
      <c r="B860" s="3267" t="s">
        <v>9018</v>
      </c>
      <c r="C860" s="3269" t="s">
        <v>9019</v>
      </c>
      <c r="D860" s="3267">
        <v>13520159914</v>
      </c>
      <c r="E860" s="3267" t="s">
        <v>2985</v>
      </c>
      <c r="F860" s="3267" t="s">
        <v>3584</v>
      </c>
      <c r="G860" s="3267"/>
      <c r="H860" s="3267" t="s">
        <v>3097</v>
      </c>
      <c r="I860" s="3267" t="s">
        <v>3431</v>
      </c>
      <c r="J860" s="3267" t="s">
        <v>3771</v>
      </c>
      <c r="K860" s="3267" t="s">
        <v>9020</v>
      </c>
      <c r="L860" s="3267">
        <v>58.9</v>
      </c>
      <c r="M860" s="3267">
        <v>1</v>
      </c>
      <c r="N860" s="3267" t="s">
        <v>3152</v>
      </c>
      <c r="O860" s="3267">
        <v>52.35</v>
      </c>
      <c r="P860" s="3268" t="s">
        <v>2963</v>
      </c>
      <c r="Q860" s="3267">
        <v>189069</v>
      </c>
      <c r="R860" s="3267">
        <v>3210</v>
      </c>
      <c r="S860" s="3272">
        <v>18.899999999999999</v>
      </c>
      <c r="T860" s="3273">
        <v>189000</v>
      </c>
      <c r="U860" s="3267">
        <v>3210</v>
      </c>
      <c r="V860" s="3289">
        <v>0.2</v>
      </c>
      <c r="W860" s="3272">
        <v>15.12</v>
      </c>
      <c r="X860" s="3273">
        <v>151200</v>
      </c>
      <c r="Y860" s="3267">
        <v>2006</v>
      </c>
      <c r="Z860" s="3267">
        <v>11</v>
      </c>
      <c r="AA860" s="3267">
        <v>20</v>
      </c>
      <c r="AB860" s="3267">
        <v>565</v>
      </c>
      <c r="AC860" s="3267" t="s">
        <v>2980</v>
      </c>
      <c r="AD860" s="3269" t="s">
        <v>9021</v>
      </c>
      <c r="AE860" s="3267" t="s">
        <v>3180</v>
      </c>
      <c r="AF860" s="3267" t="s">
        <v>2966</v>
      </c>
      <c r="AG860" s="3267" t="s">
        <v>5571</v>
      </c>
      <c r="AH860" s="3267"/>
      <c r="AI860" s="3279" t="s">
        <v>2992</v>
      </c>
      <c r="AJ860" s="3267"/>
      <c r="AK860" s="3267" t="s">
        <v>3137</v>
      </c>
      <c r="AL860" s="3267">
        <v>48</v>
      </c>
      <c r="AM860" s="3267"/>
      <c r="AN860" s="3267" t="s">
        <v>3114</v>
      </c>
      <c r="AO860" s="3267"/>
      <c r="AP860" s="3267" t="s">
        <v>3180</v>
      </c>
      <c r="AQ860" s="3276" t="s">
        <v>3113</v>
      </c>
      <c r="AR860" s="3267"/>
      <c r="AS860" s="3267"/>
      <c r="AT860" s="3267"/>
      <c r="AU860" s="3267"/>
      <c r="AV860" s="3267"/>
      <c r="AW860" s="3267" t="s">
        <v>3119</v>
      </c>
      <c r="AX860" s="3267"/>
      <c r="AY860" s="3267"/>
      <c r="AZ860" s="3267" t="s">
        <v>9020</v>
      </c>
      <c r="BA860" s="3267"/>
      <c r="BB860" s="3267"/>
      <c r="BC860" s="3267"/>
      <c r="BD860" s="3267"/>
      <c r="BE860" s="3267"/>
      <c r="BF860" s="3267"/>
      <c r="BG860" s="3284">
        <v>38981</v>
      </c>
      <c r="BH860" s="3267"/>
      <c r="BI860" s="3267" t="s">
        <v>3180</v>
      </c>
      <c r="BJ860" s="3284">
        <v>39024</v>
      </c>
      <c r="BK860" s="3267"/>
      <c r="BL860" s="3267" t="s">
        <v>2998</v>
      </c>
      <c r="BM860" s="3267" t="s">
        <v>2879</v>
      </c>
      <c r="BN860" s="3267" t="s">
        <v>3111</v>
      </c>
      <c r="BO860" s="3267" t="s">
        <v>3146</v>
      </c>
      <c r="BP860" s="3267"/>
      <c r="BQ860" s="3276">
        <v>3612</v>
      </c>
      <c r="BR860" s="3276">
        <v>3612</v>
      </c>
      <c r="BS860" s="3285"/>
      <c r="BT860" s="3285"/>
      <c r="BU860" s="3285"/>
    </row>
    <row r="861" spans="1:255" hidden="1">
      <c r="A861" s="3267" t="s">
        <v>9022</v>
      </c>
      <c r="B861" s="3267" t="s">
        <v>9023</v>
      </c>
      <c r="C861" s="3269" t="s">
        <v>9024</v>
      </c>
      <c r="D861" s="3269" t="s">
        <v>9025</v>
      </c>
      <c r="E861" s="3268" t="s">
        <v>2985</v>
      </c>
      <c r="F861" s="3268" t="s">
        <v>4412</v>
      </c>
      <c r="G861" s="3267"/>
      <c r="H861" s="3267" t="s">
        <v>4724</v>
      </c>
      <c r="I861" s="3268" t="s">
        <v>3586</v>
      </c>
      <c r="J861" s="3268" t="s">
        <v>6964</v>
      </c>
      <c r="K861" s="3267" t="s">
        <v>9026</v>
      </c>
      <c r="L861" s="3267">
        <v>64.209999999999994</v>
      </c>
      <c r="M861" s="3267">
        <v>5</v>
      </c>
      <c r="N861" s="3267" t="s">
        <v>3122</v>
      </c>
      <c r="O861" s="3267"/>
      <c r="P861" s="3267" t="s">
        <v>2963</v>
      </c>
      <c r="Q861" s="3271">
        <v>500000</v>
      </c>
      <c r="R861" s="3267">
        <v>7787</v>
      </c>
      <c r="S861" s="3272">
        <v>46.59</v>
      </c>
      <c r="T861" s="3273">
        <v>465900.00000000006</v>
      </c>
      <c r="U861" s="3267">
        <v>7257</v>
      </c>
      <c r="V861" s="3289">
        <v>0.2</v>
      </c>
      <c r="W861" s="3272">
        <v>37.270000000000003</v>
      </c>
      <c r="X861" s="3275">
        <v>372700.00000000006</v>
      </c>
      <c r="Y861" s="3276">
        <v>2006</v>
      </c>
      <c r="Z861" s="3276">
        <v>11</v>
      </c>
      <c r="AA861" s="3276">
        <v>16</v>
      </c>
      <c r="AB861" s="3267">
        <v>1395</v>
      </c>
      <c r="AC861" s="3267" t="s">
        <v>2980</v>
      </c>
      <c r="AD861" s="3366">
        <v>91302006110199</v>
      </c>
      <c r="AE861" s="3279" t="s">
        <v>2991</v>
      </c>
      <c r="AF861" s="3268"/>
      <c r="AG861" s="3279" t="s">
        <v>2967</v>
      </c>
      <c r="AH861" s="3267"/>
      <c r="AI861" s="3279" t="s">
        <v>2992</v>
      </c>
      <c r="AJ861" s="3284"/>
      <c r="AK861" s="3278" t="s">
        <v>3137</v>
      </c>
      <c r="AL861" s="3276">
        <v>35</v>
      </c>
      <c r="AM861" s="3276"/>
      <c r="AN861" s="3279" t="s">
        <v>3114</v>
      </c>
      <c r="AO861" s="3267"/>
      <c r="AP861" s="3279" t="s">
        <v>2991</v>
      </c>
      <c r="AQ861" s="3276" t="s">
        <v>3113</v>
      </c>
      <c r="AR861" s="3276">
        <v>2006</v>
      </c>
      <c r="AS861" s="3276">
        <v>11</v>
      </c>
      <c r="AT861" s="3276">
        <v>16</v>
      </c>
      <c r="AU861" s="3276"/>
      <c r="AV861" s="3276"/>
      <c r="AW861" s="3276" t="s">
        <v>2997</v>
      </c>
      <c r="AX861" s="3276"/>
      <c r="AY861" s="3291"/>
      <c r="AZ861" s="3267" t="s">
        <v>9026</v>
      </c>
      <c r="BA861" s="3296"/>
      <c r="BB861" s="3297"/>
      <c r="BC861" s="3296"/>
      <c r="BD861" s="3298"/>
      <c r="BE861" s="3276"/>
      <c r="BF861" s="3281"/>
      <c r="BG861" s="3293">
        <v>39018</v>
      </c>
      <c r="BH861" s="3267"/>
      <c r="BI861" s="3267" t="s">
        <v>2991</v>
      </c>
      <c r="BJ861" s="3299">
        <v>39024</v>
      </c>
      <c r="BK861" s="3283" t="s">
        <v>2968</v>
      </c>
      <c r="BL861" s="3267" t="s">
        <v>2998</v>
      </c>
      <c r="BM861" s="3276" t="s">
        <v>2879</v>
      </c>
      <c r="BN861" s="3276" t="s">
        <v>2999</v>
      </c>
      <c r="BO861" s="3276" t="s">
        <v>3146</v>
      </c>
      <c r="BP861" s="3276"/>
      <c r="BQ861" s="3276" t="e">
        <v>#DIV/0!</v>
      </c>
      <c r="BR861" s="3276" t="e">
        <v>#DIV/0!</v>
      </c>
      <c r="BS861" s="3285"/>
      <c r="BT861" s="3285"/>
      <c r="BU861" s="3285"/>
      <c r="BY861" s="3262" t="s">
        <v>3262</v>
      </c>
      <c r="BZ861" s="3262" t="s">
        <v>3262</v>
      </c>
      <c r="CA861" s="3262" t="s">
        <v>3262</v>
      </c>
      <c r="CB861" s="3262" t="s">
        <v>3262</v>
      </c>
      <c r="CC861" s="3262" t="s">
        <v>3262</v>
      </c>
      <c r="CD861" s="3262" t="s">
        <v>3262</v>
      </c>
      <c r="CE861" s="3262" t="s">
        <v>3262</v>
      </c>
      <c r="CF861" s="3262" t="s">
        <v>3262</v>
      </c>
      <c r="CG861" s="3262" t="s">
        <v>3262</v>
      </c>
      <c r="CH861" s="3262" t="s">
        <v>3262</v>
      </c>
      <c r="CI861" s="3262" t="s">
        <v>3262</v>
      </c>
      <c r="CJ861" s="3262" t="s">
        <v>3262</v>
      </c>
      <c r="CK861" s="3262" t="s">
        <v>3262</v>
      </c>
      <c r="CL861" s="3262" t="s">
        <v>3262</v>
      </c>
      <c r="CM861" s="3262" t="s">
        <v>3262</v>
      </c>
      <c r="CN861" s="3262" t="s">
        <v>3262</v>
      </c>
      <c r="CO861" s="3262" t="s">
        <v>3262</v>
      </c>
      <c r="CP861" s="3262" t="s">
        <v>3262</v>
      </c>
      <c r="CQ861" s="3262" t="s">
        <v>3262</v>
      </c>
      <c r="CR861" s="3262" t="s">
        <v>3262</v>
      </c>
      <c r="CS861" s="3262" t="s">
        <v>3262</v>
      </c>
      <c r="CT861" s="3262" t="s">
        <v>3262</v>
      </c>
      <c r="CU861" s="3262" t="s">
        <v>3262</v>
      </c>
      <c r="CV861" s="3262" t="s">
        <v>3262</v>
      </c>
      <c r="CW861" s="3262" t="s">
        <v>3262</v>
      </c>
      <c r="CX861" s="3262" t="s">
        <v>3262</v>
      </c>
      <c r="CY861" s="3262" t="s">
        <v>3262</v>
      </c>
      <c r="CZ861" s="3262" t="s">
        <v>3262</v>
      </c>
      <c r="DA861" s="3262" t="s">
        <v>3262</v>
      </c>
      <c r="DB861" s="3262" t="s">
        <v>3262</v>
      </c>
      <c r="DC861" s="3262" t="s">
        <v>3262</v>
      </c>
      <c r="DD861" s="3262" t="s">
        <v>3262</v>
      </c>
      <c r="DE861" s="3262" t="s">
        <v>3262</v>
      </c>
      <c r="DF861" s="3262" t="s">
        <v>3262</v>
      </c>
      <c r="DG861" s="3262" t="s">
        <v>3262</v>
      </c>
      <c r="DH861" s="3262" t="s">
        <v>3262</v>
      </c>
      <c r="DI861" s="3262" t="s">
        <v>3262</v>
      </c>
      <c r="DJ861" s="3262" t="s">
        <v>3262</v>
      </c>
      <c r="DK861" s="3262" t="s">
        <v>3262</v>
      </c>
      <c r="DL861" s="3262" t="s">
        <v>3262</v>
      </c>
      <c r="DM861" s="3262" t="s">
        <v>3262</v>
      </c>
      <c r="DN861" s="3262" t="s">
        <v>3262</v>
      </c>
      <c r="DO861" s="3262" t="s">
        <v>3262</v>
      </c>
      <c r="DP861" s="3262" t="s">
        <v>3262</v>
      </c>
      <c r="DQ861" s="3262" t="s">
        <v>3262</v>
      </c>
      <c r="DR861" s="3262" t="s">
        <v>3262</v>
      </c>
      <c r="DS861" s="3262" t="s">
        <v>3262</v>
      </c>
      <c r="DT861" s="3262" t="s">
        <v>3262</v>
      </c>
      <c r="DU861" s="3262" t="s">
        <v>3262</v>
      </c>
      <c r="DV861" s="3262" t="s">
        <v>3262</v>
      </c>
      <c r="DW861" s="3262" t="s">
        <v>3262</v>
      </c>
      <c r="DX861" s="3262" t="s">
        <v>3262</v>
      </c>
      <c r="DY861" s="3262" t="s">
        <v>3262</v>
      </c>
      <c r="DZ861" s="3262" t="s">
        <v>3262</v>
      </c>
      <c r="EA861" s="3262" t="s">
        <v>3262</v>
      </c>
      <c r="EB861" s="3262" t="s">
        <v>3262</v>
      </c>
      <c r="EC861" s="3262" t="s">
        <v>3262</v>
      </c>
      <c r="ED861" s="3262" t="s">
        <v>3262</v>
      </c>
      <c r="EE861" s="3262" t="s">
        <v>3262</v>
      </c>
      <c r="EF861" s="3262" t="s">
        <v>3262</v>
      </c>
      <c r="EG861" s="3262" t="s">
        <v>3262</v>
      </c>
      <c r="EH861" s="3262" t="s">
        <v>3262</v>
      </c>
      <c r="EI861" s="3262" t="s">
        <v>3262</v>
      </c>
      <c r="EJ861" s="3262" t="s">
        <v>3262</v>
      </c>
      <c r="EK861" s="3262" t="s">
        <v>3262</v>
      </c>
      <c r="EL861" s="3262" t="s">
        <v>3262</v>
      </c>
      <c r="EM861" s="3262" t="s">
        <v>3262</v>
      </c>
      <c r="EN861" s="3262" t="s">
        <v>3262</v>
      </c>
      <c r="EO861" s="3262" t="s">
        <v>3262</v>
      </c>
      <c r="EP861" s="3262" t="s">
        <v>3262</v>
      </c>
      <c r="EQ861" s="3262" t="s">
        <v>3262</v>
      </c>
      <c r="ER861" s="3262" t="s">
        <v>3262</v>
      </c>
      <c r="ES861" s="3262" t="s">
        <v>3262</v>
      </c>
      <c r="ET861" s="3262" t="s">
        <v>3262</v>
      </c>
      <c r="EU861" s="3262" t="s">
        <v>3262</v>
      </c>
      <c r="EV861" s="3262" t="s">
        <v>3262</v>
      </c>
      <c r="EW861" s="3262" t="s">
        <v>3262</v>
      </c>
      <c r="EX861" s="3262" t="s">
        <v>3262</v>
      </c>
      <c r="EY861" s="3262" t="s">
        <v>3262</v>
      </c>
      <c r="EZ861" s="3262" t="s">
        <v>3262</v>
      </c>
      <c r="FA861" s="3262" t="s">
        <v>3262</v>
      </c>
      <c r="FB861" s="3262" t="s">
        <v>3262</v>
      </c>
      <c r="FC861" s="3262" t="s">
        <v>3262</v>
      </c>
      <c r="FD861" s="3262" t="s">
        <v>3262</v>
      </c>
      <c r="FE861" s="3262" t="s">
        <v>3262</v>
      </c>
      <c r="FF861" s="3262" t="s">
        <v>3262</v>
      </c>
      <c r="FG861" s="3262" t="s">
        <v>3262</v>
      </c>
      <c r="FH861" s="3262" t="s">
        <v>3262</v>
      </c>
      <c r="FI861" s="3262" t="s">
        <v>3262</v>
      </c>
      <c r="FJ861" s="3262" t="s">
        <v>3262</v>
      </c>
      <c r="FK861" s="3262" t="s">
        <v>3262</v>
      </c>
      <c r="FL861" s="3262" t="s">
        <v>3262</v>
      </c>
      <c r="FM861" s="3262" t="s">
        <v>3262</v>
      </c>
      <c r="FN861" s="3262" t="s">
        <v>3262</v>
      </c>
      <c r="FO861" s="3262" t="s">
        <v>3262</v>
      </c>
      <c r="FP861" s="3262" t="s">
        <v>3262</v>
      </c>
      <c r="FQ861" s="3262" t="s">
        <v>3262</v>
      </c>
      <c r="FR861" s="3262" t="s">
        <v>3262</v>
      </c>
      <c r="FS861" s="3262" t="s">
        <v>3262</v>
      </c>
      <c r="FT861" s="3262" t="s">
        <v>3262</v>
      </c>
      <c r="FU861" s="3262" t="s">
        <v>3262</v>
      </c>
      <c r="FV861" s="3262" t="s">
        <v>3262</v>
      </c>
      <c r="FW861" s="3262" t="s">
        <v>3262</v>
      </c>
      <c r="FX861" s="3262" t="s">
        <v>3262</v>
      </c>
      <c r="FY861" s="3262" t="s">
        <v>3262</v>
      </c>
      <c r="FZ861" s="3262" t="s">
        <v>3262</v>
      </c>
      <c r="GA861" s="3262" t="s">
        <v>3262</v>
      </c>
      <c r="GB861" s="3262" t="s">
        <v>3262</v>
      </c>
      <c r="GC861" s="3262" t="s">
        <v>3262</v>
      </c>
      <c r="GD861" s="3262" t="s">
        <v>3262</v>
      </c>
      <c r="GE861" s="3262" t="s">
        <v>3262</v>
      </c>
      <c r="GF861" s="3262" t="s">
        <v>3262</v>
      </c>
      <c r="GG861" s="3262" t="s">
        <v>3262</v>
      </c>
      <c r="GH861" s="3262" t="s">
        <v>3262</v>
      </c>
      <c r="GI861" s="3262" t="s">
        <v>3262</v>
      </c>
      <c r="GJ861" s="3262" t="s">
        <v>3262</v>
      </c>
      <c r="GK861" s="3262" t="s">
        <v>3262</v>
      </c>
      <c r="GL861" s="3262" t="s">
        <v>3262</v>
      </c>
      <c r="GM861" s="3262" t="s">
        <v>3262</v>
      </c>
      <c r="GN861" s="3262" t="s">
        <v>3262</v>
      </c>
      <c r="GO861" s="3262" t="s">
        <v>3262</v>
      </c>
      <c r="GP861" s="3262" t="s">
        <v>3262</v>
      </c>
      <c r="GQ861" s="3262" t="s">
        <v>3262</v>
      </c>
      <c r="GR861" s="3262" t="s">
        <v>3262</v>
      </c>
      <c r="GS861" s="3262" t="s">
        <v>3262</v>
      </c>
      <c r="GT861" s="3262" t="s">
        <v>3262</v>
      </c>
      <c r="GU861" s="3262" t="s">
        <v>3262</v>
      </c>
      <c r="GV861" s="3262" t="s">
        <v>3262</v>
      </c>
      <c r="GW861" s="3262" t="s">
        <v>3262</v>
      </c>
      <c r="GX861" s="3262" t="s">
        <v>3262</v>
      </c>
      <c r="GY861" s="3262" t="s">
        <v>3262</v>
      </c>
      <c r="GZ861" s="3262" t="s">
        <v>3262</v>
      </c>
      <c r="HA861" s="3262" t="s">
        <v>3262</v>
      </c>
      <c r="HB861" s="3262" t="s">
        <v>3262</v>
      </c>
      <c r="HC861" s="3262" t="s">
        <v>3262</v>
      </c>
      <c r="HD861" s="3262" t="s">
        <v>3262</v>
      </c>
      <c r="HE861" s="3262" t="s">
        <v>3262</v>
      </c>
      <c r="HF861" s="3262" t="s">
        <v>3262</v>
      </c>
      <c r="HG861" s="3262" t="s">
        <v>3262</v>
      </c>
      <c r="HH861" s="3262" t="s">
        <v>3262</v>
      </c>
      <c r="HI861" s="3262" t="s">
        <v>3262</v>
      </c>
      <c r="HJ861" s="3262" t="s">
        <v>3262</v>
      </c>
      <c r="HK861" s="3262" t="s">
        <v>3262</v>
      </c>
      <c r="HL861" s="3262" t="s">
        <v>3262</v>
      </c>
      <c r="HM861" s="3262" t="s">
        <v>3262</v>
      </c>
      <c r="HN861" s="3262" t="s">
        <v>3262</v>
      </c>
      <c r="HO861" s="3262" t="s">
        <v>3262</v>
      </c>
      <c r="HP861" s="3262" t="s">
        <v>3262</v>
      </c>
      <c r="HQ861" s="3262" t="s">
        <v>3262</v>
      </c>
      <c r="HR861" s="3262" t="s">
        <v>3262</v>
      </c>
      <c r="HS861" s="3262" t="s">
        <v>3262</v>
      </c>
      <c r="HT861" s="3262" t="s">
        <v>3262</v>
      </c>
      <c r="HU861" s="3262" t="s">
        <v>3262</v>
      </c>
      <c r="HV861" s="3262" t="s">
        <v>3262</v>
      </c>
      <c r="HW861" s="3262" t="s">
        <v>3262</v>
      </c>
      <c r="HX861" s="3262" t="s">
        <v>3262</v>
      </c>
      <c r="HY861" s="3262" t="s">
        <v>3262</v>
      </c>
      <c r="HZ861" s="3262" t="s">
        <v>3262</v>
      </c>
      <c r="IA861" s="3262" t="s">
        <v>3262</v>
      </c>
      <c r="IB861" s="3262" t="s">
        <v>3262</v>
      </c>
      <c r="IC861" s="3262" t="s">
        <v>3262</v>
      </c>
      <c r="ID861" s="3262" t="s">
        <v>3262</v>
      </c>
      <c r="IE861" s="3262" t="s">
        <v>3262</v>
      </c>
      <c r="IF861" s="3262" t="s">
        <v>3262</v>
      </c>
      <c r="IG861" s="3262" t="s">
        <v>3262</v>
      </c>
      <c r="IH861" s="3262" t="s">
        <v>3262</v>
      </c>
      <c r="II861" s="3262" t="s">
        <v>3262</v>
      </c>
      <c r="IJ861" s="3262" t="s">
        <v>3262</v>
      </c>
      <c r="IK861" s="3262" t="s">
        <v>3262</v>
      </c>
      <c r="IL861" s="3262" t="s">
        <v>3262</v>
      </c>
      <c r="IM861" s="3262" t="s">
        <v>3262</v>
      </c>
      <c r="IN861" s="3262" t="s">
        <v>3262</v>
      </c>
      <c r="IO861" s="3262" t="s">
        <v>3262</v>
      </c>
    </row>
    <row r="862" spans="1:255" hidden="1">
      <c r="A862" s="3267" t="s">
        <v>9027</v>
      </c>
      <c r="B862" s="3267" t="s">
        <v>9028</v>
      </c>
      <c r="C862" s="3269" t="s">
        <v>9029</v>
      </c>
      <c r="D862" s="3269" t="s">
        <v>9030</v>
      </c>
      <c r="E862" s="3268" t="s">
        <v>2985</v>
      </c>
      <c r="F862" s="3268" t="s">
        <v>4717</v>
      </c>
      <c r="G862" s="3267"/>
      <c r="H862" s="3267" t="s">
        <v>3150</v>
      </c>
      <c r="I862" s="3268"/>
      <c r="J862" s="3267" t="s">
        <v>9031</v>
      </c>
      <c r="K862" s="3267" t="s">
        <v>9028</v>
      </c>
      <c r="L862" s="3267">
        <v>70.680000000000007</v>
      </c>
      <c r="M862" s="3267" t="s">
        <v>6305</v>
      </c>
      <c r="N862" s="3267" t="s">
        <v>9032</v>
      </c>
      <c r="O862" s="3267"/>
      <c r="P862" s="3267" t="s">
        <v>2963</v>
      </c>
      <c r="Q862" s="3271">
        <v>480000</v>
      </c>
      <c r="R862" s="3267">
        <v>6791</v>
      </c>
      <c r="S862" s="3272">
        <v>57.26</v>
      </c>
      <c r="T862" s="3273">
        <v>572600</v>
      </c>
      <c r="U862" s="3267">
        <v>8102</v>
      </c>
      <c r="V862" s="3289">
        <v>0.2</v>
      </c>
      <c r="W862" s="3272">
        <v>45.8</v>
      </c>
      <c r="X862" s="3275">
        <v>458000</v>
      </c>
      <c r="Y862" s="3276">
        <v>2006</v>
      </c>
      <c r="Z862" s="3276">
        <v>12</v>
      </c>
      <c r="AA862" s="3276">
        <v>14</v>
      </c>
      <c r="AB862" s="3267">
        <v>1500</v>
      </c>
      <c r="AC862" s="3267" t="s">
        <v>2980</v>
      </c>
      <c r="AD862" s="3269" t="s">
        <v>9033</v>
      </c>
      <c r="AE862" s="3279" t="s">
        <v>3295</v>
      </c>
      <c r="AF862" s="3268" t="s">
        <v>2966</v>
      </c>
      <c r="AG862" s="3279" t="s">
        <v>2967</v>
      </c>
      <c r="AH862" s="3267"/>
      <c r="AI862" s="3279" t="s">
        <v>2992</v>
      </c>
      <c r="AJ862" s="3284"/>
      <c r="AK862" s="3278" t="s">
        <v>3120</v>
      </c>
      <c r="AL862" s="3276">
        <v>34</v>
      </c>
      <c r="AM862" s="3276" t="s">
        <v>9034</v>
      </c>
      <c r="AN862" s="3279" t="s">
        <v>3114</v>
      </c>
      <c r="AO862" s="3267"/>
      <c r="AP862" s="3279" t="s">
        <v>5706</v>
      </c>
      <c r="AQ862" s="3267" t="s">
        <v>3228</v>
      </c>
      <c r="AR862" s="3276"/>
      <c r="AS862" s="3276"/>
      <c r="AT862" s="3276"/>
      <c r="AU862" s="3276"/>
      <c r="AV862" s="3276"/>
      <c r="AW862" s="3276" t="s">
        <v>3112</v>
      </c>
      <c r="AX862" s="3276"/>
      <c r="AY862" s="3291"/>
      <c r="AZ862" s="3267" t="s">
        <v>9028</v>
      </c>
      <c r="BA862" s="3296"/>
      <c r="BB862" s="3297"/>
      <c r="BC862" s="3296"/>
      <c r="BD862" s="3298"/>
      <c r="BE862" s="3276"/>
      <c r="BF862" s="3281"/>
      <c r="BG862" s="3293">
        <v>39024</v>
      </c>
      <c r="BH862" s="3354" t="s">
        <v>2998</v>
      </c>
      <c r="BI862" s="3314" t="s">
        <v>5706</v>
      </c>
      <c r="BJ862" s="3283">
        <v>39027</v>
      </c>
      <c r="BK862" s="3283"/>
      <c r="BL862" s="3267" t="s">
        <v>3249</v>
      </c>
      <c r="BM862" s="3276" t="s">
        <v>5388</v>
      </c>
      <c r="BN862" s="3276" t="s">
        <v>3111</v>
      </c>
      <c r="BO862" s="3276" t="s">
        <v>3000</v>
      </c>
      <c r="BP862" s="3276"/>
      <c r="BQ862" s="3276" t="e">
        <v>#DIV/0!</v>
      </c>
      <c r="BR862" s="3276" t="e">
        <v>#DIV/0!</v>
      </c>
      <c r="BS862" s="3285"/>
      <c r="BT862" s="3285"/>
      <c r="BU862" s="3285"/>
    </row>
    <row r="863" spans="1:255" hidden="1">
      <c r="A863" s="3267" t="s">
        <v>9035</v>
      </c>
      <c r="B863" s="3267" t="s">
        <v>9036</v>
      </c>
      <c r="C863" s="3269" t="s">
        <v>9037</v>
      </c>
      <c r="D863" s="3269" t="s">
        <v>9038</v>
      </c>
      <c r="E863" s="3268" t="s">
        <v>2985</v>
      </c>
      <c r="F863" s="3268" t="s">
        <v>7890</v>
      </c>
      <c r="G863" s="3267"/>
      <c r="H863" s="3267" t="s">
        <v>3124</v>
      </c>
      <c r="I863" s="3268" t="s">
        <v>3642</v>
      </c>
      <c r="J863" s="3268" t="s">
        <v>3815</v>
      </c>
      <c r="K863" s="3267" t="s">
        <v>9039</v>
      </c>
      <c r="L863" s="3267">
        <v>62.2</v>
      </c>
      <c r="M863" s="3267">
        <v>3</v>
      </c>
      <c r="N863" s="3267" t="s">
        <v>3122</v>
      </c>
      <c r="O863" s="3267"/>
      <c r="P863" s="3267" t="s">
        <v>2963</v>
      </c>
      <c r="Q863" s="3271">
        <v>580000</v>
      </c>
      <c r="R863" s="3267">
        <v>9325</v>
      </c>
      <c r="S863" s="3272">
        <v>46.13</v>
      </c>
      <c r="T863" s="3273">
        <v>461300</v>
      </c>
      <c r="U863" s="3267">
        <v>7418</v>
      </c>
      <c r="V863" s="3289">
        <v>0.2</v>
      </c>
      <c r="W863" s="3272">
        <v>36.9</v>
      </c>
      <c r="X863" s="3275">
        <v>369000</v>
      </c>
      <c r="Y863" s="3276">
        <v>2006</v>
      </c>
      <c r="Z863" s="3276">
        <v>11</v>
      </c>
      <c r="AA863" s="3276">
        <v>21</v>
      </c>
      <c r="AB863" s="3267">
        <v>1380</v>
      </c>
      <c r="AC863" s="3267" t="s">
        <v>2980</v>
      </c>
      <c r="AD863" s="3366">
        <v>91302006110261</v>
      </c>
      <c r="AE863" s="3279" t="s">
        <v>2991</v>
      </c>
      <c r="AF863" s="3268"/>
      <c r="AG863" s="3279" t="s">
        <v>2967</v>
      </c>
      <c r="AH863" s="3267"/>
      <c r="AI863" s="3279" t="s">
        <v>2992</v>
      </c>
      <c r="AJ863" s="3284"/>
      <c r="AK863" s="3278" t="s">
        <v>3137</v>
      </c>
      <c r="AL863" s="3276">
        <v>40</v>
      </c>
      <c r="AM863" s="3276"/>
      <c r="AN863" s="3279" t="s">
        <v>2994</v>
      </c>
      <c r="AO863" s="3267"/>
      <c r="AP863" s="3279" t="s">
        <v>3537</v>
      </c>
      <c r="AQ863" s="3276" t="s">
        <v>3113</v>
      </c>
      <c r="AR863" s="3276"/>
      <c r="AS863" s="3276"/>
      <c r="AT863" s="3276"/>
      <c r="AU863" s="3276"/>
      <c r="AV863" s="3276"/>
      <c r="AW863" s="3276" t="s">
        <v>2997</v>
      </c>
      <c r="AX863" s="3276"/>
      <c r="AY863" s="3291"/>
      <c r="AZ863" s="3267" t="s">
        <v>9039</v>
      </c>
      <c r="BA863" s="3296"/>
      <c r="BB863" s="3297"/>
      <c r="BC863" s="3296"/>
      <c r="BD863" s="3298"/>
      <c r="BE863" s="3276"/>
      <c r="BF863" s="3281"/>
      <c r="BG863" s="3293">
        <v>39023</v>
      </c>
      <c r="BH863" s="3267"/>
      <c r="BI863" s="3267" t="s">
        <v>3537</v>
      </c>
      <c r="BJ863" s="3283">
        <v>39027</v>
      </c>
      <c r="BK863" s="3283" t="s">
        <v>2968</v>
      </c>
      <c r="BL863" s="3267"/>
      <c r="BM863" s="3276" t="s">
        <v>2879</v>
      </c>
      <c r="BN863" s="3276" t="s">
        <v>2999</v>
      </c>
      <c r="BO863" s="3276" t="s">
        <v>3146</v>
      </c>
      <c r="BP863" s="3276"/>
      <c r="BQ863" s="3276" t="e">
        <v>#DIV/0!</v>
      </c>
      <c r="BR863" s="3276" t="e">
        <v>#DIV/0!</v>
      </c>
      <c r="BS863" s="3285"/>
      <c r="BT863" s="3285"/>
      <c r="BU863" s="3285"/>
      <c r="BY863" s="3262" t="s">
        <v>3262</v>
      </c>
      <c r="BZ863" s="3262" t="s">
        <v>3262</v>
      </c>
      <c r="CA863" s="3262" t="s">
        <v>3262</v>
      </c>
      <c r="CB863" s="3262" t="s">
        <v>3262</v>
      </c>
      <c r="CC863" s="3262" t="s">
        <v>3262</v>
      </c>
      <c r="CD863" s="3262" t="s">
        <v>3262</v>
      </c>
      <c r="CE863" s="3262" t="s">
        <v>3262</v>
      </c>
      <c r="CF863" s="3262" t="s">
        <v>3262</v>
      </c>
      <c r="CG863" s="3262" t="s">
        <v>3262</v>
      </c>
      <c r="CH863" s="3262" t="s">
        <v>3262</v>
      </c>
      <c r="CI863" s="3262" t="s">
        <v>3262</v>
      </c>
      <c r="CJ863" s="3262" t="s">
        <v>3262</v>
      </c>
      <c r="CK863" s="3262" t="s">
        <v>3262</v>
      </c>
      <c r="CL863" s="3262" t="s">
        <v>3262</v>
      </c>
      <c r="CM863" s="3262" t="s">
        <v>3262</v>
      </c>
      <c r="CN863" s="3262" t="s">
        <v>3262</v>
      </c>
      <c r="CO863" s="3262" t="s">
        <v>3262</v>
      </c>
      <c r="CP863" s="3262" t="s">
        <v>3262</v>
      </c>
      <c r="CQ863" s="3262" t="s">
        <v>3262</v>
      </c>
      <c r="CR863" s="3262" t="s">
        <v>3262</v>
      </c>
      <c r="CS863" s="3262" t="s">
        <v>3262</v>
      </c>
      <c r="CT863" s="3262" t="s">
        <v>3262</v>
      </c>
      <c r="CU863" s="3262" t="s">
        <v>3262</v>
      </c>
      <c r="CV863" s="3262" t="s">
        <v>3262</v>
      </c>
      <c r="CW863" s="3262" t="s">
        <v>3262</v>
      </c>
      <c r="CX863" s="3262" t="s">
        <v>3262</v>
      </c>
      <c r="CY863" s="3262" t="s">
        <v>3262</v>
      </c>
      <c r="CZ863" s="3262" t="s">
        <v>3262</v>
      </c>
      <c r="DA863" s="3262" t="s">
        <v>3262</v>
      </c>
      <c r="DB863" s="3262" t="s">
        <v>3262</v>
      </c>
      <c r="DC863" s="3262" t="s">
        <v>3262</v>
      </c>
      <c r="DD863" s="3262" t="s">
        <v>3262</v>
      </c>
      <c r="DE863" s="3262" t="s">
        <v>3262</v>
      </c>
      <c r="DF863" s="3262" t="s">
        <v>3262</v>
      </c>
      <c r="DG863" s="3262" t="s">
        <v>3262</v>
      </c>
      <c r="DH863" s="3262" t="s">
        <v>3262</v>
      </c>
      <c r="DI863" s="3262" t="s">
        <v>3262</v>
      </c>
      <c r="DJ863" s="3262" t="s">
        <v>3262</v>
      </c>
      <c r="DK863" s="3262" t="s">
        <v>3262</v>
      </c>
      <c r="DL863" s="3262" t="s">
        <v>3262</v>
      </c>
      <c r="DM863" s="3262" t="s">
        <v>3262</v>
      </c>
      <c r="DN863" s="3262" t="s">
        <v>3262</v>
      </c>
      <c r="DO863" s="3262" t="s">
        <v>3262</v>
      </c>
      <c r="DP863" s="3262" t="s">
        <v>3262</v>
      </c>
      <c r="DQ863" s="3262" t="s">
        <v>3262</v>
      </c>
      <c r="DR863" s="3262" t="s">
        <v>3262</v>
      </c>
      <c r="DS863" s="3262" t="s">
        <v>3262</v>
      </c>
      <c r="DT863" s="3262" t="s">
        <v>3262</v>
      </c>
      <c r="DU863" s="3262" t="s">
        <v>3262</v>
      </c>
      <c r="DV863" s="3262" t="s">
        <v>3262</v>
      </c>
      <c r="DW863" s="3262" t="s">
        <v>3262</v>
      </c>
      <c r="DX863" s="3262" t="s">
        <v>3262</v>
      </c>
      <c r="DY863" s="3262" t="s">
        <v>3262</v>
      </c>
      <c r="DZ863" s="3262" t="s">
        <v>3262</v>
      </c>
      <c r="EA863" s="3262" t="s">
        <v>3262</v>
      </c>
      <c r="EB863" s="3262" t="s">
        <v>3262</v>
      </c>
      <c r="EC863" s="3262" t="s">
        <v>3262</v>
      </c>
      <c r="ED863" s="3262" t="s">
        <v>3262</v>
      </c>
      <c r="EE863" s="3262" t="s">
        <v>3262</v>
      </c>
      <c r="EF863" s="3262" t="s">
        <v>3262</v>
      </c>
      <c r="EG863" s="3262" t="s">
        <v>3262</v>
      </c>
      <c r="EH863" s="3262" t="s">
        <v>3262</v>
      </c>
      <c r="EI863" s="3262" t="s">
        <v>3262</v>
      </c>
      <c r="EJ863" s="3262" t="s">
        <v>3262</v>
      </c>
      <c r="EK863" s="3262" t="s">
        <v>3262</v>
      </c>
      <c r="EL863" s="3262" t="s">
        <v>3262</v>
      </c>
      <c r="EM863" s="3262" t="s">
        <v>3262</v>
      </c>
      <c r="EN863" s="3262" t="s">
        <v>3262</v>
      </c>
      <c r="EO863" s="3262" t="s">
        <v>3262</v>
      </c>
      <c r="EP863" s="3262" t="s">
        <v>3262</v>
      </c>
      <c r="EQ863" s="3262" t="s">
        <v>3262</v>
      </c>
      <c r="ER863" s="3262" t="s">
        <v>3262</v>
      </c>
      <c r="ES863" s="3262" t="s">
        <v>3262</v>
      </c>
      <c r="ET863" s="3262" t="s">
        <v>3262</v>
      </c>
      <c r="EU863" s="3262" t="s">
        <v>3262</v>
      </c>
      <c r="EV863" s="3262" t="s">
        <v>3262</v>
      </c>
      <c r="EW863" s="3262" t="s">
        <v>3262</v>
      </c>
      <c r="EX863" s="3262" t="s">
        <v>3262</v>
      </c>
      <c r="EY863" s="3262" t="s">
        <v>3262</v>
      </c>
      <c r="EZ863" s="3262" t="s">
        <v>3262</v>
      </c>
      <c r="FA863" s="3262" t="s">
        <v>3262</v>
      </c>
      <c r="FB863" s="3262" t="s">
        <v>3262</v>
      </c>
      <c r="FC863" s="3262" t="s">
        <v>3262</v>
      </c>
      <c r="FD863" s="3262" t="s">
        <v>3262</v>
      </c>
      <c r="FE863" s="3262" t="s">
        <v>3262</v>
      </c>
      <c r="FF863" s="3262" t="s">
        <v>3262</v>
      </c>
      <c r="FG863" s="3262" t="s">
        <v>3262</v>
      </c>
      <c r="FH863" s="3262" t="s">
        <v>3262</v>
      </c>
      <c r="FI863" s="3262" t="s">
        <v>3262</v>
      </c>
      <c r="FJ863" s="3262" t="s">
        <v>3262</v>
      </c>
      <c r="FK863" s="3262" t="s">
        <v>3262</v>
      </c>
      <c r="FL863" s="3262" t="s">
        <v>3262</v>
      </c>
      <c r="FM863" s="3262" t="s">
        <v>3262</v>
      </c>
      <c r="FN863" s="3262" t="s">
        <v>3262</v>
      </c>
      <c r="FO863" s="3262" t="s">
        <v>3262</v>
      </c>
      <c r="FP863" s="3262" t="s">
        <v>3262</v>
      </c>
      <c r="FQ863" s="3262" t="s">
        <v>3262</v>
      </c>
      <c r="FR863" s="3262" t="s">
        <v>3262</v>
      </c>
      <c r="FS863" s="3262" t="s">
        <v>3262</v>
      </c>
      <c r="FT863" s="3262" t="s">
        <v>3262</v>
      </c>
      <c r="FU863" s="3262" t="s">
        <v>3262</v>
      </c>
      <c r="FV863" s="3262" t="s">
        <v>3262</v>
      </c>
      <c r="FW863" s="3262" t="s">
        <v>3262</v>
      </c>
      <c r="FX863" s="3262" t="s">
        <v>3262</v>
      </c>
      <c r="FY863" s="3262" t="s">
        <v>3262</v>
      </c>
      <c r="FZ863" s="3262" t="s">
        <v>3262</v>
      </c>
      <c r="GA863" s="3262" t="s">
        <v>3262</v>
      </c>
      <c r="GB863" s="3262" t="s">
        <v>3262</v>
      </c>
      <c r="GC863" s="3262" t="s">
        <v>3262</v>
      </c>
      <c r="GD863" s="3262" t="s">
        <v>3262</v>
      </c>
      <c r="GE863" s="3262" t="s">
        <v>3262</v>
      </c>
      <c r="GF863" s="3262" t="s">
        <v>3262</v>
      </c>
      <c r="GG863" s="3262" t="s">
        <v>3262</v>
      </c>
      <c r="GH863" s="3262" t="s">
        <v>3262</v>
      </c>
      <c r="GI863" s="3262" t="s">
        <v>3262</v>
      </c>
      <c r="GJ863" s="3262" t="s">
        <v>3262</v>
      </c>
      <c r="GK863" s="3262" t="s">
        <v>3262</v>
      </c>
      <c r="GL863" s="3262" t="s">
        <v>3262</v>
      </c>
      <c r="GM863" s="3262" t="s">
        <v>3262</v>
      </c>
      <c r="GN863" s="3262" t="s">
        <v>3262</v>
      </c>
      <c r="GO863" s="3262" t="s">
        <v>3262</v>
      </c>
      <c r="GP863" s="3262" t="s">
        <v>3262</v>
      </c>
      <c r="GQ863" s="3262" t="s">
        <v>3262</v>
      </c>
      <c r="GR863" s="3262" t="s">
        <v>3262</v>
      </c>
      <c r="GS863" s="3262" t="s">
        <v>3262</v>
      </c>
      <c r="GT863" s="3262" t="s">
        <v>3262</v>
      </c>
      <c r="GU863" s="3262" t="s">
        <v>3262</v>
      </c>
      <c r="GV863" s="3262" t="s">
        <v>3262</v>
      </c>
      <c r="GW863" s="3262" t="s">
        <v>3262</v>
      </c>
      <c r="GX863" s="3262" t="s">
        <v>3262</v>
      </c>
      <c r="GY863" s="3262" t="s">
        <v>3262</v>
      </c>
      <c r="GZ863" s="3262" t="s">
        <v>3262</v>
      </c>
      <c r="HA863" s="3262" t="s">
        <v>3262</v>
      </c>
      <c r="HB863" s="3262" t="s">
        <v>3262</v>
      </c>
      <c r="HC863" s="3262" t="s">
        <v>3262</v>
      </c>
      <c r="HD863" s="3262" t="s">
        <v>3262</v>
      </c>
      <c r="HE863" s="3262" t="s">
        <v>3262</v>
      </c>
      <c r="HF863" s="3262" t="s">
        <v>3262</v>
      </c>
      <c r="HG863" s="3262" t="s">
        <v>3262</v>
      </c>
      <c r="HH863" s="3262" t="s">
        <v>3262</v>
      </c>
      <c r="HI863" s="3262" t="s">
        <v>3262</v>
      </c>
      <c r="HJ863" s="3262" t="s">
        <v>3262</v>
      </c>
      <c r="HK863" s="3262" t="s">
        <v>3262</v>
      </c>
      <c r="HL863" s="3262" t="s">
        <v>3262</v>
      </c>
      <c r="HM863" s="3262" t="s">
        <v>3262</v>
      </c>
      <c r="HN863" s="3262" t="s">
        <v>3262</v>
      </c>
      <c r="HO863" s="3262" t="s">
        <v>3262</v>
      </c>
      <c r="HP863" s="3262" t="s">
        <v>3262</v>
      </c>
      <c r="HQ863" s="3262" t="s">
        <v>3262</v>
      </c>
      <c r="HR863" s="3262" t="s">
        <v>3262</v>
      </c>
      <c r="HS863" s="3262" t="s">
        <v>3262</v>
      </c>
      <c r="HT863" s="3262" t="s">
        <v>3262</v>
      </c>
      <c r="HU863" s="3262" t="s">
        <v>3262</v>
      </c>
      <c r="HV863" s="3262" t="s">
        <v>3262</v>
      </c>
      <c r="HW863" s="3262" t="s">
        <v>3262</v>
      </c>
      <c r="HX863" s="3262" t="s">
        <v>3262</v>
      </c>
      <c r="HY863" s="3262" t="s">
        <v>3262</v>
      </c>
      <c r="HZ863" s="3262" t="s">
        <v>3262</v>
      </c>
      <c r="IA863" s="3262" t="s">
        <v>3262</v>
      </c>
      <c r="IB863" s="3262" t="s">
        <v>3262</v>
      </c>
      <c r="IC863" s="3262" t="s">
        <v>3262</v>
      </c>
      <c r="ID863" s="3262" t="s">
        <v>3262</v>
      </c>
      <c r="IE863" s="3262" t="s">
        <v>3262</v>
      </c>
      <c r="IF863" s="3262" t="s">
        <v>3262</v>
      </c>
      <c r="IG863" s="3262" t="s">
        <v>3262</v>
      </c>
      <c r="IH863" s="3262" t="s">
        <v>3262</v>
      </c>
      <c r="II863" s="3262" t="s">
        <v>3262</v>
      </c>
      <c r="IJ863" s="3262" t="s">
        <v>3262</v>
      </c>
      <c r="IK863" s="3262" t="s">
        <v>3262</v>
      </c>
      <c r="IL863" s="3262" t="s">
        <v>3262</v>
      </c>
      <c r="IM863" s="3262" t="s">
        <v>3262</v>
      </c>
      <c r="IN863" s="3262" t="s">
        <v>3262</v>
      </c>
      <c r="IO863" s="3262" t="s">
        <v>3262</v>
      </c>
    </row>
    <row r="864" spans="1:255" hidden="1">
      <c r="A864" s="3267" t="s">
        <v>9040</v>
      </c>
      <c r="B864" s="3267" t="s">
        <v>9041</v>
      </c>
      <c r="C864" s="3269" t="s">
        <v>9042</v>
      </c>
      <c r="D864" s="3269" t="s">
        <v>9043</v>
      </c>
      <c r="E864" s="3268" t="s">
        <v>2985</v>
      </c>
      <c r="F864" s="3268" t="s">
        <v>4761</v>
      </c>
      <c r="G864" s="3267"/>
      <c r="H864" s="3267" t="s">
        <v>3379</v>
      </c>
      <c r="I864" s="3268"/>
      <c r="J864" s="3267" t="s">
        <v>7401</v>
      </c>
      <c r="K864" s="3267" t="s">
        <v>9041</v>
      </c>
      <c r="L864" s="3267">
        <v>138.01</v>
      </c>
      <c r="M864" s="3267">
        <v>4</v>
      </c>
      <c r="N864" s="3267" t="s">
        <v>3303</v>
      </c>
      <c r="O864" s="3267">
        <v>116.21</v>
      </c>
      <c r="P864" s="3267" t="s">
        <v>2963</v>
      </c>
      <c r="Q864" s="3271">
        <v>600000</v>
      </c>
      <c r="R864" s="3267">
        <v>4348</v>
      </c>
      <c r="S864" s="3272">
        <v>74.11</v>
      </c>
      <c r="T864" s="3273">
        <v>741100</v>
      </c>
      <c r="U864" s="3267">
        <v>5370</v>
      </c>
      <c r="V864" s="3289">
        <v>0.3</v>
      </c>
      <c r="W864" s="3272">
        <v>51.87</v>
      </c>
      <c r="X864" s="3275">
        <v>518700</v>
      </c>
      <c r="Y864" s="3276">
        <v>2006</v>
      </c>
      <c r="Z864" s="3276">
        <v>12</v>
      </c>
      <c r="AA864" s="3276">
        <v>21</v>
      </c>
      <c r="AB864" s="3267">
        <v>1500</v>
      </c>
      <c r="AC864" s="3267" t="s">
        <v>2980</v>
      </c>
      <c r="AD864" s="3280" t="s">
        <v>9044</v>
      </c>
      <c r="AE864" s="3279" t="s">
        <v>3344</v>
      </c>
      <c r="AF864" s="3268" t="s">
        <v>2966</v>
      </c>
      <c r="AG864" s="3279" t="s">
        <v>2967</v>
      </c>
      <c r="AH864" s="3267" t="s">
        <v>9045</v>
      </c>
      <c r="AI864" s="3279" t="s">
        <v>2992</v>
      </c>
      <c r="AJ864" s="3284"/>
      <c r="AK864" s="3278" t="s">
        <v>3120</v>
      </c>
      <c r="AL864" s="3276">
        <v>55</v>
      </c>
      <c r="AM864" s="3267" t="s">
        <v>9046</v>
      </c>
      <c r="AN864" s="3279" t="s">
        <v>2994</v>
      </c>
      <c r="AO864" s="3267"/>
      <c r="AP864" s="3279" t="s">
        <v>3305</v>
      </c>
      <c r="AQ864" s="3267" t="s">
        <v>3228</v>
      </c>
      <c r="AR864" s="3276"/>
      <c r="AS864" s="3276"/>
      <c r="AT864" s="3276"/>
      <c r="AU864" s="3276"/>
      <c r="AV864" s="3276" t="s">
        <v>2968</v>
      </c>
      <c r="AW864" s="3276" t="s">
        <v>3171</v>
      </c>
      <c r="AX864" s="3276"/>
      <c r="AY864" s="3291"/>
      <c r="AZ864" s="3267" t="s">
        <v>9047</v>
      </c>
      <c r="BA864" s="3296"/>
      <c r="BB864" s="3297"/>
      <c r="BC864" s="3296"/>
      <c r="BD864" s="3298"/>
      <c r="BE864" s="3276">
        <v>13616398268</v>
      </c>
      <c r="BF864" s="3281" t="s">
        <v>2968</v>
      </c>
      <c r="BG864" s="3293">
        <v>39017</v>
      </c>
      <c r="BH864" s="3267" t="s">
        <v>2998</v>
      </c>
      <c r="BI864" s="3314" t="s">
        <v>3305</v>
      </c>
      <c r="BJ864" s="3283">
        <v>39028</v>
      </c>
      <c r="BK864" s="3283"/>
      <c r="BL864" s="3267" t="s">
        <v>3249</v>
      </c>
      <c r="BM864" s="3276" t="s">
        <v>2879</v>
      </c>
      <c r="BN864" s="3276" t="s">
        <v>2999</v>
      </c>
      <c r="BO864" s="3276" t="s">
        <v>3146</v>
      </c>
      <c r="BP864" s="3276"/>
      <c r="BQ864" s="3276">
        <v>6377</v>
      </c>
      <c r="BR864" s="3276">
        <v>5163</v>
      </c>
      <c r="BS864" s="3285"/>
      <c r="BT864" s="3285"/>
      <c r="BU864" s="3285"/>
    </row>
    <row r="865" spans="1:249" hidden="1">
      <c r="A865" s="3267" t="s">
        <v>9048</v>
      </c>
      <c r="B865" s="3267" t="s">
        <v>9049</v>
      </c>
      <c r="C865" s="3269" t="s">
        <v>9050</v>
      </c>
      <c r="D865" s="3268">
        <v>65196896</v>
      </c>
      <c r="E865" s="3268" t="s">
        <v>2985</v>
      </c>
      <c r="F865" s="3268" t="s">
        <v>8710</v>
      </c>
      <c r="G865" s="3267"/>
      <c r="H865" s="3267" t="s">
        <v>3150</v>
      </c>
      <c r="I865" s="3267"/>
      <c r="J865" s="3269" t="s">
        <v>9051</v>
      </c>
      <c r="K865" s="3267" t="s">
        <v>9052</v>
      </c>
      <c r="L865" s="3267">
        <v>71.05</v>
      </c>
      <c r="M865" s="3267">
        <v>4</v>
      </c>
      <c r="N865" s="3267" t="s">
        <v>3122</v>
      </c>
      <c r="O865" s="3267"/>
      <c r="P865" s="3267" t="s">
        <v>2963</v>
      </c>
      <c r="Q865" s="3271">
        <v>730000</v>
      </c>
      <c r="R865" s="3267">
        <v>10274</v>
      </c>
      <c r="S865" s="3272">
        <v>65.89</v>
      </c>
      <c r="T865" s="3273">
        <v>658900</v>
      </c>
      <c r="U865" s="3267">
        <v>9274</v>
      </c>
      <c r="V865" s="3289">
        <v>0.2</v>
      </c>
      <c r="W865" s="3272">
        <v>52.71</v>
      </c>
      <c r="X865" s="3275">
        <v>527100</v>
      </c>
      <c r="Y865" s="3276">
        <v>2006</v>
      </c>
      <c r="Z865" s="3276">
        <v>11</v>
      </c>
      <c r="AA865" s="3267">
        <v>20</v>
      </c>
      <c r="AB865" s="3267">
        <v>1500</v>
      </c>
      <c r="AC865" s="3267" t="s">
        <v>2980</v>
      </c>
      <c r="AD865" s="3373">
        <v>91302006110340</v>
      </c>
      <c r="AE865" s="3267" t="s">
        <v>2979</v>
      </c>
      <c r="AF865" s="3269" t="s">
        <v>2966</v>
      </c>
      <c r="AG865" s="3269" t="s">
        <v>2967</v>
      </c>
      <c r="AH865" s="3267"/>
      <c r="AI865" s="3279" t="s">
        <v>2992</v>
      </c>
      <c r="AJ865" s="3284"/>
      <c r="AK865" s="3278" t="s">
        <v>3137</v>
      </c>
      <c r="AL865" s="3267">
        <v>48</v>
      </c>
      <c r="AM865" s="3276"/>
      <c r="AN865" s="3276" t="s">
        <v>2994</v>
      </c>
      <c r="AO865" s="3276"/>
      <c r="AP865" s="3267" t="s">
        <v>2979</v>
      </c>
      <c r="AQ865" s="3267" t="s">
        <v>3228</v>
      </c>
      <c r="AR865" s="3269" t="s">
        <v>4007</v>
      </c>
      <c r="AS865" s="3269" t="s">
        <v>5172</v>
      </c>
      <c r="AT865" s="3276">
        <v>20</v>
      </c>
      <c r="AU865" s="3276"/>
      <c r="AV865" s="3276"/>
      <c r="AW865" s="3276" t="s">
        <v>3112</v>
      </c>
      <c r="AX865" s="3276"/>
      <c r="AY865" s="3291"/>
      <c r="AZ865" s="3276" t="s">
        <v>9052</v>
      </c>
      <c r="BA865" s="3276"/>
      <c r="BB865" s="3291"/>
      <c r="BC865" s="3276"/>
      <c r="BD865" s="3292"/>
      <c r="BE865" s="3276"/>
      <c r="BF865" s="3281"/>
      <c r="BG865" s="3299">
        <v>39027</v>
      </c>
      <c r="BH865" s="3276"/>
      <c r="BI865" s="3314" t="s">
        <v>2979</v>
      </c>
      <c r="BJ865" s="3299">
        <v>39029</v>
      </c>
      <c r="BK865" s="3283"/>
      <c r="BL865" s="3267" t="s">
        <v>2998</v>
      </c>
      <c r="BM865" s="3276" t="s">
        <v>2879</v>
      </c>
      <c r="BN865" s="3267" t="s">
        <v>2999</v>
      </c>
      <c r="BO865" s="3276" t="s">
        <v>3446</v>
      </c>
      <c r="BP865" s="3276"/>
      <c r="BQ865" s="3276" t="e">
        <v>#DIV/0!</v>
      </c>
      <c r="BR865" s="3276" t="e">
        <v>#DIV/0!</v>
      </c>
      <c r="BS865" s="3285"/>
      <c r="BT865" s="3285"/>
      <c r="BU865" s="3285"/>
    </row>
    <row r="866" spans="1:249" hidden="1">
      <c r="A866" s="3267" t="s">
        <v>9053</v>
      </c>
      <c r="B866" s="3267" t="s">
        <v>9054</v>
      </c>
      <c r="C866" s="3269" t="s">
        <v>9055</v>
      </c>
      <c r="D866" s="3267">
        <v>13161663476</v>
      </c>
      <c r="E866" s="3267" t="s">
        <v>2985</v>
      </c>
      <c r="F866" s="3267" t="s">
        <v>9056</v>
      </c>
      <c r="G866" s="3267"/>
      <c r="H866" s="3267"/>
      <c r="I866" s="3267"/>
      <c r="J866" s="3354" t="s">
        <v>9057</v>
      </c>
      <c r="K866" s="3267" t="s">
        <v>9058</v>
      </c>
      <c r="L866" s="3300">
        <v>51.85</v>
      </c>
      <c r="M866" s="3267">
        <v>15</v>
      </c>
      <c r="N866" s="3267" t="s">
        <v>3152</v>
      </c>
      <c r="O866" s="3267">
        <v>42.62</v>
      </c>
      <c r="P866" s="3267" t="s">
        <v>2963</v>
      </c>
      <c r="Q866" s="3317">
        <v>450000</v>
      </c>
      <c r="R866" s="3267">
        <v>8679</v>
      </c>
      <c r="S866" s="3318">
        <v>40.29</v>
      </c>
      <c r="T866" s="3273">
        <v>402900</v>
      </c>
      <c r="U866" s="3317">
        <v>7771</v>
      </c>
      <c r="V866" s="3289">
        <v>0.2</v>
      </c>
      <c r="W866" s="3318">
        <v>32.229999999999997</v>
      </c>
      <c r="X866" s="3273">
        <v>322300</v>
      </c>
      <c r="Y866" s="3267">
        <v>2006</v>
      </c>
      <c r="Z866" s="3276">
        <v>11</v>
      </c>
      <c r="AA866" s="3276">
        <v>10</v>
      </c>
      <c r="AB866" s="3267">
        <v>1205</v>
      </c>
      <c r="AC866" s="3267" t="s">
        <v>2980</v>
      </c>
      <c r="AD866" s="3267">
        <v>91302006110407</v>
      </c>
      <c r="AE866" s="3276" t="s">
        <v>2979</v>
      </c>
      <c r="AF866" s="3267" t="s">
        <v>2966</v>
      </c>
      <c r="AG866" s="3267" t="s">
        <v>2967</v>
      </c>
      <c r="AH866" s="3267"/>
      <c r="AI866" s="3267" t="s">
        <v>3115</v>
      </c>
      <c r="AJ866" s="3267"/>
      <c r="AK866" s="3376" t="s">
        <v>3137</v>
      </c>
      <c r="AL866" s="3267">
        <v>56</v>
      </c>
      <c r="AM866" s="3267" t="s">
        <v>2968</v>
      </c>
      <c r="AN866" s="3279" t="s">
        <v>2994</v>
      </c>
      <c r="AO866" s="3267"/>
      <c r="AP866" s="3276" t="s">
        <v>2979</v>
      </c>
      <c r="AQ866" s="3267" t="s">
        <v>3228</v>
      </c>
      <c r="AR866" s="3267">
        <v>2006</v>
      </c>
      <c r="AS866" s="3267">
        <v>11</v>
      </c>
      <c r="AT866" s="3267">
        <v>28</v>
      </c>
      <c r="AU866" s="3267"/>
      <c r="AV866" s="3267"/>
      <c r="AW866" s="3276" t="s">
        <v>3171</v>
      </c>
      <c r="AX866" s="3267"/>
      <c r="AY866" s="3267"/>
      <c r="AZ866" s="3267" t="s">
        <v>9058</v>
      </c>
      <c r="BA866" s="3267"/>
      <c r="BB866" s="3267"/>
      <c r="BC866" s="3267"/>
      <c r="BD866" s="3267"/>
      <c r="BE866" s="3267"/>
      <c r="BF866" s="3267"/>
      <c r="BG866" s="3284">
        <v>39021</v>
      </c>
      <c r="BH866" s="3269"/>
      <c r="BI866" s="3267" t="s">
        <v>2979</v>
      </c>
      <c r="BJ866" s="3299">
        <v>39030</v>
      </c>
      <c r="BK866" s="3284"/>
      <c r="BL866" s="3267" t="s">
        <v>2998</v>
      </c>
      <c r="BM866" s="3267" t="s">
        <v>3345</v>
      </c>
      <c r="BN866" s="3267" t="s">
        <v>2999</v>
      </c>
      <c r="BO866" s="3267" t="s">
        <v>3000</v>
      </c>
      <c r="BP866" s="3267"/>
      <c r="BQ866" s="3276"/>
      <c r="BR866" s="3276"/>
      <c r="BS866" s="3285"/>
      <c r="BT866" s="3285"/>
      <c r="BU866" s="3285"/>
    </row>
    <row r="867" spans="1:249" hidden="1">
      <c r="A867" s="3267" t="s">
        <v>9059</v>
      </c>
      <c r="B867" s="3267" t="s">
        <v>5295</v>
      </c>
      <c r="C867" s="3269" t="s">
        <v>9060</v>
      </c>
      <c r="D867" s="3269" t="s">
        <v>9061</v>
      </c>
      <c r="E867" s="3267" t="s">
        <v>2985</v>
      </c>
      <c r="F867" s="3267" t="s">
        <v>8206</v>
      </c>
      <c r="G867" s="3267"/>
      <c r="H867" s="3267" t="s">
        <v>3182</v>
      </c>
      <c r="I867" s="3268" t="s">
        <v>3318</v>
      </c>
      <c r="J867" s="3268" t="s">
        <v>3815</v>
      </c>
      <c r="K867" s="3267" t="s">
        <v>9062</v>
      </c>
      <c r="L867" s="3267">
        <v>47.49</v>
      </c>
      <c r="M867" s="3267">
        <v>3</v>
      </c>
      <c r="N867" s="3267" t="s">
        <v>3152</v>
      </c>
      <c r="O867" s="3267"/>
      <c r="P867" s="3267" t="s">
        <v>2963</v>
      </c>
      <c r="Q867" s="3271">
        <v>450000</v>
      </c>
      <c r="R867" s="3267">
        <v>9476</v>
      </c>
      <c r="S867" s="3272">
        <v>37.53</v>
      </c>
      <c r="T867" s="3273">
        <v>375300</v>
      </c>
      <c r="U867" s="3267">
        <v>7904</v>
      </c>
      <c r="V867" s="3289">
        <v>0.2</v>
      </c>
      <c r="W867" s="3272">
        <v>30.02</v>
      </c>
      <c r="X867" s="3275">
        <v>300200</v>
      </c>
      <c r="Y867" s="3276">
        <v>2006</v>
      </c>
      <c r="Z867" s="3276">
        <v>11</v>
      </c>
      <c r="AA867" s="3276">
        <v>14</v>
      </c>
      <c r="AB867" s="3267">
        <v>1125</v>
      </c>
      <c r="AC867" s="3267" t="s">
        <v>2980</v>
      </c>
      <c r="AD867" s="3366">
        <v>91302006110436</v>
      </c>
      <c r="AE867" s="3279" t="s">
        <v>2991</v>
      </c>
      <c r="AF867" s="3268"/>
      <c r="AG867" s="3279" t="s">
        <v>2967</v>
      </c>
      <c r="AH867" s="3267"/>
      <c r="AI867" s="3279" t="s">
        <v>2992</v>
      </c>
      <c r="AJ867" s="3284"/>
      <c r="AK867" s="3278" t="s">
        <v>3137</v>
      </c>
      <c r="AL867" s="3276">
        <v>33</v>
      </c>
      <c r="AM867" s="3267"/>
      <c r="AN867" s="3279" t="s">
        <v>3114</v>
      </c>
      <c r="AO867" s="3267"/>
      <c r="AP867" s="3279" t="s">
        <v>2991</v>
      </c>
      <c r="AQ867" s="3276" t="s">
        <v>3113</v>
      </c>
      <c r="AR867" s="3276">
        <v>2006</v>
      </c>
      <c r="AS867" s="3276">
        <v>11</v>
      </c>
      <c r="AT867" s="3276">
        <v>14</v>
      </c>
      <c r="AU867" s="3276"/>
      <c r="AV867" s="3276"/>
      <c r="AW867" s="3276" t="s">
        <v>2997</v>
      </c>
      <c r="AX867" s="3276"/>
      <c r="AY867" s="3291"/>
      <c r="AZ867" s="3267" t="s">
        <v>9062</v>
      </c>
      <c r="BA867" s="3296"/>
      <c r="BB867" s="3297"/>
      <c r="BC867" s="3296"/>
      <c r="BD867" s="3298"/>
      <c r="BE867" s="3276"/>
      <c r="BF867" s="3281"/>
      <c r="BG867" s="3293">
        <v>39027</v>
      </c>
      <c r="BH867" s="3267"/>
      <c r="BI867" s="3267" t="s">
        <v>2991</v>
      </c>
      <c r="BJ867" s="3299">
        <v>39030</v>
      </c>
      <c r="BK867" s="3283"/>
      <c r="BL867" s="3267" t="s">
        <v>2998</v>
      </c>
      <c r="BM867" s="3276" t="s">
        <v>2879</v>
      </c>
      <c r="BN867" s="3276" t="s">
        <v>3111</v>
      </c>
      <c r="BO867" s="3276" t="s">
        <v>3146</v>
      </c>
      <c r="BP867" s="3276"/>
      <c r="BQ867" s="3276" t="e">
        <v>#DIV/0!</v>
      </c>
      <c r="BR867" s="3276" t="e">
        <v>#DIV/0!</v>
      </c>
      <c r="BS867" s="3285"/>
      <c r="BT867" s="3285"/>
      <c r="BU867" s="3285"/>
      <c r="BY867" s="3262" t="s">
        <v>3262</v>
      </c>
      <c r="BZ867" s="3262" t="s">
        <v>3262</v>
      </c>
      <c r="CA867" s="3262" t="s">
        <v>3262</v>
      </c>
      <c r="CB867" s="3262" t="s">
        <v>3262</v>
      </c>
      <c r="CC867" s="3262" t="s">
        <v>3262</v>
      </c>
      <c r="CD867" s="3262" t="s">
        <v>3262</v>
      </c>
      <c r="CE867" s="3262" t="s">
        <v>3262</v>
      </c>
      <c r="CF867" s="3262" t="s">
        <v>3262</v>
      </c>
      <c r="CG867" s="3262" t="s">
        <v>3262</v>
      </c>
      <c r="CH867" s="3262" t="s">
        <v>3262</v>
      </c>
      <c r="CI867" s="3262" t="s">
        <v>3262</v>
      </c>
      <c r="CJ867" s="3262" t="s">
        <v>3262</v>
      </c>
      <c r="CK867" s="3262" t="s">
        <v>3262</v>
      </c>
      <c r="CL867" s="3262" t="s">
        <v>3262</v>
      </c>
      <c r="CM867" s="3262" t="s">
        <v>3262</v>
      </c>
      <c r="CN867" s="3262" t="s">
        <v>3262</v>
      </c>
      <c r="CO867" s="3262" t="s">
        <v>3262</v>
      </c>
      <c r="CP867" s="3262" t="s">
        <v>3262</v>
      </c>
      <c r="CQ867" s="3262" t="s">
        <v>3262</v>
      </c>
      <c r="CR867" s="3262" t="s">
        <v>3262</v>
      </c>
      <c r="CS867" s="3262" t="s">
        <v>3262</v>
      </c>
      <c r="CT867" s="3262" t="s">
        <v>3262</v>
      </c>
      <c r="CU867" s="3262" t="s">
        <v>3262</v>
      </c>
      <c r="CV867" s="3262" t="s">
        <v>3262</v>
      </c>
      <c r="CW867" s="3262" t="s">
        <v>3262</v>
      </c>
      <c r="CX867" s="3262" t="s">
        <v>3262</v>
      </c>
      <c r="CY867" s="3262" t="s">
        <v>3262</v>
      </c>
      <c r="CZ867" s="3262" t="s">
        <v>3262</v>
      </c>
      <c r="DA867" s="3262" t="s">
        <v>3262</v>
      </c>
      <c r="DB867" s="3262" t="s">
        <v>3262</v>
      </c>
      <c r="DC867" s="3262" t="s">
        <v>3262</v>
      </c>
      <c r="DD867" s="3262" t="s">
        <v>3262</v>
      </c>
      <c r="DE867" s="3262" t="s">
        <v>3262</v>
      </c>
      <c r="DF867" s="3262" t="s">
        <v>3262</v>
      </c>
      <c r="DG867" s="3262" t="s">
        <v>3262</v>
      </c>
      <c r="DH867" s="3262" t="s">
        <v>3262</v>
      </c>
      <c r="DI867" s="3262" t="s">
        <v>3262</v>
      </c>
      <c r="DJ867" s="3262" t="s">
        <v>3262</v>
      </c>
      <c r="DK867" s="3262" t="s">
        <v>3262</v>
      </c>
      <c r="DL867" s="3262" t="s">
        <v>3262</v>
      </c>
      <c r="DM867" s="3262" t="s">
        <v>3262</v>
      </c>
      <c r="DN867" s="3262" t="s">
        <v>3262</v>
      </c>
      <c r="DO867" s="3262" t="s">
        <v>3262</v>
      </c>
      <c r="DP867" s="3262" t="s">
        <v>3262</v>
      </c>
      <c r="DQ867" s="3262" t="s">
        <v>3262</v>
      </c>
      <c r="DR867" s="3262" t="s">
        <v>3262</v>
      </c>
      <c r="DS867" s="3262" t="s">
        <v>3262</v>
      </c>
      <c r="DT867" s="3262" t="s">
        <v>3262</v>
      </c>
      <c r="DU867" s="3262" t="s">
        <v>3262</v>
      </c>
      <c r="DV867" s="3262" t="s">
        <v>3262</v>
      </c>
      <c r="DW867" s="3262" t="s">
        <v>3262</v>
      </c>
      <c r="DX867" s="3262" t="s">
        <v>3262</v>
      </c>
      <c r="DY867" s="3262" t="s">
        <v>3262</v>
      </c>
      <c r="DZ867" s="3262" t="s">
        <v>3262</v>
      </c>
      <c r="EA867" s="3262" t="s">
        <v>3262</v>
      </c>
      <c r="EB867" s="3262" t="s">
        <v>3262</v>
      </c>
      <c r="EC867" s="3262" t="s">
        <v>3262</v>
      </c>
      <c r="ED867" s="3262" t="s">
        <v>3262</v>
      </c>
      <c r="EE867" s="3262" t="s">
        <v>3262</v>
      </c>
      <c r="EF867" s="3262" t="s">
        <v>3262</v>
      </c>
      <c r="EG867" s="3262" t="s">
        <v>3262</v>
      </c>
      <c r="EH867" s="3262" t="s">
        <v>3262</v>
      </c>
      <c r="EI867" s="3262" t="s">
        <v>3262</v>
      </c>
      <c r="EJ867" s="3262" t="s">
        <v>3262</v>
      </c>
      <c r="EK867" s="3262" t="s">
        <v>3262</v>
      </c>
      <c r="EL867" s="3262" t="s">
        <v>3262</v>
      </c>
      <c r="EM867" s="3262" t="s">
        <v>3262</v>
      </c>
      <c r="EN867" s="3262" t="s">
        <v>3262</v>
      </c>
      <c r="EO867" s="3262" t="s">
        <v>3262</v>
      </c>
      <c r="EP867" s="3262" t="s">
        <v>3262</v>
      </c>
      <c r="EQ867" s="3262" t="s">
        <v>3262</v>
      </c>
      <c r="ER867" s="3262" t="s">
        <v>3262</v>
      </c>
      <c r="ES867" s="3262" t="s">
        <v>3262</v>
      </c>
      <c r="ET867" s="3262" t="s">
        <v>3262</v>
      </c>
      <c r="EU867" s="3262" t="s">
        <v>3262</v>
      </c>
      <c r="EV867" s="3262" t="s">
        <v>3262</v>
      </c>
      <c r="EW867" s="3262" t="s">
        <v>3262</v>
      </c>
      <c r="EX867" s="3262" t="s">
        <v>3262</v>
      </c>
      <c r="EY867" s="3262" t="s">
        <v>3262</v>
      </c>
      <c r="EZ867" s="3262" t="s">
        <v>3262</v>
      </c>
      <c r="FA867" s="3262" t="s">
        <v>3262</v>
      </c>
      <c r="FB867" s="3262" t="s">
        <v>3262</v>
      </c>
      <c r="FC867" s="3262" t="s">
        <v>3262</v>
      </c>
      <c r="FD867" s="3262" t="s">
        <v>3262</v>
      </c>
      <c r="FE867" s="3262" t="s">
        <v>3262</v>
      </c>
      <c r="FF867" s="3262" t="s">
        <v>3262</v>
      </c>
      <c r="FG867" s="3262" t="s">
        <v>3262</v>
      </c>
      <c r="FH867" s="3262" t="s">
        <v>3262</v>
      </c>
      <c r="FI867" s="3262" t="s">
        <v>3262</v>
      </c>
      <c r="FJ867" s="3262" t="s">
        <v>3262</v>
      </c>
      <c r="FK867" s="3262" t="s">
        <v>3262</v>
      </c>
      <c r="FL867" s="3262" t="s">
        <v>3262</v>
      </c>
      <c r="FM867" s="3262" t="s">
        <v>3262</v>
      </c>
      <c r="FN867" s="3262" t="s">
        <v>3262</v>
      </c>
      <c r="FO867" s="3262" t="s">
        <v>3262</v>
      </c>
      <c r="FP867" s="3262" t="s">
        <v>3262</v>
      </c>
      <c r="FQ867" s="3262" t="s">
        <v>3262</v>
      </c>
      <c r="FR867" s="3262" t="s">
        <v>3262</v>
      </c>
      <c r="FS867" s="3262" t="s">
        <v>3262</v>
      </c>
      <c r="FT867" s="3262" t="s">
        <v>3262</v>
      </c>
      <c r="FU867" s="3262" t="s">
        <v>3262</v>
      </c>
      <c r="FV867" s="3262" t="s">
        <v>3262</v>
      </c>
      <c r="FW867" s="3262" t="s">
        <v>3262</v>
      </c>
      <c r="FX867" s="3262" t="s">
        <v>3262</v>
      </c>
      <c r="FY867" s="3262" t="s">
        <v>3262</v>
      </c>
      <c r="FZ867" s="3262" t="s">
        <v>3262</v>
      </c>
      <c r="GA867" s="3262" t="s">
        <v>3262</v>
      </c>
      <c r="GB867" s="3262" t="s">
        <v>3262</v>
      </c>
      <c r="GC867" s="3262" t="s">
        <v>3262</v>
      </c>
      <c r="GD867" s="3262" t="s">
        <v>3262</v>
      </c>
      <c r="GE867" s="3262" t="s">
        <v>3262</v>
      </c>
      <c r="GF867" s="3262" t="s">
        <v>3262</v>
      </c>
      <c r="GG867" s="3262" t="s">
        <v>3262</v>
      </c>
      <c r="GH867" s="3262" t="s">
        <v>3262</v>
      </c>
      <c r="GI867" s="3262" t="s">
        <v>3262</v>
      </c>
      <c r="GJ867" s="3262" t="s">
        <v>3262</v>
      </c>
      <c r="GK867" s="3262" t="s">
        <v>3262</v>
      </c>
      <c r="GL867" s="3262" t="s">
        <v>3262</v>
      </c>
      <c r="GM867" s="3262" t="s">
        <v>3262</v>
      </c>
      <c r="GN867" s="3262" t="s">
        <v>3262</v>
      </c>
      <c r="GO867" s="3262" t="s">
        <v>3262</v>
      </c>
      <c r="GP867" s="3262" t="s">
        <v>3262</v>
      </c>
      <c r="GQ867" s="3262" t="s">
        <v>3262</v>
      </c>
      <c r="GR867" s="3262" t="s">
        <v>3262</v>
      </c>
      <c r="GS867" s="3262" t="s">
        <v>3262</v>
      </c>
      <c r="GT867" s="3262" t="s">
        <v>3262</v>
      </c>
      <c r="GU867" s="3262" t="s">
        <v>3262</v>
      </c>
      <c r="GV867" s="3262" t="s">
        <v>3262</v>
      </c>
      <c r="GW867" s="3262" t="s">
        <v>3262</v>
      </c>
      <c r="GX867" s="3262" t="s">
        <v>3262</v>
      </c>
      <c r="GY867" s="3262" t="s">
        <v>3262</v>
      </c>
      <c r="GZ867" s="3262" t="s">
        <v>3262</v>
      </c>
      <c r="HA867" s="3262" t="s">
        <v>3262</v>
      </c>
      <c r="HB867" s="3262" t="s">
        <v>3262</v>
      </c>
      <c r="HC867" s="3262" t="s">
        <v>3262</v>
      </c>
      <c r="HD867" s="3262" t="s">
        <v>3262</v>
      </c>
      <c r="HE867" s="3262" t="s">
        <v>3262</v>
      </c>
      <c r="HF867" s="3262" t="s">
        <v>3262</v>
      </c>
      <c r="HG867" s="3262" t="s">
        <v>3262</v>
      </c>
      <c r="HH867" s="3262" t="s">
        <v>3262</v>
      </c>
      <c r="HI867" s="3262" t="s">
        <v>3262</v>
      </c>
      <c r="HJ867" s="3262" t="s">
        <v>3262</v>
      </c>
      <c r="HK867" s="3262" t="s">
        <v>3262</v>
      </c>
      <c r="HL867" s="3262" t="s">
        <v>3262</v>
      </c>
      <c r="HM867" s="3262" t="s">
        <v>3262</v>
      </c>
      <c r="HN867" s="3262" t="s">
        <v>3262</v>
      </c>
      <c r="HO867" s="3262" t="s">
        <v>3262</v>
      </c>
      <c r="HP867" s="3262" t="s">
        <v>3262</v>
      </c>
      <c r="HQ867" s="3262" t="s">
        <v>3262</v>
      </c>
      <c r="HR867" s="3262" t="s">
        <v>3262</v>
      </c>
      <c r="HS867" s="3262" t="s">
        <v>3262</v>
      </c>
      <c r="HT867" s="3262" t="s">
        <v>3262</v>
      </c>
      <c r="HU867" s="3262" t="s">
        <v>3262</v>
      </c>
      <c r="HV867" s="3262" t="s">
        <v>3262</v>
      </c>
      <c r="HW867" s="3262" t="s">
        <v>3262</v>
      </c>
      <c r="HX867" s="3262" t="s">
        <v>3262</v>
      </c>
      <c r="HY867" s="3262" t="s">
        <v>3262</v>
      </c>
      <c r="HZ867" s="3262" t="s">
        <v>3262</v>
      </c>
      <c r="IA867" s="3262" t="s">
        <v>3262</v>
      </c>
      <c r="IB867" s="3262" t="s">
        <v>3262</v>
      </c>
      <c r="IC867" s="3262" t="s">
        <v>3262</v>
      </c>
      <c r="ID867" s="3262" t="s">
        <v>3262</v>
      </c>
      <c r="IE867" s="3262" t="s">
        <v>3262</v>
      </c>
      <c r="IF867" s="3262" t="s">
        <v>3262</v>
      </c>
      <c r="IG867" s="3262" t="s">
        <v>3262</v>
      </c>
      <c r="IH867" s="3262" t="s">
        <v>3262</v>
      </c>
      <c r="II867" s="3262" t="s">
        <v>3262</v>
      </c>
      <c r="IJ867" s="3262" t="s">
        <v>3262</v>
      </c>
      <c r="IK867" s="3262" t="s">
        <v>3262</v>
      </c>
      <c r="IL867" s="3262" t="s">
        <v>3262</v>
      </c>
      <c r="IM867" s="3262" t="s">
        <v>3262</v>
      </c>
      <c r="IN867" s="3262" t="s">
        <v>3262</v>
      </c>
      <c r="IO867" s="3262" t="s">
        <v>3262</v>
      </c>
    </row>
    <row r="868" spans="1:249" hidden="1">
      <c r="A868" s="3267" t="s">
        <v>9063</v>
      </c>
      <c r="B868" s="3267" t="s">
        <v>9064</v>
      </c>
      <c r="C868" s="3269" t="s">
        <v>9065</v>
      </c>
      <c r="D868" s="3269" t="s">
        <v>9066</v>
      </c>
      <c r="E868" s="3268" t="s">
        <v>2985</v>
      </c>
      <c r="F868" s="3268" t="s">
        <v>4068</v>
      </c>
      <c r="G868" s="3267"/>
      <c r="H868" s="3267" t="s">
        <v>3144</v>
      </c>
      <c r="I868" s="3268" t="s">
        <v>3191</v>
      </c>
      <c r="J868" s="3268" t="s">
        <v>3165</v>
      </c>
      <c r="K868" s="3267" t="s">
        <v>9067</v>
      </c>
      <c r="L868" s="3267">
        <v>98.32</v>
      </c>
      <c r="M868" s="3267">
        <v>6</v>
      </c>
      <c r="N868" s="3267" t="s">
        <v>3129</v>
      </c>
      <c r="O868" s="3267"/>
      <c r="P868" s="3267" t="s">
        <v>2963</v>
      </c>
      <c r="Q868" s="3271">
        <v>740000</v>
      </c>
      <c r="R868" s="3267">
        <v>7526</v>
      </c>
      <c r="S868" s="3272">
        <v>66.67</v>
      </c>
      <c r="T868" s="3273">
        <v>666700</v>
      </c>
      <c r="U868" s="3267">
        <v>6781</v>
      </c>
      <c r="V868" s="3289">
        <v>0.3</v>
      </c>
      <c r="W868" s="3272">
        <v>46.66</v>
      </c>
      <c r="X868" s="3275">
        <v>466599.99999999994</v>
      </c>
      <c r="Y868" s="3276">
        <v>2006</v>
      </c>
      <c r="Z868" s="3276">
        <v>12</v>
      </c>
      <c r="AA868" s="3276">
        <v>11</v>
      </c>
      <c r="AB868" s="3267">
        <v>1500</v>
      </c>
      <c r="AC868" s="3267" t="s">
        <v>2980</v>
      </c>
      <c r="AD868" s="3366">
        <v>91302006110469</v>
      </c>
      <c r="AE868" s="3279" t="s">
        <v>2991</v>
      </c>
      <c r="AF868" s="3268"/>
      <c r="AG868" s="3279" t="s">
        <v>2967</v>
      </c>
      <c r="AH868" s="3267"/>
      <c r="AI868" s="3279" t="s">
        <v>2992</v>
      </c>
      <c r="AJ868" s="3284"/>
      <c r="AK868" s="3278" t="s">
        <v>3120</v>
      </c>
      <c r="AL868" s="3276">
        <v>40</v>
      </c>
      <c r="AM868" s="3276"/>
      <c r="AN868" s="3279" t="s">
        <v>3114</v>
      </c>
      <c r="AO868" s="3267"/>
      <c r="AP868" s="3279" t="s">
        <v>2991</v>
      </c>
      <c r="AQ868" s="3276" t="s">
        <v>3113</v>
      </c>
      <c r="AR868" s="3276">
        <v>2006</v>
      </c>
      <c r="AS868" s="3276">
        <v>12</v>
      </c>
      <c r="AT868" s="3276">
        <v>11</v>
      </c>
      <c r="AU868" s="3276"/>
      <c r="AV868" s="3276"/>
      <c r="AW868" s="3276" t="s">
        <v>2997</v>
      </c>
      <c r="AX868" s="3276"/>
      <c r="AY868" s="3291"/>
      <c r="AZ868" s="3267" t="s">
        <v>9067</v>
      </c>
      <c r="BA868" s="3296"/>
      <c r="BB868" s="3297"/>
      <c r="BC868" s="3296"/>
      <c r="BD868" s="3298"/>
      <c r="BE868" s="3276"/>
      <c r="BF868" s="3281"/>
      <c r="BG868" s="3293">
        <v>39020</v>
      </c>
      <c r="BH868" s="3267"/>
      <c r="BI868" s="3279" t="s">
        <v>2991</v>
      </c>
      <c r="BJ868" s="3299">
        <v>39030</v>
      </c>
      <c r="BK868" s="3283" t="s">
        <v>2968</v>
      </c>
      <c r="BL868" s="3267" t="s">
        <v>2998</v>
      </c>
      <c r="BM868" s="3276" t="s">
        <v>2879</v>
      </c>
      <c r="BN868" s="3276" t="s">
        <v>2999</v>
      </c>
      <c r="BO868" s="3276" t="s">
        <v>3146</v>
      </c>
      <c r="BP868" s="3276"/>
      <c r="BQ868" s="3276" t="e">
        <v>#DIV/0!</v>
      </c>
      <c r="BR868" s="3276" t="e">
        <v>#DIV/0!</v>
      </c>
      <c r="BS868" s="3285"/>
      <c r="BT868" s="3285"/>
      <c r="BU868" s="3285"/>
      <c r="BW868" s="3262" t="s">
        <v>3262</v>
      </c>
      <c r="BX868" s="3262" t="s">
        <v>3262</v>
      </c>
      <c r="BY868" s="3262" t="s">
        <v>3262</v>
      </c>
      <c r="BZ868" s="3262" t="s">
        <v>3262</v>
      </c>
      <c r="CA868" s="3262" t="s">
        <v>3262</v>
      </c>
      <c r="CB868" s="3262" t="s">
        <v>3262</v>
      </c>
      <c r="CC868" s="3262" t="s">
        <v>3262</v>
      </c>
      <c r="CD868" s="3262" t="s">
        <v>3262</v>
      </c>
      <c r="CE868" s="3262" t="s">
        <v>3262</v>
      </c>
      <c r="CF868" s="3262" t="s">
        <v>3262</v>
      </c>
      <c r="CG868" s="3262" t="s">
        <v>3262</v>
      </c>
      <c r="CH868" s="3262" t="s">
        <v>3262</v>
      </c>
      <c r="CI868" s="3262" t="s">
        <v>3262</v>
      </c>
      <c r="CJ868" s="3262" t="s">
        <v>3262</v>
      </c>
      <c r="CK868" s="3262" t="s">
        <v>3262</v>
      </c>
      <c r="CL868" s="3262" t="s">
        <v>3262</v>
      </c>
      <c r="CM868" s="3262" t="s">
        <v>3262</v>
      </c>
      <c r="CN868" s="3262" t="s">
        <v>3262</v>
      </c>
      <c r="CO868" s="3262" t="s">
        <v>3262</v>
      </c>
      <c r="CP868" s="3262" t="s">
        <v>3262</v>
      </c>
      <c r="CQ868" s="3262" t="s">
        <v>3262</v>
      </c>
      <c r="CR868" s="3262" t="s">
        <v>3262</v>
      </c>
      <c r="CS868" s="3262" t="s">
        <v>3262</v>
      </c>
      <c r="CT868" s="3262" t="s">
        <v>3262</v>
      </c>
      <c r="CU868" s="3262" t="s">
        <v>3262</v>
      </c>
      <c r="CV868" s="3262" t="s">
        <v>3262</v>
      </c>
      <c r="CW868" s="3262" t="s">
        <v>3262</v>
      </c>
      <c r="CX868" s="3262" t="s">
        <v>3262</v>
      </c>
      <c r="CY868" s="3262" t="s">
        <v>3262</v>
      </c>
      <c r="CZ868" s="3262" t="s">
        <v>3262</v>
      </c>
      <c r="DA868" s="3262" t="s">
        <v>3262</v>
      </c>
      <c r="DB868" s="3262" t="s">
        <v>3262</v>
      </c>
      <c r="DC868" s="3262" t="s">
        <v>3262</v>
      </c>
      <c r="DD868" s="3262" t="s">
        <v>3262</v>
      </c>
      <c r="DE868" s="3262" t="s">
        <v>3262</v>
      </c>
      <c r="DF868" s="3262" t="s">
        <v>3262</v>
      </c>
      <c r="DG868" s="3262" t="s">
        <v>3262</v>
      </c>
      <c r="DH868" s="3262" t="s">
        <v>3262</v>
      </c>
      <c r="DI868" s="3262" t="s">
        <v>3262</v>
      </c>
      <c r="DJ868" s="3262" t="s">
        <v>3262</v>
      </c>
      <c r="DK868" s="3262" t="s">
        <v>3262</v>
      </c>
      <c r="DL868" s="3262" t="s">
        <v>3262</v>
      </c>
      <c r="DM868" s="3262" t="s">
        <v>3262</v>
      </c>
      <c r="DN868" s="3262" t="s">
        <v>3262</v>
      </c>
      <c r="DO868" s="3262" t="s">
        <v>3262</v>
      </c>
      <c r="DP868" s="3262" t="s">
        <v>3262</v>
      </c>
      <c r="DQ868" s="3262" t="s">
        <v>3262</v>
      </c>
      <c r="DR868" s="3262" t="s">
        <v>3262</v>
      </c>
      <c r="DS868" s="3262" t="s">
        <v>3262</v>
      </c>
      <c r="DT868" s="3262" t="s">
        <v>3262</v>
      </c>
      <c r="DU868" s="3262" t="s">
        <v>3262</v>
      </c>
      <c r="DV868" s="3262" t="s">
        <v>3262</v>
      </c>
      <c r="DW868" s="3262" t="s">
        <v>3262</v>
      </c>
      <c r="DX868" s="3262" t="s">
        <v>3262</v>
      </c>
      <c r="DY868" s="3262" t="s">
        <v>3262</v>
      </c>
      <c r="DZ868" s="3262" t="s">
        <v>3262</v>
      </c>
      <c r="EA868" s="3262" t="s">
        <v>3262</v>
      </c>
      <c r="EB868" s="3262" t="s">
        <v>3262</v>
      </c>
      <c r="EC868" s="3262" t="s">
        <v>3262</v>
      </c>
      <c r="ED868" s="3262" t="s">
        <v>3262</v>
      </c>
      <c r="EE868" s="3262" t="s">
        <v>3262</v>
      </c>
      <c r="EF868" s="3262" t="s">
        <v>3262</v>
      </c>
      <c r="EG868" s="3262" t="s">
        <v>3262</v>
      </c>
      <c r="EH868" s="3262" t="s">
        <v>3262</v>
      </c>
      <c r="EI868" s="3262" t="s">
        <v>3262</v>
      </c>
      <c r="EJ868" s="3262" t="s">
        <v>3262</v>
      </c>
      <c r="EK868" s="3262" t="s">
        <v>3262</v>
      </c>
      <c r="EL868" s="3262" t="s">
        <v>3262</v>
      </c>
      <c r="EM868" s="3262" t="s">
        <v>3262</v>
      </c>
      <c r="EN868" s="3262" t="s">
        <v>3262</v>
      </c>
      <c r="EO868" s="3262" t="s">
        <v>3262</v>
      </c>
      <c r="EP868" s="3262" t="s">
        <v>3262</v>
      </c>
      <c r="EQ868" s="3262" t="s">
        <v>3262</v>
      </c>
      <c r="ER868" s="3262" t="s">
        <v>3262</v>
      </c>
      <c r="ES868" s="3262" t="s">
        <v>3262</v>
      </c>
      <c r="ET868" s="3262" t="s">
        <v>3262</v>
      </c>
      <c r="EU868" s="3262" t="s">
        <v>3262</v>
      </c>
      <c r="EV868" s="3262" t="s">
        <v>3262</v>
      </c>
      <c r="EW868" s="3262" t="s">
        <v>3262</v>
      </c>
      <c r="EX868" s="3262" t="s">
        <v>3262</v>
      </c>
      <c r="EY868" s="3262" t="s">
        <v>3262</v>
      </c>
      <c r="EZ868" s="3262" t="s">
        <v>3262</v>
      </c>
      <c r="FA868" s="3262" t="s">
        <v>3262</v>
      </c>
      <c r="FB868" s="3262" t="s">
        <v>3262</v>
      </c>
      <c r="FC868" s="3262" t="s">
        <v>3262</v>
      </c>
      <c r="FD868" s="3262" t="s">
        <v>3262</v>
      </c>
      <c r="FE868" s="3262" t="s">
        <v>3262</v>
      </c>
      <c r="FF868" s="3262" t="s">
        <v>3262</v>
      </c>
      <c r="FG868" s="3262" t="s">
        <v>3262</v>
      </c>
      <c r="FH868" s="3262" t="s">
        <v>3262</v>
      </c>
      <c r="FI868" s="3262" t="s">
        <v>3262</v>
      </c>
      <c r="FJ868" s="3262" t="s">
        <v>3262</v>
      </c>
      <c r="FK868" s="3262" t="s">
        <v>3262</v>
      </c>
      <c r="FL868" s="3262" t="s">
        <v>3262</v>
      </c>
      <c r="FM868" s="3262" t="s">
        <v>3262</v>
      </c>
      <c r="FN868" s="3262" t="s">
        <v>3262</v>
      </c>
      <c r="FO868" s="3262" t="s">
        <v>3262</v>
      </c>
      <c r="FP868" s="3262" t="s">
        <v>3262</v>
      </c>
      <c r="FQ868" s="3262" t="s">
        <v>3262</v>
      </c>
      <c r="FR868" s="3262" t="s">
        <v>3262</v>
      </c>
      <c r="FS868" s="3262" t="s">
        <v>3262</v>
      </c>
      <c r="FT868" s="3262" t="s">
        <v>3262</v>
      </c>
      <c r="FU868" s="3262" t="s">
        <v>3262</v>
      </c>
      <c r="FV868" s="3262" t="s">
        <v>3262</v>
      </c>
      <c r="FW868" s="3262" t="s">
        <v>3262</v>
      </c>
      <c r="FX868" s="3262" t="s">
        <v>3262</v>
      </c>
      <c r="FY868" s="3262" t="s">
        <v>3262</v>
      </c>
      <c r="FZ868" s="3262" t="s">
        <v>3262</v>
      </c>
      <c r="GA868" s="3262" t="s">
        <v>3262</v>
      </c>
      <c r="GB868" s="3262" t="s">
        <v>3262</v>
      </c>
      <c r="GC868" s="3262" t="s">
        <v>3262</v>
      </c>
      <c r="GD868" s="3262" t="s">
        <v>3262</v>
      </c>
      <c r="GE868" s="3262" t="s">
        <v>3262</v>
      </c>
      <c r="GF868" s="3262" t="s">
        <v>3262</v>
      </c>
      <c r="GG868" s="3262" t="s">
        <v>3262</v>
      </c>
      <c r="GH868" s="3262" t="s">
        <v>3262</v>
      </c>
      <c r="GI868" s="3262" t="s">
        <v>3262</v>
      </c>
      <c r="GJ868" s="3262" t="s">
        <v>3262</v>
      </c>
      <c r="GK868" s="3262" t="s">
        <v>3262</v>
      </c>
      <c r="GL868" s="3262" t="s">
        <v>3262</v>
      </c>
      <c r="GM868" s="3262" t="s">
        <v>3262</v>
      </c>
      <c r="GN868" s="3262" t="s">
        <v>3262</v>
      </c>
      <c r="GO868" s="3262" t="s">
        <v>3262</v>
      </c>
      <c r="GP868" s="3262" t="s">
        <v>3262</v>
      </c>
      <c r="GQ868" s="3262" t="s">
        <v>3262</v>
      </c>
      <c r="GR868" s="3262" t="s">
        <v>3262</v>
      </c>
      <c r="GS868" s="3262" t="s">
        <v>3262</v>
      </c>
      <c r="GT868" s="3262" t="s">
        <v>3262</v>
      </c>
      <c r="GU868" s="3262" t="s">
        <v>3262</v>
      </c>
      <c r="GV868" s="3262" t="s">
        <v>3262</v>
      </c>
      <c r="GW868" s="3262" t="s">
        <v>3262</v>
      </c>
      <c r="GX868" s="3262" t="s">
        <v>3262</v>
      </c>
      <c r="GY868" s="3262" t="s">
        <v>3262</v>
      </c>
      <c r="GZ868" s="3262" t="s">
        <v>3262</v>
      </c>
      <c r="HA868" s="3262" t="s">
        <v>3262</v>
      </c>
      <c r="HB868" s="3262" t="s">
        <v>3262</v>
      </c>
      <c r="HC868" s="3262" t="s">
        <v>3262</v>
      </c>
      <c r="HD868" s="3262" t="s">
        <v>3262</v>
      </c>
      <c r="HE868" s="3262" t="s">
        <v>3262</v>
      </c>
      <c r="HF868" s="3262" t="s">
        <v>3262</v>
      </c>
      <c r="HG868" s="3262" t="s">
        <v>3262</v>
      </c>
      <c r="HH868" s="3262" t="s">
        <v>3262</v>
      </c>
      <c r="HI868" s="3262" t="s">
        <v>3262</v>
      </c>
      <c r="HJ868" s="3262" t="s">
        <v>3262</v>
      </c>
      <c r="HK868" s="3262" t="s">
        <v>3262</v>
      </c>
      <c r="HL868" s="3262" t="s">
        <v>3262</v>
      </c>
      <c r="HM868" s="3262" t="s">
        <v>3262</v>
      </c>
      <c r="HN868" s="3262" t="s">
        <v>3262</v>
      </c>
      <c r="HO868" s="3262" t="s">
        <v>3262</v>
      </c>
      <c r="HP868" s="3262" t="s">
        <v>3262</v>
      </c>
      <c r="HQ868" s="3262" t="s">
        <v>3262</v>
      </c>
      <c r="HR868" s="3262" t="s">
        <v>3262</v>
      </c>
      <c r="HS868" s="3262" t="s">
        <v>3262</v>
      </c>
      <c r="HT868" s="3262" t="s">
        <v>3262</v>
      </c>
      <c r="HU868" s="3262" t="s">
        <v>3262</v>
      </c>
      <c r="HV868" s="3262" t="s">
        <v>3262</v>
      </c>
      <c r="HW868" s="3262" t="s">
        <v>3262</v>
      </c>
      <c r="HX868" s="3262" t="s">
        <v>3262</v>
      </c>
      <c r="HY868" s="3262" t="s">
        <v>3262</v>
      </c>
      <c r="HZ868" s="3262" t="s">
        <v>3262</v>
      </c>
      <c r="IA868" s="3262" t="s">
        <v>3262</v>
      </c>
      <c r="IB868" s="3262" t="s">
        <v>3262</v>
      </c>
      <c r="IC868" s="3262" t="s">
        <v>3262</v>
      </c>
      <c r="ID868" s="3262" t="s">
        <v>3262</v>
      </c>
      <c r="IE868" s="3262" t="s">
        <v>3262</v>
      </c>
      <c r="IF868" s="3262" t="s">
        <v>3262</v>
      </c>
      <c r="IG868" s="3262" t="s">
        <v>3262</v>
      </c>
      <c r="IH868" s="3262" t="s">
        <v>3262</v>
      </c>
      <c r="II868" s="3262" t="s">
        <v>3262</v>
      </c>
      <c r="IJ868" s="3262" t="s">
        <v>3262</v>
      </c>
      <c r="IK868" s="3262" t="s">
        <v>3262</v>
      </c>
    </row>
    <row r="869" spans="1:249" hidden="1">
      <c r="A869" s="3267" t="s">
        <v>9068</v>
      </c>
      <c r="B869" s="3267" t="s">
        <v>9069</v>
      </c>
      <c r="C869" s="3269" t="s">
        <v>9070</v>
      </c>
      <c r="D869" s="3269" t="s">
        <v>9071</v>
      </c>
      <c r="E869" s="3268" t="s">
        <v>2985</v>
      </c>
      <c r="F869" s="3268" t="s">
        <v>4100</v>
      </c>
      <c r="G869" s="3267"/>
      <c r="H869" s="3267" t="s">
        <v>3124</v>
      </c>
      <c r="I869" s="3268" t="s">
        <v>3608</v>
      </c>
      <c r="J869" s="3267" t="s">
        <v>4798</v>
      </c>
      <c r="K869" s="3267" t="s">
        <v>9072</v>
      </c>
      <c r="L869" s="3267">
        <v>95.39</v>
      </c>
      <c r="M869" s="3267">
        <v>11</v>
      </c>
      <c r="N869" s="3267" t="s">
        <v>3125</v>
      </c>
      <c r="O869" s="3267">
        <v>77.260000000000005</v>
      </c>
      <c r="P869" s="3267" t="s">
        <v>2963</v>
      </c>
      <c r="Q869" s="3271">
        <v>520000</v>
      </c>
      <c r="R869" s="3267">
        <v>5451</v>
      </c>
      <c r="S869" s="3272">
        <v>55.48</v>
      </c>
      <c r="T869" s="3273">
        <v>554800</v>
      </c>
      <c r="U869" s="3267">
        <v>5817</v>
      </c>
      <c r="V869" s="3289">
        <v>0.3</v>
      </c>
      <c r="W869" s="3272">
        <v>38.83</v>
      </c>
      <c r="X869" s="3275">
        <v>388300</v>
      </c>
      <c r="Y869" s="3276">
        <v>2006</v>
      </c>
      <c r="Z869" s="3276">
        <v>11</v>
      </c>
      <c r="AA869" s="3276">
        <v>28</v>
      </c>
      <c r="AB869" s="3267">
        <v>1500</v>
      </c>
      <c r="AC869" s="3267" t="s">
        <v>2980</v>
      </c>
      <c r="AD869" s="3269" t="s">
        <v>9073</v>
      </c>
      <c r="AE869" s="3276" t="s">
        <v>3344</v>
      </c>
      <c r="AF869" s="3267" t="s">
        <v>2966</v>
      </c>
      <c r="AG869" s="3279" t="s">
        <v>2967</v>
      </c>
      <c r="AH869" s="3267" t="s">
        <v>9074</v>
      </c>
      <c r="AI869" s="3279" t="s">
        <v>2992</v>
      </c>
      <c r="AJ869" s="3284"/>
      <c r="AK869" s="3278" t="s">
        <v>3137</v>
      </c>
      <c r="AL869" s="3276">
        <v>54</v>
      </c>
      <c r="AM869" s="3267"/>
      <c r="AN869" s="3279" t="s">
        <v>2994</v>
      </c>
      <c r="AO869" s="3267"/>
      <c r="AP869" s="3279" t="s">
        <v>5706</v>
      </c>
      <c r="AQ869" s="3276" t="s">
        <v>3113</v>
      </c>
      <c r="AR869" s="3276"/>
      <c r="AS869" s="3276"/>
      <c r="AT869" s="3276"/>
      <c r="AU869" s="3276"/>
      <c r="AV869" s="3276" t="s">
        <v>2968</v>
      </c>
      <c r="AW869" s="3276" t="s">
        <v>3171</v>
      </c>
      <c r="AX869" s="3276"/>
      <c r="AY869" s="3291"/>
      <c r="AZ869" s="3267" t="s">
        <v>9072</v>
      </c>
      <c r="BA869" s="3296"/>
      <c r="BB869" s="3297"/>
      <c r="BC869" s="3296"/>
      <c r="BD869" s="3298"/>
      <c r="BE869" s="3276">
        <v>13264177653</v>
      </c>
      <c r="BF869" s="3281" t="s">
        <v>2968</v>
      </c>
      <c r="BG869" s="3293">
        <v>39027</v>
      </c>
      <c r="BH869" s="3267"/>
      <c r="BI869" s="3276" t="s">
        <v>5706</v>
      </c>
      <c r="BJ869" s="3283">
        <v>39028</v>
      </c>
      <c r="BK869" s="3283"/>
      <c r="BL869" s="3267" t="s">
        <v>2998</v>
      </c>
      <c r="BM869" s="3276" t="s">
        <v>8298</v>
      </c>
      <c r="BN869" s="3276" t="s">
        <v>2999</v>
      </c>
      <c r="BO869" s="3276" t="s">
        <v>3146</v>
      </c>
      <c r="BP869" s="3276"/>
      <c r="BQ869" s="3276">
        <v>7181</v>
      </c>
      <c r="BR869" s="3276">
        <v>6731</v>
      </c>
      <c r="BS869" s="3285"/>
      <c r="BT869" s="3285"/>
      <c r="BU869" s="3285"/>
    </row>
    <row r="870" spans="1:249" hidden="1">
      <c r="A870" s="3267" t="s">
        <v>9075</v>
      </c>
      <c r="B870" s="3267" t="s">
        <v>9076</v>
      </c>
      <c r="C870" s="3269" t="s">
        <v>9077</v>
      </c>
      <c r="D870" s="3269" t="s">
        <v>9078</v>
      </c>
      <c r="E870" s="3267" t="s">
        <v>2985</v>
      </c>
      <c r="F870" s="3267" t="s">
        <v>3648</v>
      </c>
      <c r="G870" s="3267"/>
      <c r="H870" s="3267" t="s">
        <v>3136</v>
      </c>
      <c r="I870" s="3268" t="s">
        <v>3586</v>
      </c>
      <c r="J870" s="3268" t="s">
        <v>9079</v>
      </c>
      <c r="K870" s="3267" t="s">
        <v>9080</v>
      </c>
      <c r="L870" s="3267">
        <v>164.66</v>
      </c>
      <c r="M870" s="3267">
        <v>3</v>
      </c>
      <c r="N870" s="3267" t="s">
        <v>3129</v>
      </c>
      <c r="O870" s="3267"/>
      <c r="P870" s="3267" t="s">
        <v>2963</v>
      </c>
      <c r="Q870" s="3271">
        <v>1037358</v>
      </c>
      <c r="R870" s="3267">
        <v>6300</v>
      </c>
      <c r="S870" s="3272">
        <v>131.15</v>
      </c>
      <c r="T870" s="3273">
        <v>1311500</v>
      </c>
      <c r="U870" s="3267">
        <v>7965</v>
      </c>
      <c r="V870" s="3289">
        <v>0.3</v>
      </c>
      <c r="W870" s="3272">
        <v>91.8</v>
      </c>
      <c r="X870" s="3275">
        <v>918000</v>
      </c>
      <c r="Y870" s="3276">
        <v>2006</v>
      </c>
      <c r="Z870" s="3276">
        <v>11</v>
      </c>
      <c r="AA870" s="3276">
        <v>14</v>
      </c>
      <c r="AB870" s="3267">
        <v>1500</v>
      </c>
      <c r="AC870" s="3267" t="s">
        <v>2980</v>
      </c>
      <c r="AD870" s="3366">
        <v>91302006110489</v>
      </c>
      <c r="AE870" s="3279" t="s">
        <v>2991</v>
      </c>
      <c r="AF870" s="3268"/>
      <c r="AG870" s="3279" t="s">
        <v>2967</v>
      </c>
      <c r="AH870" s="3267"/>
      <c r="AI870" s="3279" t="s">
        <v>2992</v>
      </c>
      <c r="AJ870" s="3284"/>
      <c r="AK870" s="3278" t="s">
        <v>3137</v>
      </c>
      <c r="AL870" s="3276">
        <v>53</v>
      </c>
      <c r="AM870" s="3267"/>
      <c r="AN870" s="3279" t="s">
        <v>3114</v>
      </c>
      <c r="AO870" s="3267"/>
      <c r="AP870" s="3279" t="s">
        <v>2991</v>
      </c>
      <c r="AQ870" s="3276" t="s">
        <v>2996</v>
      </c>
      <c r="AR870" s="3276"/>
      <c r="AS870" s="3276"/>
      <c r="AT870" s="3276"/>
      <c r="AU870" s="3276"/>
      <c r="AV870" s="3276"/>
      <c r="AW870" s="3276" t="s">
        <v>2997</v>
      </c>
      <c r="AX870" s="3276"/>
      <c r="AY870" s="3291"/>
      <c r="AZ870" s="3267" t="s">
        <v>9080</v>
      </c>
      <c r="BA870" s="3296"/>
      <c r="BB870" s="3297"/>
      <c r="BC870" s="3296"/>
      <c r="BD870" s="3298"/>
      <c r="BE870" s="3276"/>
      <c r="BF870" s="3281"/>
      <c r="BG870" s="3293">
        <v>39030</v>
      </c>
      <c r="BH870" s="3267"/>
      <c r="BI870" s="3267" t="s">
        <v>2991</v>
      </c>
      <c r="BJ870" s="3299">
        <v>39031</v>
      </c>
      <c r="BK870" s="3283"/>
      <c r="BL870" s="3267" t="s">
        <v>2998</v>
      </c>
      <c r="BM870" s="3276" t="s">
        <v>3128</v>
      </c>
      <c r="BN870" s="3276" t="s">
        <v>3111</v>
      </c>
      <c r="BO870" s="3276" t="s">
        <v>3146</v>
      </c>
      <c r="BP870" s="3276"/>
      <c r="BQ870" s="3276" t="e">
        <v>#DIV/0!</v>
      </c>
      <c r="BR870" s="3276" t="e">
        <v>#DIV/0!</v>
      </c>
      <c r="BS870" s="3285"/>
      <c r="BT870" s="3285"/>
      <c r="BU870" s="3285"/>
      <c r="BY870" s="3262" t="s">
        <v>3262</v>
      </c>
      <c r="BZ870" s="3262" t="s">
        <v>3262</v>
      </c>
      <c r="CA870" s="3262" t="s">
        <v>3262</v>
      </c>
      <c r="CB870" s="3262" t="s">
        <v>3262</v>
      </c>
      <c r="CC870" s="3262" t="s">
        <v>3262</v>
      </c>
      <c r="CD870" s="3262" t="s">
        <v>3262</v>
      </c>
      <c r="CE870" s="3262" t="s">
        <v>3262</v>
      </c>
      <c r="CF870" s="3262" t="s">
        <v>3262</v>
      </c>
      <c r="CG870" s="3262" t="s">
        <v>3262</v>
      </c>
      <c r="CH870" s="3262" t="s">
        <v>3262</v>
      </c>
      <c r="CI870" s="3262" t="s">
        <v>3262</v>
      </c>
      <c r="CJ870" s="3262" t="s">
        <v>3262</v>
      </c>
      <c r="CK870" s="3262" t="s">
        <v>3262</v>
      </c>
      <c r="CL870" s="3262" t="s">
        <v>3262</v>
      </c>
      <c r="CM870" s="3262" t="s">
        <v>3262</v>
      </c>
      <c r="CN870" s="3262" t="s">
        <v>3262</v>
      </c>
      <c r="CO870" s="3262" t="s">
        <v>3262</v>
      </c>
      <c r="CP870" s="3262" t="s">
        <v>3262</v>
      </c>
      <c r="CQ870" s="3262" t="s">
        <v>3262</v>
      </c>
      <c r="CR870" s="3262" t="s">
        <v>3262</v>
      </c>
      <c r="CS870" s="3262" t="s">
        <v>3262</v>
      </c>
      <c r="CT870" s="3262" t="s">
        <v>3262</v>
      </c>
      <c r="CU870" s="3262" t="s">
        <v>3262</v>
      </c>
      <c r="CV870" s="3262" t="s">
        <v>3262</v>
      </c>
      <c r="CW870" s="3262" t="s">
        <v>3262</v>
      </c>
      <c r="CX870" s="3262" t="s">
        <v>3262</v>
      </c>
      <c r="CY870" s="3262" t="s">
        <v>3262</v>
      </c>
      <c r="CZ870" s="3262" t="s">
        <v>3262</v>
      </c>
      <c r="DA870" s="3262" t="s">
        <v>3262</v>
      </c>
      <c r="DB870" s="3262" t="s">
        <v>3262</v>
      </c>
      <c r="DC870" s="3262" t="s">
        <v>3262</v>
      </c>
      <c r="DD870" s="3262" t="s">
        <v>3262</v>
      </c>
      <c r="DE870" s="3262" t="s">
        <v>3262</v>
      </c>
      <c r="DF870" s="3262" t="s">
        <v>3262</v>
      </c>
      <c r="DG870" s="3262" t="s">
        <v>3262</v>
      </c>
      <c r="DH870" s="3262" t="s">
        <v>3262</v>
      </c>
      <c r="DI870" s="3262" t="s">
        <v>3262</v>
      </c>
      <c r="DJ870" s="3262" t="s">
        <v>3262</v>
      </c>
      <c r="DK870" s="3262" t="s">
        <v>3262</v>
      </c>
      <c r="DL870" s="3262" t="s">
        <v>3262</v>
      </c>
      <c r="DM870" s="3262" t="s">
        <v>3262</v>
      </c>
      <c r="DN870" s="3262" t="s">
        <v>3262</v>
      </c>
      <c r="DO870" s="3262" t="s">
        <v>3262</v>
      </c>
      <c r="DP870" s="3262" t="s">
        <v>3262</v>
      </c>
      <c r="DQ870" s="3262" t="s">
        <v>3262</v>
      </c>
      <c r="DR870" s="3262" t="s">
        <v>3262</v>
      </c>
      <c r="DS870" s="3262" t="s">
        <v>3262</v>
      </c>
      <c r="DT870" s="3262" t="s">
        <v>3262</v>
      </c>
      <c r="DU870" s="3262" t="s">
        <v>3262</v>
      </c>
      <c r="DV870" s="3262" t="s">
        <v>3262</v>
      </c>
      <c r="DW870" s="3262" t="s">
        <v>3262</v>
      </c>
      <c r="DX870" s="3262" t="s">
        <v>3262</v>
      </c>
      <c r="DY870" s="3262" t="s">
        <v>3262</v>
      </c>
      <c r="DZ870" s="3262" t="s">
        <v>3262</v>
      </c>
      <c r="EA870" s="3262" t="s">
        <v>3262</v>
      </c>
      <c r="EB870" s="3262" t="s">
        <v>3262</v>
      </c>
      <c r="EC870" s="3262" t="s">
        <v>3262</v>
      </c>
      <c r="ED870" s="3262" t="s">
        <v>3262</v>
      </c>
      <c r="EE870" s="3262" t="s">
        <v>3262</v>
      </c>
      <c r="EF870" s="3262" t="s">
        <v>3262</v>
      </c>
      <c r="EG870" s="3262" t="s">
        <v>3262</v>
      </c>
      <c r="EH870" s="3262" t="s">
        <v>3262</v>
      </c>
      <c r="EI870" s="3262" t="s">
        <v>3262</v>
      </c>
      <c r="EJ870" s="3262" t="s">
        <v>3262</v>
      </c>
      <c r="EK870" s="3262" t="s">
        <v>3262</v>
      </c>
      <c r="EL870" s="3262" t="s">
        <v>3262</v>
      </c>
      <c r="EM870" s="3262" t="s">
        <v>3262</v>
      </c>
      <c r="EN870" s="3262" t="s">
        <v>3262</v>
      </c>
      <c r="EO870" s="3262" t="s">
        <v>3262</v>
      </c>
      <c r="EP870" s="3262" t="s">
        <v>3262</v>
      </c>
      <c r="EQ870" s="3262" t="s">
        <v>3262</v>
      </c>
      <c r="ER870" s="3262" t="s">
        <v>3262</v>
      </c>
      <c r="ES870" s="3262" t="s">
        <v>3262</v>
      </c>
      <c r="ET870" s="3262" t="s">
        <v>3262</v>
      </c>
      <c r="EU870" s="3262" t="s">
        <v>3262</v>
      </c>
      <c r="EV870" s="3262" t="s">
        <v>3262</v>
      </c>
      <c r="EW870" s="3262" t="s">
        <v>3262</v>
      </c>
      <c r="EX870" s="3262" t="s">
        <v>3262</v>
      </c>
      <c r="EY870" s="3262" t="s">
        <v>3262</v>
      </c>
      <c r="EZ870" s="3262" t="s">
        <v>3262</v>
      </c>
      <c r="FA870" s="3262" t="s">
        <v>3262</v>
      </c>
      <c r="FB870" s="3262" t="s">
        <v>3262</v>
      </c>
      <c r="FC870" s="3262" t="s">
        <v>3262</v>
      </c>
      <c r="FD870" s="3262" t="s">
        <v>3262</v>
      </c>
      <c r="FE870" s="3262" t="s">
        <v>3262</v>
      </c>
      <c r="FF870" s="3262" t="s">
        <v>3262</v>
      </c>
      <c r="FG870" s="3262" t="s">
        <v>3262</v>
      </c>
      <c r="FH870" s="3262" t="s">
        <v>3262</v>
      </c>
      <c r="FI870" s="3262" t="s">
        <v>3262</v>
      </c>
      <c r="FJ870" s="3262" t="s">
        <v>3262</v>
      </c>
      <c r="FK870" s="3262" t="s">
        <v>3262</v>
      </c>
      <c r="FL870" s="3262" t="s">
        <v>3262</v>
      </c>
      <c r="FM870" s="3262" t="s">
        <v>3262</v>
      </c>
      <c r="FN870" s="3262" t="s">
        <v>3262</v>
      </c>
      <c r="FO870" s="3262" t="s">
        <v>3262</v>
      </c>
      <c r="FP870" s="3262" t="s">
        <v>3262</v>
      </c>
      <c r="FQ870" s="3262" t="s">
        <v>3262</v>
      </c>
      <c r="FR870" s="3262" t="s">
        <v>3262</v>
      </c>
      <c r="FS870" s="3262" t="s">
        <v>3262</v>
      </c>
      <c r="FT870" s="3262" t="s">
        <v>3262</v>
      </c>
      <c r="FU870" s="3262" t="s">
        <v>3262</v>
      </c>
      <c r="FV870" s="3262" t="s">
        <v>3262</v>
      </c>
      <c r="FW870" s="3262" t="s">
        <v>3262</v>
      </c>
      <c r="FX870" s="3262" t="s">
        <v>3262</v>
      </c>
      <c r="FY870" s="3262" t="s">
        <v>3262</v>
      </c>
      <c r="FZ870" s="3262" t="s">
        <v>3262</v>
      </c>
      <c r="GA870" s="3262" t="s">
        <v>3262</v>
      </c>
      <c r="GB870" s="3262" t="s">
        <v>3262</v>
      </c>
      <c r="GC870" s="3262" t="s">
        <v>3262</v>
      </c>
      <c r="GD870" s="3262" t="s">
        <v>3262</v>
      </c>
      <c r="GE870" s="3262" t="s">
        <v>3262</v>
      </c>
      <c r="GF870" s="3262" t="s">
        <v>3262</v>
      </c>
      <c r="GG870" s="3262" t="s">
        <v>3262</v>
      </c>
      <c r="GH870" s="3262" t="s">
        <v>3262</v>
      </c>
      <c r="GI870" s="3262" t="s">
        <v>3262</v>
      </c>
      <c r="GJ870" s="3262" t="s">
        <v>3262</v>
      </c>
      <c r="GK870" s="3262" t="s">
        <v>3262</v>
      </c>
      <c r="GL870" s="3262" t="s">
        <v>3262</v>
      </c>
      <c r="GM870" s="3262" t="s">
        <v>3262</v>
      </c>
      <c r="GN870" s="3262" t="s">
        <v>3262</v>
      </c>
      <c r="GO870" s="3262" t="s">
        <v>3262</v>
      </c>
      <c r="GP870" s="3262" t="s">
        <v>3262</v>
      </c>
      <c r="GQ870" s="3262" t="s">
        <v>3262</v>
      </c>
      <c r="GR870" s="3262" t="s">
        <v>3262</v>
      </c>
      <c r="GS870" s="3262" t="s">
        <v>3262</v>
      </c>
      <c r="GT870" s="3262" t="s">
        <v>3262</v>
      </c>
      <c r="GU870" s="3262" t="s">
        <v>3262</v>
      </c>
      <c r="GV870" s="3262" t="s">
        <v>3262</v>
      </c>
      <c r="GW870" s="3262" t="s">
        <v>3262</v>
      </c>
      <c r="GX870" s="3262" t="s">
        <v>3262</v>
      </c>
      <c r="GY870" s="3262" t="s">
        <v>3262</v>
      </c>
      <c r="GZ870" s="3262" t="s">
        <v>3262</v>
      </c>
      <c r="HA870" s="3262" t="s">
        <v>3262</v>
      </c>
      <c r="HB870" s="3262" t="s">
        <v>3262</v>
      </c>
      <c r="HC870" s="3262" t="s">
        <v>3262</v>
      </c>
      <c r="HD870" s="3262" t="s">
        <v>3262</v>
      </c>
      <c r="HE870" s="3262" t="s">
        <v>3262</v>
      </c>
      <c r="HF870" s="3262" t="s">
        <v>3262</v>
      </c>
      <c r="HG870" s="3262" t="s">
        <v>3262</v>
      </c>
      <c r="HH870" s="3262" t="s">
        <v>3262</v>
      </c>
      <c r="HI870" s="3262" t="s">
        <v>3262</v>
      </c>
      <c r="HJ870" s="3262" t="s">
        <v>3262</v>
      </c>
      <c r="HK870" s="3262" t="s">
        <v>3262</v>
      </c>
      <c r="HL870" s="3262" t="s">
        <v>3262</v>
      </c>
      <c r="HM870" s="3262" t="s">
        <v>3262</v>
      </c>
      <c r="HN870" s="3262" t="s">
        <v>3262</v>
      </c>
      <c r="HO870" s="3262" t="s">
        <v>3262</v>
      </c>
      <c r="HP870" s="3262" t="s">
        <v>3262</v>
      </c>
      <c r="HQ870" s="3262" t="s">
        <v>3262</v>
      </c>
      <c r="HR870" s="3262" t="s">
        <v>3262</v>
      </c>
      <c r="HS870" s="3262" t="s">
        <v>3262</v>
      </c>
      <c r="HT870" s="3262" t="s">
        <v>3262</v>
      </c>
      <c r="HU870" s="3262" t="s">
        <v>3262</v>
      </c>
      <c r="HV870" s="3262" t="s">
        <v>3262</v>
      </c>
      <c r="HW870" s="3262" t="s">
        <v>3262</v>
      </c>
      <c r="HX870" s="3262" t="s">
        <v>3262</v>
      </c>
      <c r="HY870" s="3262" t="s">
        <v>3262</v>
      </c>
      <c r="HZ870" s="3262" t="s">
        <v>3262</v>
      </c>
      <c r="IA870" s="3262" t="s">
        <v>3262</v>
      </c>
      <c r="IB870" s="3262" t="s">
        <v>3262</v>
      </c>
      <c r="IC870" s="3262" t="s">
        <v>3262</v>
      </c>
      <c r="ID870" s="3262" t="s">
        <v>3262</v>
      </c>
      <c r="IE870" s="3262" t="s">
        <v>3262</v>
      </c>
      <c r="IF870" s="3262" t="s">
        <v>3262</v>
      </c>
      <c r="IG870" s="3262" t="s">
        <v>3262</v>
      </c>
      <c r="IH870" s="3262" t="s">
        <v>3262</v>
      </c>
      <c r="II870" s="3262" t="s">
        <v>3262</v>
      </c>
      <c r="IJ870" s="3262" t="s">
        <v>3262</v>
      </c>
      <c r="IK870" s="3262" t="s">
        <v>3262</v>
      </c>
      <c r="IL870" s="3262" t="s">
        <v>3262</v>
      </c>
      <c r="IM870" s="3262" t="s">
        <v>3262</v>
      </c>
      <c r="IN870" s="3262" t="s">
        <v>3262</v>
      </c>
      <c r="IO870" s="3262" t="s">
        <v>3262</v>
      </c>
    </row>
    <row r="871" spans="1:249" hidden="1">
      <c r="A871" s="3267" t="s">
        <v>9081</v>
      </c>
      <c r="B871" s="3267" t="s">
        <v>9082</v>
      </c>
      <c r="C871" s="3269" t="s">
        <v>9083</v>
      </c>
      <c r="D871" s="3267">
        <v>13681466266</v>
      </c>
      <c r="E871" s="3267" t="s">
        <v>2985</v>
      </c>
      <c r="F871" s="3267" t="s">
        <v>9084</v>
      </c>
      <c r="G871" s="3267"/>
      <c r="H871" s="3267"/>
      <c r="I871" s="3267"/>
      <c r="J871" s="3267" t="s">
        <v>5616</v>
      </c>
      <c r="K871" s="3268" t="s">
        <v>9085</v>
      </c>
      <c r="L871" s="3267">
        <v>129.09</v>
      </c>
      <c r="M871" s="3267">
        <v>8</v>
      </c>
      <c r="N871" s="3267" t="s">
        <v>3125</v>
      </c>
      <c r="O871" s="3267"/>
      <c r="P871" s="3267" t="s">
        <v>2963</v>
      </c>
      <c r="Q871" s="3267">
        <v>600000</v>
      </c>
      <c r="R871" s="3267">
        <v>4648</v>
      </c>
      <c r="S871" s="3272">
        <v>60.43</v>
      </c>
      <c r="T871" s="3273">
        <v>604300</v>
      </c>
      <c r="U871" s="3267">
        <v>4682</v>
      </c>
      <c r="V871" s="3274">
        <v>0.3</v>
      </c>
      <c r="W871" s="3272">
        <v>42.3</v>
      </c>
      <c r="X871" s="3275">
        <v>423000</v>
      </c>
      <c r="Y871" s="3267">
        <v>2006</v>
      </c>
      <c r="Z871" s="3267">
        <v>12</v>
      </c>
      <c r="AA871" s="3276">
        <v>5</v>
      </c>
      <c r="AB871" s="3267">
        <v>1500</v>
      </c>
      <c r="AC871" s="3267" t="s">
        <v>2980</v>
      </c>
      <c r="AD871" s="3269" t="s">
        <v>9086</v>
      </c>
      <c r="AE871" s="3267" t="s">
        <v>3069</v>
      </c>
      <c r="AF871" s="3267" t="s">
        <v>2966</v>
      </c>
      <c r="AG871" s="3267" t="s">
        <v>2967</v>
      </c>
      <c r="AH871" s="3267"/>
      <c r="AI871" s="3267" t="s">
        <v>2992</v>
      </c>
      <c r="AJ871" s="3284"/>
      <c r="AK871" s="3267" t="s">
        <v>3120</v>
      </c>
      <c r="AL871" s="3267" t="s">
        <v>6097</v>
      </c>
      <c r="AM871" s="3267"/>
      <c r="AN871" s="3267" t="s">
        <v>3140</v>
      </c>
      <c r="AO871" s="3267"/>
      <c r="AP871" s="3267" t="s">
        <v>3069</v>
      </c>
      <c r="AQ871" s="3267" t="s">
        <v>3228</v>
      </c>
      <c r="AR871" s="3267">
        <v>2006</v>
      </c>
      <c r="AS871" s="3267">
        <v>12</v>
      </c>
      <c r="AT871" s="3267">
        <v>5</v>
      </c>
      <c r="AU871" s="3267"/>
      <c r="AV871" s="3267"/>
      <c r="AW871" s="3267" t="s">
        <v>3171</v>
      </c>
      <c r="AX871" s="3267"/>
      <c r="AY871" s="3269"/>
      <c r="AZ871" s="3268" t="s">
        <v>9085</v>
      </c>
      <c r="BA871" s="3267"/>
      <c r="BB871" s="3267"/>
      <c r="BC871" s="3267"/>
      <c r="BD871" s="3267"/>
      <c r="BE871" s="3267"/>
      <c r="BF871" s="3267"/>
      <c r="BG871" s="3307">
        <v>39030</v>
      </c>
      <c r="BH871" s="3267"/>
      <c r="BI871" s="3267" t="s">
        <v>3069</v>
      </c>
      <c r="BJ871" s="3307">
        <v>39034</v>
      </c>
      <c r="BK871" s="3283"/>
      <c r="BL871" s="3267" t="s">
        <v>2998</v>
      </c>
      <c r="BM871" s="3267" t="s">
        <v>2879</v>
      </c>
      <c r="BN871" s="3267" t="s">
        <v>2999</v>
      </c>
      <c r="BO871" s="3267" t="s">
        <v>3000</v>
      </c>
      <c r="BP871" s="3267"/>
      <c r="BQ871" s="3276" t="e">
        <v>#DIV/0!</v>
      </c>
      <c r="BR871" s="3276" t="e">
        <v>#DIV/0!</v>
      </c>
      <c r="BS871" s="3285"/>
      <c r="BT871" s="3285"/>
      <c r="BU871" s="3285"/>
    </row>
    <row r="872" spans="1:249" hidden="1">
      <c r="A872" s="3267" t="s">
        <v>9087</v>
      </c>
      <c r="B872" s="3267" t="s">
        <v>9088</v>
      </c>
      <c r="C872" s="3269" t="s">
        <v>9089</v>
      </c>
      <c r="D872" s="3267">
        <v>13811645619</v>
      </c>
      <c r="E872" s="3267" t="s">
        <v>2985</v>
      </c>
      <c r="F872" s="3267" t="s">
        <v>9090</v>
      </c>
      <c r="G872" s="3267"/>
      <c r="H872" s="3267"/>
      <c r="I872" s="3267"/>
      <c r="J872" s="3267" t="s">
        <v>9091</v>
      </c>
      <c r="K872" s="3268" t="s">
        <v>9092</v>
      </c>
      <c r="L872" s="3267">
        <v>74.72</v>
      </c>
      <c r="M872" s="3267">
        <v>3</v>
      </c>
      <c r="N872" s="3267" t="s">
        <v>3122</v>
      </c>
      <c r="O872" s="3267"/>
      <c r="P872" s="3267" t="s">
        <v>2963</v>
      </c>
      <c r="Q872" s="3267">
        <v>650000</v>
      </c>
      <c r="R872" s="3267">
        <v>8699</v>
      </c>
      <c r="S872" s="3272">
        <v>53.39</v>
      </c>
      <c r="T872" s="3273">
        <v>533900</v>
      </c>
      <c r="U872" s="3267">
        <v>7146</v>
      </c>
      <c r="V872" s="3274">
        <v>0.2</v>
      </c>
      <c r="W872" s="3272">
        <v>42.71</v>
      </c>
      <c r="X872" s="3275">
        <v>427100</v>
      </c>
      <c r="Y872" s="3267">
        <v>2006</v>
      </c>
      <c r="Z872" s="3267">
        <v>11</v>
      </c>
      <c r="AA872" s="3276">
        <v>29</v>
      </c>
      <c r="AB872" s="3267">
        <v>1500</v>
      </c>
      <c r="AC872" s="3267" t="s">
        <v>2980</v>
      </c>
      <c r="AD872" s="3269" t="s">
        <v>9093</v>
      </c>
      <c r="AE872" s="3267" t="s">
        <v>3069</v>
      </c>
      <c r="AF872" s="3267" t="s">
        <v>2966</v>
      </c>
      <c r="AG872" s="3267" t="s">
        <v>2967</v>
      </c>
      <c r="AH872" s="3267"/>
      <c r="AI872" s="3267" t="s">
        <v>2992</v>
      </c>
      <c r="AJ872" s="3284"/>
      <c r="AK872" s="3267" t="s">
        <v>3137</v>
      </c>
      <c r="AL872" s="3267" t="s">
        <v>9094</v>
      </c>
      <c r="AM872" s="3267"/>
      <c r="AN872" s="3267" t="s">
        <v>3099</v>
      </c>
      <c r="AO872" s="3267"/>
      <c r="AP872" s="3267" t="s">
        <v>3069</v>
      </c>
      <c r="AQ872" s="3276" t="s">
        <v>3113</v>
      </c>
      <c r="AR872" s="3267">
        <v>2006</v>
      </c>
      <c r="AS872" s="3267">
        <v>11</v>
      </c>
      <c r="AT872" s="3267">
        <v>29</v>
      </c>
      <c r="AU872" s="3267"/>
      <c r="AV872" s="3267"/>
      <c r="AW872" s="3267" t="s">
        <v>3171</v>
      </c>
      <c r="AX872" s="3267"/>
      <c r="AY872" s="3269"/>
      <c r="AZ872" s="3268" t="s">
        <v>9092</v>
      </c>
      <c r="BA872" s="3267"/>
      <c r="BB872" s="3267"/>
      <c r="BC872" s="3267"/>
      <c r="BD872" s="3267"/>
      <c r="BE872" s="3267"/>
      <c r="BF872" s="3267"/>
      <c r="BG872" s="3307">
        <v>39030</v>
      </c>
      <c r="BH872" s="3267"/>
      <c r="BI872" s="3267" t="s">
        <v>3069</v>
      </c>
      <c r="BJ872" s="3307">
        <v>39035</v>
      </c>
      <c r="BK872" s="3283"/>
      <c r="BL872" s="3267" t="s">
        <v>2998</v>
      </c>
      <c r="BM872" s="3267" t="s">
        <v>2879</v>
      </c>
      <c r="BN872" s="3267" t="s">
        <v>2999</v>
      </c>
      <c r="BO872" s="3267" t="s">
        <v>3000</v>
      </c>
      <c r="BP872" s="3267"/>
      <c r="BQ872" s="3276" t="e">
        <v>#DIV/0!</v>
      </c>
      <c r="BR872" s="3276" t="e">
        <v>#DIV/0!</v>
      </c>
      <c r="BS872" s="3285"/>
      <c r="BT872" s="3285"/>
      <c r="BU872" s="3285"/>
    </row>
    <row r="873" spans="1:249" hidden="1">
      <c r="A873" s="3267" t="s">
        <v>9095</v>
      </c>
      <c r="B873" s="3267" t="s">
        <v>9096</v>
      </c>
      <c r="C873" s="3269" t="s">
        <v>9097</v>
      </c>
      <c r="D873" s="3269" t="s">
        <v>9098</v>
      </c>
      <c r="E873" s="3268" t="s">
        <v>2985</v>
      </c>
      <c r="F873" s="3268" t="s">
        <v>9099</v>
      </c>
      <c r="G873" s="3267"/>
      <c r="H873" s="3267" t="s">
        <v>3806</v>
      </c>
      <c r="I873" s="3268" t="s">
        <v>3318</v>
      </c>
      <c r="J873" s="3267" t="s">
        <v>3512</v>
      </c>
      <c r="K873" s="3267" t="s">
        <v>9100</v>
      </c>
      <c r="L873" s="3267">
        <v>97.92</v>
      </c>
      <c r="M873" s="3269">
        <v>5</v>
      </c>
      <c r="N873" s="3267" t="s">
        <v>3125</v>
      </c>
      <c r="O873" s="3267"/>
      <c r="P873" s="3267" t="s">
        <v>2963</v>
      </c>
      <c r="Q873" s="3271">
        <v>800000</v>
      </c>
      <c r="R873" s="3267">
        <v>8170</v>
      </c>
      <c r="S873" s="3272">
        <v>66.38</v>
      </c>
      <c r="T873" s="3273">
        <v>663800</v>
      </c>
      <c r="U873" s="3267">
        <v>6780</v>
      </c>
      <c r="V873" s="3289">
        <v>0.3</v>
      </c>
      <c r="W873" s="3272">
        <v>46.46</v>
      </c>
      <c r="X873" s="3275">
        <v>464600</v>
      </c>
      <c r="Y873" s="3276">
        <v>2006</v>
      </c>
      <c r="Z873" s="3276">
        <v>11</v>
      </c>
      <c r="AA873" s="3276">
        <v>21</v>
      </c>
      <c r="AB873" s="3267">
        <v>1500</v>
      </c>
      <c r="AC873" s="3267" t="s">
        <v>2980</v>
      </c>
      <c r="AD873" s="3269" t="s">
        <v>9101</v>
      </c>
      <c r="AE873" s="3279" t="s">
        <v>3245</v>
      </c>
      <c r="AF873" s="3268" t="s">
        <v>2966</v>
      </c>
      <c r="AG873" s="3279" t="s">
        <v>2967</v>
      </c>
      <c r="AH873" s="3267"/>
      <c r="AI873" s="3279" t="s">
        <v>2992</v>
      </c>
      <c r="AJ873" s="3284"/>
      <c r="AK873" s="3278" t="s">
        <v>3137</v>
      </c>
      <c r="AL873" s="3276">
        <v>41</v>
      </c>
      <c r="AM873" s="3276"/>
      <c r="AN873" s="3279" t="s">
        <v>2994</v>
      </c>
      <c r="AO873" s="3267"/>
      <c r="AP873" s="3279" t="s">
        <v>3305</v>
      </c>
      <c r="AQ873" s="3276" t="s">
        <v>2996</v>
      </c>
      <c r="AR873" s="3276"/>
      <c r="AS873" s="3276"/>
      <c r="AT873" s="3276"/>
      <c r="AU873" s="3276"/>
      <c r="AV873" s="3276" t="s">
        <v>2968</v>
      </c>
      <c r="AW873" s="3276" t="s">
        <v>3171</v>
      </c>
      <c r="AX873" s="3276"/>
      <c r="AY873" s="3267"/>
      <c r="AZ873" s="3267" t="s">
        <v>9100</v>
      </c>
      <c r="BA873" s="3267"/>
      <c r="BB873" s="3377"/>
      <c r="BC873" s="3296"/>
      <c r="BD873" s="3298"/>
      <c r="BE873" s="3276" t="s">
        <v>9102</v>
      </c>
      <c r="BF873" s="3281" t="s">
        <v>2968</v>
      </c>
      <c r="BG873" s="3293">
        <v>39022</v>
      </c>
      <c r="BH873" s="3267" t="s">
        <v>2998</v>
      </c>
      <c r="BI873" s="3314" t="s">
        <v>3305</v>
      </c>
      <c r="BJ873" s="3283">
        <v>39035</v>
      </c>
      <c r="BK873" s="3283"/>
      <c r="BL873" s="3267" t="s">
        <v>3249</v>
      </c>
      <c r="BM873" s="3276" t="s">
        <v>2879</v>
      </c>
      <c r="BN873" s="3276" t="s">
        <v>3111</v>
      </c>
      <c r="BO873" s="3276" t="s">
        <v>3146</v>
      </c>
      <c r="BP873" s="3276"/>
      <c r="BQ873" s="3276" t="e">
        <v>#DIV/0!</v>
      </c>
      <c r="BR873" s="3276" t="e">
        <v>#DIV/0!</v>
      </c>
      <c r="BS873" s="3285"/>
      <c r="BT873" s="3285"/>
      <c r="BU873" s="3285"/>
    </row>
    <row r="874" spans="1:249" hidden="1">
      <c r="A874" s="3267" t="s">
        <v>9103</v>
      </c>
      <c r="B874" s="3267" t="s">
        <v>9104</v>
      </c>
      <c r="C874" s="3269" t="s">
        <v>9105</v>
      </c>
      <c r="D874" s="3267">
        <v>13718101016</v>
      </c>
      <c r="E874" s="3267" t="s">
        <v>2985</v>
      </c>
      <c r="F874" s="3267" t="s">
        <v>9106</v>
      </c>
      <c r="G874" s="3267"/>
      <c r="H874" s="3267"/>
      <c r="I874" s="3267"/>
      <c r="J874" s="3267" t="s">
        <v>9107</v>
      </c>
      <c r="K874" s="3268" t="s">
        <v>9108</v>
      </c>
      <c r="L874" s="3267">
        <v>80.400000000000006</v>
      </c>
      <c r="M874" s="3267">
        <v>4</v>
      </c>
      <c r="N874" s="3267" t="s">
        <v>3125</v>
      </c>
      <c r="O874" s="3267"/>
      <c r="P874" s="3267" t="s">
        <v>2963</v>
      </c>
      <c r="Q874" s="3267">
        <v>402000</v>
      </c>
      <c r="R874" s="3267">
        <v>5000</v>
      </c>
      <c r="S874" s="3272">
        <v>38.44</v>
      </c>
      <c r="T874" s="3273">
        <v>384400</v>
      </c>
      <c r="U874" s="3267">
        <v>4782</v>
      </c>
      <c r="V874" s="3274">
        <v>0.2</v>
      </c>
      <c r="W874" s="3272">
        <v>30.75</v>
      </c>
      <c r="X874" s="3275">
        <v>307500</v>
      </c>
      <c r="Y874" s="3267">
        <v>2006</v>
      </c>
      <c r="Z874" s="3267">
        <v>12</v>
      </c>
      <c r="AA874" s="3276">
        <v>1</v>
      </c>
      <c r="AB874" s="3267">
        <v>1150</v>
      </c>
      <c r="AC874" s="3267" t="s">
        <v>2980</v>
      </c>
      <c r="AD874" s="3269" t="s">
        <v>9109</v>
      </c>
      <c r="AE874" s="3267" t="s">
        <v>3069</v>
      </c>
      <c r="AF874" s="3267" t="s">
        <v>2966</v>
      </c>
      <c r="AG874" s="3267" t="s">
        <v>2967</v>
      </c>
      <c r="AH874" s="3267"/>
      <c r="AI874" s="3267" t="s">
        <v>2992</v>
      </c>
      <c r="AJ874" s="3284"/>
      <c r="AK874" s="3267" t="s">
        <v>3120</v>
      </c>
      <c r="AL874" s="3267" t="s">
        <v>7678</v>
      </c>
      <c r="AM874" s="3267"/>
      <c r="AN874" s="3267" t="s">
        <v>3131</v>
      </c>
      <c r="AO874" s="3267"/>
      <c r="AP874" s="3267" t="s">
        <v>3069</v>
      </c>
      <c r="AQ874" s="3267" t="s">
        <v>3228</v>
      </c>
      <c r="AR874" s="3267">
        <v>2006</v>
      </c>
      <c r="AS874" s="3267">
        <v>12</v>
      </c>
      <c r="AT874" s="3267">
        <v>1</v>
      </c>
      <c r="AU874" s="3267"/>
      <c r="AV874" s="3267"/>
      <c r="AW874" s="3267" t="s">
        <v>3112</v>
      </c>
      <c r="AX874" s="3267"/>
      <c r="AY874" s="3269"/>
      <c r="AZ874" s="3268" t="s">
        <v>9108</v>
      </c>
      <c r="BA874" s="3267"/>
      <c r="BB874" s="3267"/>
      <c r="BC874" s="3267"/>
      <c r="BD874" s="3267"/>
      <c r="BE874" s="3267"/>
      <c r="BF874" s="3267"/>
      <c r="BG874" s="3307">
        <v>39015</v>
      </c>
      <c r="BH874" s="3267"/>
      <c r="BI874" s="3267" t="s">
        <v>3069</v>
      </c>
      <c r="BJ874" s="3307">
        <v>39035</v>
      </c>
      <c r="BK874" s="3283"/>
      <c r="BL874" s="3267" t="s">
        <v>2998</v>
      </c>
      <c r="BM874" s="3267" t="s">
        <v>2879</v>
      </c>
      <c r="BN874" s="3267" t="s">
        <v>2999</v>
      </c>
      <c r="BO874" s="3267" t="s">
        <v>3000</v>
      </c>
      <c r="BP874" s="3267"/>
      <c r="BQ874" s="3276" t="e">
        <v>#DIV/0!</v>
      </c>
      <c r="BR874" s="3276" t="e">
        <v>#DIV/0!</v>
      </c>
      <c r="BS874" s="3285"/>
      <c r="BT874" s="3285"/>
      <c r="BU874" s="3285"/>
    </row>
    <row r="875" spans="1:249" hidden="1">
      <c r="A875" s="3267" t="s">
        <v>9110</v>
      </c>
      <c r="B875" s="3267" t="s">
        <v>9111</v>
      </c>
      <c r="C875" s="3269" t="s">
        <v>9112</v>
      </c>
      <c r="D875" s="3267">
        <v>13021161634</v>
      </c>
      <c r="E875" s="3267" t="s">
        <v>2985</v>
      </c>
      <c r="F875" s="3267" t="s">
        <v>9113</v>
      </c>
      <c r="G875" s="3267"/>
      <c r="H875" s="3267"/>
      <c r="I875" s="3267"/>
      <c r="J875" s="3267" t="s">
        <v>9114</v>
      </c>
      <c r="K875" s="3268" t="s">
        <v>9115</v>
      </c>
      <c r="L875" s="3267">
        <v>92.72</v>
      </c>
      <c r="M875" s="3267">
        <v>6</v>
      </c>
      <c r="N875" s="3267" t="s">
        <v>3122</v>
      </c>
      <c r="O875" s="3267"/>
      <c r="P875" s="3267" t="s">
        <v>2963</v>
      </c>
      <c r="Q875" s="3267">
        <v>865000</v>
      </c>
      <c r="R875" s="3267">
        <v>9329</v>
      </c>
      <c r="S875" s="3272">
        <v>65.67</v>
      </c>
      <c r="T875" s="3273">
        <v>656700</v>
      </c>
      <c r="U875" s="3267">
        <v>7083</v>
      </c>
      <c r="V875" s="3274">
        <v>0.3</v>
      </c>
      <c r="W875" s="3272">
        <v>45.96</v>
      </c>
      <c r="X875" s="3275">
        <v>459600</v>
      </c>
      <c r="Y875" s="3267">
        <v>2006</v>
      </c>
      <c r="Z875" s="3276">
        <v>11</v>
      </c>
      <c r="AA875" s="3276">
        <v>28</v>
      </c>
      <c r="AB875" s="3267">
        <v>1500</v>
      </c>
      <c r="AC875" s="3267" t="s">
        <v>2980</v>
      </c>
      <c r="AD875" s="3269" t="s">
        <v>9116</v>
      </c>
      <c r="AE875" s="3276" t="s">
        <v>3304</v>
      </c>
      <c r="AF875" s="3267" t="s">
        <v>2966</v>
      </c>
      <c r="AG875" s="3279" t="s">
        <v>2967</v>
      </c>
      <c r="AH875" s="3267"/>
      <c r="AI875" s="3267" t="s">
        <v>2992</v>
      </c>
      <c r="AJ875" s="3284"/>
      <c r="AK875" s="3267" t="s">
        <v>3137</v>
      </c>
      <c r="AL875" s="3267">
        <v>57</v>
      </c>
      <c r="AM875" s="3267" t="s">
        <v>9117</v>
      </c>
      <c r="AN875" s="3279" t="s">
        <v>3099</v>
      </c>
      <c r="AO875" s="3267"/>
      <c r="AP875" s="3276" t="s">
        <v>4532</v>
      </c>
      <c r="AQ875" s="3276" t="s">
        <v>3113</v>
      </c>
      <c r="AR875" s="3267">
        <v>2006</v>
      </c>
      <c r="AS875" s="3267">
        <v>11</v>
      </c>
      <c r="AT875" s="3267">
        <v>28</v>
      </c>
      <c r="AU875" s="3267"/>
      <c r="AV875" s="3267"/>
      <c r="AW875" s="3267" t="s">
        <v>3171</v>
      </c>
      <c r="AX875" s="3267"/>
      <c r="AY875" s="3269"/>
      <c r="AZ875" s="3268" t="s">
        <v>9115</v>
      </c>
      <c r="BA875" s="3267"/>
      <c r="BB875" s="3267"/>
      <c r="BC875" s="3267"/>
      <c r="BD875" s="3267"/>
      <c r="BE875" s="3267"/>
      <c r="BF875" s="3267"/>
      <c r="BG875" s="3307">
        <v>39035</v>
      </c>
      <c r="BH875" s="3267"/>
      <c r="BI875" s="3267" t="s">
        <v>4532</v>
      </c>
      <c r="BJ875" s="3307">
        <v>39035</v>
      </c>
      <c r="BK875" s="3283"/>
      <c r="BL875" s="3267" t="s">
        <v>2998</v>
      </c>
      <c r="BM875" s="3267" t="s">
        <v>2879</v>
      </c>
      <c r="BN875" s="3267" t="s">
        <v>2999</v>
      </c>
      <c r="BO875" s="3267" t="s">
        <v>3000</v>
      </c>
      <c r="BP875" s="3267"/>
      <c r="BQ875" s="3276" t="e">
        <v>#DIV/0!</v>
      </c>
      <c r="BR875" s="3276" t="e">
        <v>#DIV/0!</v>
      </c>
      <c r="BS875" s="3285"/>
      <c r="BT875" s="3285"/>
      <c r="BU875" s="3285"/>
    </row>
    <row r="876" spans="1:249" hidden="1">
      <c r="A876" s="3267" t="s">
        <v>9118</v>
      </c>
      <c r="B876" s="3267" t="s">
        <v>9119</v>
      </c>
      <c r="C876" s="3269" t="s">
        <v>9120</v>
      </c>
      <c r="D876" s="3269" t="s">
        <v>9121</v>
      </c>
      <c r="E876" s="3268" t="s">
        <v>2985</v>
      </c>
      <c r="F876" s="3268" t="s">
        <v>5363</v>
      </c>
      <c r="G876" s="3267"/>
      <c r="H876" s="3267" t="s">
        <v>3130</v>
      </c>
      <c r="I876" s="3268"/>
      <c r="J876" s="3267" t="s">
        <v>9122</v>
      </c>
      <c r="K876" s="3267" t="s">
        <v>9123</v>
      </c>
      <c r="L876" s="3267">
        <v>51.27</v>
      </c>
      <c r="M876" s="3267">
        <v>9</v>
      </c>
      <c r="N876" s="3267" t="s">
        <v>3122</v>
      </c>
      <c r="O876" s="3267"/>
      <c r="P876" s="3267" t="s">
        <v>2963</v>
      </c>
      <c r="Q876" s="3271">
        <v>460000</v>
      </c>
      <c r="R876" s="3267">
        <v>8972</v>
      </c>
      <c r="S876" s="3272">
        <v>40.31</v>
      </c>
      <c r="T876" s="3273">
        <v>403100</v>
      </c>
      <c r="U876" s="3267">
        <v>7864</v>
      </c>
      <c r="V876" s="3289">
        <v>0.2</v>
      </c>
      <c r="W876" s="3272">
        <v>32.24</v>
      </c>
      <c r="X876" s="3275">
        <v>322400</v>
      </c>
      <c r="Y876" s="3276">
        <v>2006</v>
      </c>
      <c r="Z876" s="3276">
        <v>11</v>
      </c>
      <c r="AA876" s="3276">
        <v>30</v>
      </c>
      <c r="AB876" s="3267">
        <v>1205</v>
      </c>
      <c r="AC876" s="3267" t="s">
        <v>2980</v>
      </c>
      <c r="AD876" s="3269" t="s">
        <v>9124</v>
      </c>
      <c r="AE876" s="3276" t="s">
        <v>3344</v>
      </c>
      <c r="AF876" s="3267" t="s">
        <v>2966</v>
      </c>
      <c r="AG876" s="3279" t="s">
        <v>2967</v>
      </c>
      <c r="AH876" s="3267"/>
      <c r="AI876" s="3279" t="s">
        <v>2992</v>
      </c>
      <c r="AJ876" s="3284"/>
      <c r="AK876" s="3278" t="s">
        <v>3137</v>
      </c>
      <c r="AL876" s="3276">
        <v>34</v>
      </c>
      <c r="AM876" s="3267"/>
      <c r="AN876" s="3279" t="s">
        <v>2994</v>
      </c>
      <c r="AO876" s="3267"/>
      <c r="AP876" s="3276" t="s">
        <v>5706</v>
      </c>
      <c r="AQ876" s="3276" t="s">
        <v>3113</v>
      </c>
      <c r="AR876" s="3276"/>
      <c r="AS876" s="3276"/>
      <c r="AT876" s="3276"/>
      <c r="AU876" s="3276"/>
      <c r="AV876" s="3276" t="s">
        <v>2968</v>
      </c>
      <c r="AW876" s="3276" t="s">
        <v>3171</v>
      </c>
      <c r="AX876" s="3276"/>
      <c r="AY876" s="3291"/>
      <c r="AZ876" s="3267" t="s">
        <v>9123</v>
      </c>
      <c r="BA876" s="3296"/>
      <c r="BB876" s="3297"/>
      <c r="BC876" s="3296"/>
      <c r="BD876" s="3298"/>
      <c r="BE876" s="3276">
        <v>13651027309</v>
      </c>
      <c r="BF876" s="3281" t="s">
        <v>2968</v>
      </c>
      <c r="BG876" s="3293">
        <v>39034</v>
      </c>
      <c r="BH876" s="3267"/>
      <c r="BI876" s="3267" t="s">
        <v>5706</v>
      </c>
      <c r="BJ876" s="3283">
        <v>39035</v>
      </c>
      <c r="BK876" s="3283"/>
      <c r="BL876" s="3267" t="s">
        <v>2998</v>
      </c>
      <c r="BM876" s="3276" t="s">
        <v>2879</v>
      </c>
      <c r="BN876" s="3276" t="s">
        <v>2999</v>
      </c>
      <c r="BO876" s="3276" t="s">
        <v>3146</v>
      </c>
      <c r="BP876" s="3276"/>
      <c r="BQ876" s="3276" t="e">
        <v>#DIV/0!</v>
      </c>
      <c r="BR876" s="3276" t="e">
        <v>#DIV/0!</v>
      </c>
      <c r="BS876" s="3285"/>
      <c r="BT876" s="3285"/>
      <c r="BU876" s="3285"/>
    </row>
    <row r="877" spans="1:249" hidden="1">
      <c r="A877" s="3267" t="s">
        <v>9125</v>
      </c>
      <c r="B877" s="3267" t="s">
        <v>9126</v>
      </c>
      <c r="C877" s="3269" t="s">
        <v>9127</v>
      </c>
      <c r="D877" s="3267">
        <v>13718379956</v>
      </c>
      <c r="E877" s="3267" t="s">
        <v>2985</v>
      </c>
      <c r="F877" s="3267" t="s">
        <v>9128</v>
      </c>
      <c r="G877" s="3267"/>
      <c r="H877" s="3267"/>
      <c r="I877" s="3267"/>
      <c r="J877" s="3267"/>
      <c r="K877" s="3268" t="s">
        <v>9129</v>
      </c>
      <c r="L877" s="3267">
        <v>103.96</v>
      </c>
      <c r="M877" s="3267">
        <v>17</v>
      </c>
      <c r="N877" s="3267" t="s">
        <v>3122</v>
      </c>
      <c r="O877" s="3267"/>
      <c r="P877" s="3267" t="s">
        <v>2963</v>
      </c>
      <c r="Q877" s="3267">
        <v>350000</v>
      </c>
      <c r="R877" s="3267">
        <v>3367</v>
      </c>
      <c r="S877" s="3272">
        <v>35</v>
      </c>
      <c r="T877" s="3273">
        <v>350000</v>
      </c>
      <c r="U877" s="3267">
        <v>3367</v>
      </c>
      <c r="V877" s="3274">
        <v>0.3</v>
      </c>
      <c r="W877" s="3272">
        <v>24.5</v>
      </c>
      <c r="X877" s="3275">
        <v>245000</v>
      </c>
      <c r="Y877" s="3267">
        <v>2006</v>
      </c>
      <c r="Z877" s="3267">
        <v>11</v>
      </c>
      <c r="AA877" s="3276">
        <v>28</v>
      </c>
      <c r="AB877" s="3267">
        <v>1050</v>
      </c>
      <c r="AC877" s="3267" t="s">
        <v>2980</v>
      </c>
      <c r="AD877" s="3269" t="s">
        <v>9130</v>
      </c>
      <c r="AE877" s="3267" t="s">
        <v>3069</v>
      </c>
      <c r="AF877" s="3267" t="s">
        <v>2966</v>
      </c>
      <c r="AG877" s="3267" t="s">
        <v>8060</v>
      </c>
      <c r="AH877" s="3267"/>
      <c r="AI877" s="3267" t="s">
        <v>2992</v>
      </c>
      <c r="AJ877" s="3284"/>
      <c r="AK877" s="3267" t="s">
        <v>3137</v>
      </c>
      <c r="AL877" s="3267" t="s">
        <v>5786</v>
      </c>
      <c r="AM877" s="3267"/>
      <c r="AN877" s="3267" t="s">
        <v>3099</v>
      </c>
      <c r="AO877" s="3267"/>
      <c r="AP877" s="3267" t="s">
        <v>3069</v>
      </c>
      <c r="AQ877" s="3276" t="s">
        <v>3113</v>
      </c>
      <c r="AR877" s="3267">
        <v>2006</v>
      </c>
      <c r="AS877" s="3267">
        <v>11</v>
      </c>
      <c r="AT877" s="3267">
        <v>28</v>
      </c>
      <c r="AU877" s="3267"/>
      <c r="AV877" s="3267"/>
      <c r="AW877" s="3267" t="s">
        <v>3171</v>
      </c>
      <c r="AX877" s="3267"/>
      <c r="AY877" s="3269"/>
      <c r="AZ877" s="3268" t="s">
        <v>9129</v>
      </c>
      <c r="BA877" s="3267"/>
      <c r="BB877" s="3267"/>
      <c r="BC877" s="3267"/>
      <c r="BD877" s="3267"/>
      <c r="BE877" s="3267"/>
      <c r="BF877" s="3267"/>
      <c r="BG877" s="3307">
        <v>39028</v>
      </c>
      <c r="BH877" s="3267"/>
      <c r="BI877" s="3267" t="s">
        <v>3069</v>
      </c>
      <c r="BJ877" s="3307">
        <v>39035</v>
      </c>
      <c r="BK877" s="3283"/>
      <c r="BL877" s="3267" t="s">
        <v>2998</v>
      </c>
      <c r="BM877" s="3267" t="s">
        <v>2879</v>
      </c>
      <c r="BN877" s="3267" t="s">
        <v>2999</v>
      </c>
      <c r="BO877" s="3267" t="s">
        <v>3000</v>
      </c>
      <c r="BP877" s="3267"/>
      <c r="BQ877" s="3276" t="e">
        <v>#DIV/0!</v>
      </c>
      <c r="BR877" s="3276" t="e">
        <v>#DIV/0!</v>
      </c>
      <c r="BS877" s="3285"/>
      <c r="BT877" s="3285"/>
      <c r="BU877" s="3285"/>
    </row>
    <row r="878" spans="1:249" hidden="1">
      <c r="A878" s="3267" t="s">
        <v>9131</v>
      </c>
      <c r="B878" s="3267" t="s">
        <v>6318</v>
      </c>
      <c r="C878" s="3269" t="s">
        <v>9132</v>
      </c>
      <c r="D878" s="3269" t="s">
        <v>9133</v>
      </c>
      <c r="E878" s="3268" t="s">
        <v>2985</v>
      </c>
      <c r="F878" s="3268" t="s">
        <v>3273</v>
      </c>
      <c r="G878" s="3267"/>
      <c r="H878" s="3267" t="s">
        <v>3159</v>
      </c>
      <c r="I878" s="3268"/>
      <c r="J878" s="3267" t="s">
        <v>9008</v>
      </c>
      <c r="K878" s="3267" t="s">
        <v>9134</v>
      </c>
      <c r="L878" s="3267">
        <v>68.650000000000006</v>
      </c>
      <c r="M878" s="3267">
        <v>1</v>
      </c>
      <c r="N878" s="3267" t="s">
        <v>3122</v>
      </c>
      <c r="O878" s="3267"/>
      <c r="P878" s="3267" t="s">
        <v>2963</v>
      </c>
      <c r="Q878" s="3271">
        <v>459955</v>
      </c>
      <c r="R878" s="3267">
        <v>6700</v>
      </c>
      <c r="S878" s="3272">
        <v>48.18</v>
      </c>
      <c r="T878" s="3273">
        <v>481800</v>
      </c>
      <c r="U878" s="3267">
        <v>7019</v>
      </c>
      <c r="V878" s="3289">
        <v>0.2</v>
      </c>
      <c r="W878" s="3272">
        <v>38.54</v>
      </c>
      <c r="X878" s="3275">
        <v>385400</v>
      </c>
      <c r="Y878" s="3276">
        <v>2006</v>
      </c>
      <c r="Z878" s="3276">
        <v>11</v>
      </c>
      <c r="AA878" s="3276">
        <v>30</v>
      </c>
      <c r="AB878" s="3267">
        <v>1445</v>
      </c>
      <c r="AC878" s="3267" t="s">
        <v>2980</v>
      </c>
      <c r="AD878" s="3269" t="s">
        <v>9135</v>
      </c>
      <c r="AE878" s="3276" t="s">
        <v>3344</v>
      </c>
      <c r="AF878" s="3267" t="s">
        <v>2966</v>
      </c>
      <c r="AG878" s="3279" t="s">
        <v>2967</v>
      </c>
      <c r="AH878" s="3267" t="s">
        <v>9136</v>
      </c>
      <c r="AI878" s="3279" t="s">
        <v>2992</v>
      </c>
      <c r="AJ878" s="3284"/>
      <c r="AK878" s="3278" t="s">
        <v>3137</v>
      </c>
      <c r="AL878" s="3276">
        <v>44</v>
      </c>
      <c r="AM878" s="3267"/>
      <c r="AN878" s="3279" t="s">
        <v>2994</v>
      </c>
      <c r="AO878" s="3267"/>
      <c r="AP878" s="3276" t="s">
        <v>5706</v>
      </c>
      <c r="AQ878" s="3276" t="s">
        <v>3113</v>
      </c>
      <c r="AR878" s="3276"/>
      <c r="AS878" s="3276"/>
      <c r="AT878" s="3276"/>
      <c r="AU878" s="3276"/>
      <c r="AV878" s="3276" t="s">
        <v>2968</v>
      </c>
      <c r="AW878" s="3276" t="s">
        <v>3171</v>
      </c>
      <c r="AX878" s="3276"/>
      <c r="AY878" s="3291"/>
      <c r="AZ878" s="3267" t="s">
        <v>9134</v>
      </c>
      <c r="BA878" s="3296"/>
      <c r="BB878" s="3297"/>
      <c r="BC878" s="3296"/>
      <c r="BD878" s="3298"/>
      <c r="BE878" s="3276" t="s">
        <v>9137</v>
      </c>
      <c r="BF878" s="3281" t="s">
        <v>2968</v>
      </c>
      <c r="BG878" s="3293">
        <v>39006</v>
      </c>
      <c r="BH878" s="3267"/>
      <c r="BI878" s="3267" t="s">
        <v>5706</v>
      </c>
      <c r="BJ878" s="3283">
        <v>39036</v>
      </c>
      <c r="BK878" s="3283"/>
      <c r="BL878" s="3267" t="s">
        <v>2998</v>
      </c>
      <c r="BM878" s="3276" t="s">
        <v>2879</v>
      </c>
      <c r="BN878" s="3276" t="s">
        <v>2999</v>
      </c>
      <c r="BO878" s="3276" t="s">
        <v>3146</v>
      </c>
      <c r="BP878" s="3276"/>
      <c r="BQ878" s="3276" t="e">
        <v>#DIV/0!</v>
      </c>
      <c r="BR878" s="3276" t="e">
        <v>#DIV/0!</v>
      </c>
      <c r="BS878" s="3285"/>
      <c r="BT878" s="3285"/>
      <c r="BU878" s="3285"/>
    </row>
    <row r="879" spans="1:249" hidden="1">
      <c r="A879" s="3267" t="s">
        <v>9138</v>
      </c>
      <c r="B879" s="3267" t="s">
        <v>9139</v>
      </c>
      <c r="C879" s="3269" t="s">
        <v>9140</v>
      </c>
      <c r="D879" s="3269" t="s">
        <v>9141</v>
      </c>
      <c r="E879" s="3268" t="s">
        <v>2985</v>
      </c>
      <c r="F879" s="3268" t="s">
        <v>9142</v>
      </c>
      <c r="G879" s="3267"/>
      <c r="H879" s="3267" t="s">
        <v>9143</v>
      </c>
      <c r="I879" s="3268"/>
      <c r="J879" s="3269" t="s">
        <v>9144</v>
      </c>
      <c r="K879" s="3267" t="s">
        <v>9145</v>
      </c>
      <c r="L879" s="3267">
        <v>67.010000000000005</v>
      </c>
      <c r="M879" s="3267">
        <v>27</v>
      </c>
      <c r="N879" s="3267" t="s">
        <v>3122</v>
      </c>
      <c r="O879" s="3267"/>
      <c r="P879" s="3267" t="s">
        <v>2963</v>
      </c>
      <c r="Q879" s="3271">
        <v>490000</v>
      </c>
      <c r="R879" s="3267">
        <v>7312</v>
      </c>
      <c r="S879" s="3272">
        <v>48.83</v>
      </c>
      <c r="T879" s="3273">
        <v>488300</v>
      </c>
      <c r="U879" s="3267">
        <v>7288</v>
      </c>
      <c r="V879" s="3289">
        <v>0.2</v>
      </c>
      <c r="W879" s="3272">
        <v>39.06</v>
      </c>
      <c r="X879" s="3275">
        <v>390600</v>
      </c>
      <c r="Y879" s="3276">
        <v>2006</v>
      </c>
      <c r="Z879" s="3276">
        <v>11</v>
      </c>
      <c r="AA879" s="3276">
        <v>29</v>
      </c>
      <c r="AB879" s="3267">
        <v>1460</v>
      </c>
      <c r="AC879" s="3267" t="s">
        <v>2980</v>
      </c>
      <c r="AD879" s="3269" t="s">
        <v>9146</v>
      </c>
      <c r="AE879" s="3276" t="s">
        <v>3344</v>
      </c>
      <c r="AF879" s="3267" t="s">
        <v>2966</v>
      </c>
      <c r="AG879" s="3279" t="s">
        <v>2967</v>
      </c>
      <c r="AH879" s="3267"/>
      <c r="AI879" s="3279" t="s">
        <v>2992</v>
      </c>
      <c r="AJ879" s="3284"/>
      <c r="AK879" s="3278" t="s">
        <v>3137</v>
      </c>
      <c r="AL879" s="3276">
        <v>55</v>
      </c>
      <c r="AM879" s="3267"/>
      <c r="AN879" s="3279" t="s">
        <v>3099</v>
      </c>
      <c r="AO879" s="3267"/>
      <c r="AP879" s="3276" t="s">
        <v>5706</v>
      </c>
      <c r="AQ879" s="3276" t="s">
        <v>3113</v>
      </c>
      <c r="AR879" s="3276">
        <v>2006</v>
      </c>
      <c r="AS879" s="3276">
        <v>11</v>
      </c>
      <c r="AT879" s="3276">
        <v>29</v>
      </c>
      <c r="AU879" s="3276"/>
      <c r="AV879" s="3276" t="s">
        <v>2968</v>
      </c>
      <c r="AW879" s="3276" t="s">
        <v>3171</v>
      </c>
      <c r="AX879" s="3276"/>
      <c r="AY879" s="3291"/>
      <c r="AZ879" s="3267" t="s">
        <v>9145</v>
      </c>
      <c r="BA879" s="3296"/>
      <c r="BB879" s="3297"/>
      <c r="BC879" s="3296"/>
      <c r="BD879" s="3298"/>
      <c r="BE879" s="3276">
        <v>84485045</v>
      </c>
      <c r="BF879" s="3281" t="s">
        <v>2968</v>
      </c>
      <c r="BG879" s="3293">
        <v>39032</v>
      </c>
      <c r="BH879" s="3267"/>
      <c r="BI879" s="3267" t="s">
        <v>5706</v>
      </c>
      <c r="BJ879" s="3283">
        <v>39036</v>
      </c>
      <c r="BK879" s="3283"/>
      <c r="BL879" s="3267" t="s">
        <v>2998</v>
      </c>
      <c r="BM879" s="3276" t="s">
        <v>2879</v>
      </c>
      <c r="BN879" s="3276" t="s">
        <v>2999</v>
      </c>
      <c r="BO879" s="3276" t="s">
        <v>3146</v>
      </c>
      <c r="BP879" s="3276"/>
      <c r="BQ879" s="3276" t="e">
        <v>#DIV/0!</v>
      </c>
      <c r="BR879" s="3276" t="e">
        <v>#DIV/0!</v>
      </c>
      <c r="BS879" s="3285"/>
      <c r="BT879" s="3285"/>
      <c r="BU879" s="3285"/>
    </row>
    <row r="880" spans="1:249" hidden="1">
      <c r="A880" s="3267" t="s">
        <v>9147</v>
      </c>
      <c r="B880" s="3267" t="s">
        <v>9148</v>
      </c>
      <c r="C880" s="3269" t="s">
        <v>9149</v>
      </c>
      <c r="D880" s="3269" t="s">
        <v>9150</v>
      </c>
      <c r="E880" s="3268" t="s">
        <v>2985</v>
      </c>
      <c r="F880" s="3268" t="s">
        <v>4100</v>
      </c>
      <c r="G880" s="3267"/>
      <c r="H880" s="3267" t="s">
        <v>3139</v>
      </c>
      <c r="I880" s="3268" t="s">
        <v>3318</v>
      </c>
      <c r="J880" s="3267" t="s">
        <v>6125</v>
      </c>
      <c r="K880" s="3267" t="s">
        <v>9151</v>
      </c>
      <c r="L880" s="3267">
        <v>104.1</v>
      </c>
      <c r="M880" s="3267">
        <v>11</v>
      </c>
      <c r="N880" s="3267" t="s">
        <v>3125</v>
      </c>
      <c r="O880" s="3267">
        <v>82.28</v>
      </c>
      <c r="P880" s="3267" t="s">
        <v>2963</v>
      </c>
      <c r="Q880" s="3271">
        <v>600000</v>
      </c>
      <c r="R880" s="3267">
        <v>5764</v>
      </c>
      <c r="S880" s="3272">
        <v>59.06</v>
      </c>
      <c r="T880" s="3273">
        <v>590600</v>
      </c>
      <c r="U880" s="3267">
        <v>5674</v>
      </c>
      <c r="V880" s="3289">
        <v>0.3</v>
      </c>
      <c r="W880" s="3272">
        <v>41.34</v>
      </c>
      <c r="X880" s="3275">
        <v>413400</v>
      </c>
      <c r="Y880" s="3276">
        <v>2006</v>
      </c>
      <c r="Z880" s="3276">
        <v>11</v>
      </c>
      <c r="AA880" s="3276">
        <v>23</v>
      </c>
      <c r="AB880" s="3267">
        <v>1500</v>
      </c>
      <c r="AC880" s="3267" t="s">
        <v>2980</v>
      </c>
      <c r="AD880" s="3280" t="s">
        <v>9152</v>
      </c>
      <c r="AE880" s="3279" t="s">
        <v>3121</v>
      </c>
      <c r="AF880" s="3267" t="s">
        <v>2966</v>
      </c>
      <c r="AG880" s="3279" t="s">
        <v>2967</v>
      </c>
      <c r="AH880" s="3267" t="s">
        <v>9153</v>
      </c>
      <c r="AI880" s="3279" t="s">
        <v>2992</v>
      </c>
      <c r="AJ880" s="3284"/>
      <c r="AK880" s="3278" t="s">
        <v>3137</v>
      </c>
      <c r="AL880" s="3276">
        <v>55</v>
      </c>
      <c r="AM880" s="3276"/>
      <c r="AN880" s="3279" t="s">
        <v>2994</v>
      </c>
      <c r="AO880" s="3267"/>
      <c r="AP880" s="3279" t="s">
        <v>3305</v>
      </c>
      <c r="AQ880" s="3267" t="s">
        <v>3228</v>
      </c>
      <c r="AR880" s="3276"/>
      <c r="AS880" s="3276"/>
      <c r="AT880" s="3276"/>
      <c r="AU880" s="3276"/>
      <c r="AV880" s="3276"/>
      <c r="AW880" s="3276" t="s">
        <v>2997</v>
      </c>
      <c r="AX880" s="3276"/>
      <c r="AY880" s="3291"/>
      <c r="AZ880" s="3267" t="s">
        <v>9151</v>
      </c>
      <c r="BA880" s="3296"/>
      <c r="BB880" s="3297"/>
      <c r="BC880" s="3296"/>
      <c r="BD880" s="3298"/>
      <c r="BE880" s="3276"/>
      <c r="BF880" s="3281"/>
      <c r="BG880" s="3293">
        <v>39036</v>
      </c>
      <c r="BH880" s="3354" t="s">
        <v>2998</v>
      </c>
      <c r="BI880" s="3314" t="s">
        <v>3305</v>
      </c>
      <c r="BJ880" s="3283">
        <v>39036</v>
      </c>
      <c r="BK880" s="3283"/>
      <c r="BL880" s="3267" t="s">
        <v>3249</v>
      </c>
      <c r="BM880" s="3276" t="s">
        <v>2879</v>
      </c>
      <c r="BN880" s="3276" t="s">
        <v>2999</v>
      </c>
      <c r="BO880" s="3276" t="s">
        <v>3000</v>
      </c>
      <c r="BP880" s="3276"/>
      <c r="BQ880" s="3276">
        <v>7178</v>
      </c>
      <c r="BR880" s="3276">
        <v>7292</v>
      </c>
      <c r="BS880" s="3285"/>
      <c r="BT880" s="3285"/>
      <c r="BU880" s="3285"/>
    </row>
    <row r="881" spans="1:249" hidden="1">
      <c r="A881" s="3267" t="s">
        <v>9154</v>
      </c>
      <c r="B881" s="3267" t="s">
        <v>9155</v>
      </c>
      <c r="C881" s="3269" t="s">
        <v>9156</v>
      </c>
      <c r="D881" s="3269" t="s">
        <v>9157</v>
      </c>
      <c r="E881" s="3268" t="s">
        <v>2985</v>
      </c>
      <c r="F881" s="3268" t="s">
        <v>4786</v>
      </c>
      <c r="G881" s="3267"/>
      <c r="H881" s="3267" t="s">
        <v>5123</v>
      </c>
      <c r="I881" s="3268"/>
      <c r="J881" s="3267" t="s">
        <v>9158</v>
      </c>
      <c r="K881" s="3267" t="s">
        <v>9159</v>
      </c>
      <c r="L881" s="3267">
        <v>90.33</v>
      </c>
      <c r="M881" s="3354" t="s">
        <v>3656</v>
      </c>
      <c r="N881" s="3267" t="s">
        <v>3122</v>
      </c>
      <c r="O881" s="3267"/>
      <c r="P881" s="3267" t="s">
        <v>3495</v>
      </c>
      <c r="Q881" s="3271">
        <v>612000</v>
      </c>
      <c r="R881" s="3267">
        <v>6775</v>
      </c>
      <c r="S881" s="3272">
        <v>58.16</v>
      </c>
      <c r="T881" s="3273">
        <v>581600</v>
      </c>
      <c r="U881" s="3267">
        <v>6439</v>
      </c>
      <c r="V881" s="3289">
        <v>0.3</v>
      </c>
      <c r="W881" s="3272">
        <v>40.71</v>
      </c>
      <c r="X881" s="3275">
        <v>407100</v>
      </c>
      <c r="Y881" s="3276">
        <v>2006</v>
      </c>
      <c r="Z881" s="3276">
        <v>12</v>
      </c>
      <c r="AA881" s="3276">
        <v>5</v>
      </c>
      <c r="AB881" s="3267">
        <v>1500</v>
      </c>
      <c r="AC881" s="3267" t="s">
        <v>2980</v>
      </c>
      <c r="AD881" s="3269" t="s">
        <v>9160</v>
      </c>
      <c r="AE881" s="3276" t="s">
        <v>3344</v>
      </c>
      <c r="AF881" s="3267" t="s">
        <v>2966</v>
      </c>
      <c r="AG881" s="3279" t="s">
        <v>2967</v>
      </c>
      <c r="AH881" s="3267"/>
      <c r="AI881" s="3279" t="s">
        <v>2992</v>
      </c>
      <c r="AJ881" s="3284"/>
      <c r="AK881" s="3278" t="s">
        <v>3120</v>
      </c>
      <c r="AL881" s="3276">
        <v>42</v>
      </c>
      <c r="AM881" s="3267"/>
      <c r="AN881" s="3279" t="s">
        <v>3140</v>
      </c>
      <c r="AO881" s="3267"/>
      <c r="AP881" s="3279" t="s">
        <v>5706</v>
      </c>
      <c r="AQ881" s="3267" t="s">
        <v>3228</v>
      </c>
      <c r="AR881" s="3276"/>
      <c r="AS881" s="3276"/>
      <c r="AT881" s="3276"/>
      <c r="AU881" s="3276"/>
      <c r="AV881" s="3276" t="s">
        <v>2968</v>
      </c>
      <c r="AW881" s="3276" t="s">
        <v>3171</v>
      </c>
      <c r="AX881" s="3276"/>
      <c r="AY881" s="3291"/>
      <c r="AZ881" s="3267" t="s">
        <v>9159</v>
      </c>
      <c r="BA881" s="3296"/>
      <c r="BB881" s="3297"/>
      <c r="BC881" s="3296"/>
      <c r="BD881" s="3298"/>
      <c r="BE881" s="3276">
        <v>13701111944</v>
      </c>
      <c r="BF881" s="3281" t="s">
        <v>2968</v>
      </c>
      <c r="BG881" s="3293">
        <v>39027</v>
      </c>
      <c r="BH881" s="3267"/>
      <c r="BI881" s="3267" t="s">
        <v>5706</v>
      </c>
      <c r="BJ881" s="3283">
        <v>39036</v>
      </c>
      <c r="BK881" s="3283"/>
      <c r="BL881" s="3267" t="s">
        <v>2998</v>
      </c>
      <c r="BM881" s="3276" t="s">
        <v>2879</v>
      </c>
      <c r="BN881" s="3276" t="s">
        <v>2999</v>
      </c>
      <c r="BO881" s="3276" t="s">
        <v>3146</v>
      </c>
      <c r="BP881" s="3276"/>
      <c r="BQ881" s="3276" t="e">
        <v>#DIV/0!</v>
      </c>
      <c r="BR881" s="3276" t="e">
        <v>#DIV/0!</v>
      </c>
      <c r="BS881" s="3285"/>
      <c r="BT881" s="3285"/>
      <c r="BU881" s="3285"/>
    </row>
    <row r="882" spans="1:249" hidden="1">
      <c r="A882" s="3267" t="s">
        <v>9161</v>
      </c>
      <c r="B882" s="3267" t="s">
        <v>9162</v>
      </c>
      <c r="C882" s="3269" t="s">
        <v>9163</v>
      </c>
      <c r="D882" s="3267">
        <v>13601176080</v>
      </c>
      <c r="E882" s="3267" t="s">
        <v>2985</v>
      </c>
      <c r="F882" s="3267" t="s">
        <v>9164</v>
      </c>
      <c r="G882" s="3267"/>
      <c r="H882" s="3267"/>
      <c r="I882" s="3267"/>
      <c r="J882" s="3267" t="s">
        <v>6713</v>
      </c>
      <c r="K882" s="3268" t="s">
        <v>9165</v>
      </c>
      <c r="L882" s="3267">
        <v>118.21</v>
      </c>
      <c r="M882" s="3267">
        <v>13</v>
      </c>
      <c r="N882" s="3267" t="s">
        <v>3125</v>
      </c>
      <c r="O882" s="3267"/>
      <c r="P882" s="3267" t="s">
        <v>2963</v>
      </c>
      <c r="Q882" s="3267">
        <v>770000</v>
      </c>
      <c r="R882" s="3267">
        <v>6514</v>
      </c>
      <c r="S882" s="3272">
        <v>81.28</v>
      </c>
      <c r="T882" s="3273">
        <v>812800</v>
      </c>
      <c r="U882" s="3267">
        <v>6876</v>
      </c>
      <c r="V882" s="3274">
        <v>0.3</v>
      </c>
      <c r="W882" s="3272">
        <v>56.89</v>
      </c>
      <c r="X882" s="3275">
        <v>568900</v>
      </c>
      <c r="Y882" s="3267">
        <v>2006</v>
      </c>
      <c r="Z882" s="3267">
        <v>12</v>
      </c>
      <c r="AA882" s="3276">
        <v>5</v>
      </c>
      <c r="AB882" s="3267">
        <v>1500</v>
      </c>
      <c r="AC882" s="3267" t="s">
        <v>2980</v>
      </c>
      <c r="AD882" s="3269" t="s">
        <v>9166</v>
      </c>
      <c r="AE882" s="3267" t="s">
        <v>3069</v>
      </c>
      <c r="AF882" s="3267" t="s">
        <v>2966</v>
      </c>
      <c r="AG882" s="3267" t="s">
        <v>2967</v>
      </c>
      <c r="AH882" s="3267"/>
      <c r="AI882" s="3267" t="s">
        <v>2992</v>
      </c>
      <c r="AJ882" s="3284"/>
      <c r="AK882" s="3267" t="s">
        <v>3120</v>
      </c>
      <c r="AL882" s="3267" t="s">
        <v>5508</v>
      </c>
      <c r="AM882" s="3267"/>
      <c r="AN882" s="3267" t="s">
        <v>3140</v>
      </c>
      <c r="AO882" s="3267"/>
      <c r="AP882" s="3267" t="s">
        <v>3069</v>
      </c>
      <c r="AQ882" s="3267" t="s">
        <v>3228</v>
      </c>
      <c r="AR882" s="3267">
        <v>2006</v>
      </c>
      <c r="AS882" s="3267">
        <v>12</v>
      </c>
      <c r="AT882" s="3267">
        <v>5</v>
      </c>
      <c r="AU882" s="3267"/>
      <c r="AV882" s="3267"/>
      <c r="AW882" s="3267" t="s">
        <v>3171</v>
      </c>
      <c r="AX882" s="3267"/>
      <c r="AY882" s="3269"/>
      <c r="AZ882" s="3268" t="s">
        <v>9165</v>
      </c>
      <c r="BA882" s="3267"/>
      <c r="BB882" s="3267"/>
      <c r="BC882" s="3267"/>
      <c r="BD882" s="3267"/>
      <c r="BE882" s="3267"/>
      <c r="BF882" s="3267"/>
      <c r="BG882" s="3307">
        <v>39024</v>
      </c>
      <c r="BH882" s="3267"/>
      <c r="BI882" s="3267" t="s">
        <v>3069</v>
      </c>
      <c r="BJ882" s="3307">
        <v>39037</v>
      </c>
      <c r="BK882" s="3283"/>
      <c r="BL882" s="3267" t="s">
        <v>2998</v>
      </c>
      <c r="BM882" s="3267" t="s">
        <v>2879</v>
      </c>
      <c r="BN882" s="3267" t="s">
        <v>2999</v>
      </c>
      <c r="BO882" s="3267" t="s">
        <v>3000</v>
      </c>
      <c r="BP882" s="3267"/>
      <c r="BQ882" s="3276" t="e">
        <v>#DIV/0!</v>
      </c>
      <c r="BR882" s="3276" t="e">
        <v>#DIV/0!</v>
      </c>
      <c r="BS882" s="3285"/>
      <c r="BT882" s="3285"/>
      <c r="BU882" s="3285"/>
      <c r="BV882" s="3347"/>
      <c r="BW882" s="3347"/>
      <c r="BX882" s="3347"/>
      <c r="BY882" s="3347"/>
      <c r="BZ882" s="3347"/>
      <c r="CA882" s="3347"/>
      <c r="CB882" s="3347"/>
      <c r="CC882" s="3347"/>
      <c r="CD882" s="3347"/>
      <c r="CE882" s="3347"/>
      <c r="CF882" s="3347"/>
      <c r="CG882" s="3347"/>
      <c r="CH882" s="3347"/>
      <c r="CI882" s="3347"/>
      <c r="CJ882" s="3347"/>
      <c r="CK882" s="3347"/>
      <c r="CL882" s="3347"/>
      <c r="CM882" s="3347"/>
      <c r="CN882" s="3347"/>
      <c r="CO882" s="3347"/>
      <c r="CP882" s="3347"/>
      <c r="CQ882" s="3347"/>
      <c r="CR882" s="3347"/>
      <c r="CS882" s="3347"/>
      <c r="CT882" s="3347"/>
      <c r="CU882" s="3347"/>
      <c r="CV882" s="3347"/>
      <c r="CW882" s="3347"/>
      <c r="CX882" s="3347"/>
      <c r="CY882" s="3347"/>
      <c r="CZ882" s="3347"/>
      <c r="DA882" s="3347"/>
      <c r="DB882" s="3347"/>
      <c r="DC882" s="3347"/>
      <c r="DD882" s="3347"/>
      <c r="DE882" s="3347"/>
      <c r="DF882" s="3347"/>
      <c r="DG882" s="3347"/>
      <c r="DH882" s="3347"/>
      <c r="DI882" s="3347"/>
      <c r="DJ882" s="3347"/>
      <c r="DK882" s="3347"/>
      <c r="DL882" s="3347"/>
      <c r="DM882" s="3347"/>
      <c r="DN882" s="3347"/>
      <c r="DO882" s="3347"/>
      <c r="DP882" s="3347"/>
      <c r="DQ882" s="3347"/>
      <c r="DR882" s="3347"/>
      <c r="DS882" s="3347"/>
      <c r="DT882" s="3347"/>
      <c r="DU882" s="3347"/>
      <c r="DV882" s="3347"/>
      <c r="DW882" s="3347"/>
      <c r="DX882" s="3347"/>
      <c r="DY882" s="3347"/>
      <c r="DZ882" s="3347"/>
      <c r="EA882" s="3347"/>
      <c r="EB882" s="3347"/>
      <c r="EC882" s="3347"/>
      <c r="ED882" s="3347"/>
      <c r="EE882" s="3347"/>
      <c r="EF882" s="3347"/>
      <c r="EG882" s="3347"/>
      <c r="EH882" s="3347"/>
      <c r="EI882" s="3347"/>
      <c r="EJ882" s="3347"/>
      <c r="EK882" s="3347"/>
      <c r="EL882" s="3347"/>
      <c r="EM882" s="3347"/>
      <c r="EN882" s="3347"/>
      <c r="EO882" s="3347"/>
      <c r="EP882" s="3347"/>
      <c r="EQ882" s="3347"/>
      <c r="ER882" s="3347"/>
      <c r="ES882" s="3347"/>
      <c r="ET882" s="3347"/>
      <c r="EU882" s="3347"/>
      <c r="EV882" s="3347"/>
      <c r="EW882" s="3347"/>
      <c r="EX882" s="3347"/>
      <c r="EY882" s="3347"/>
      <c r="EZ882" s="3347"/>
      <c r="FA882" s="3347"/>
      <c r="FB882" s="3347"/>
      <c r="FC882" s="3347"/>
      <c r="FD882" s="3347"/>
      <c r="FE882" s="3347"/>
      <c r="FF882" s="3347"/>
      <c r="FG882" s="3347"/>
      <c r="FH882" s="3347"/>
      <c r="FI882" s="3347"/>
      <c r="FJ882" s="3347"/>
      <c r="FK882" s="3347"/>
      <c r="FL882" s="3347"/>
      <c r="FM882" s="3347"/>
      <c r="FN882" s="3347"/>
      <c r="FO882" s="3347"/>
      <c r="FP882" s="3347"/>
      <c r="FQ882" s="3347"/>
      <c r="FR882" s="3347"/>
      <c r="FS882" s="3347"/>
      <c r="FT882" s="3347"/>
      <c r="FU882" s="3347"/>
      <c r="FV882" s="3347"/>
      <c r="FW882" s="3347"/>
      <c r="FX882" s="3347"/>
      <c r="FY882" s="3347"/>
      <c r="FZ882" s="3347"/>
      <c r="GA882" s="3347"/>
      <c r="GB882" s="3347"/>
      <c r="GC882" s="3347"/>
      <c r="GD882" s="3347"/>
      <c r="GE882" s="3347"/>
      <c r="GF882" s="3347"/>
      <c r="GG882" s="3347"/>
      <c r="GH882" s="3347"/>
      <c r="GI882" s="3347"/>
      <c r="GJ882" s="3347"/>
      <c r="GK882" s="3347"/>
      <c r="GL882" s="3347"/>
      <c r="GM882" s="3347"/>
      <c r="GN882" s="3347"/>
      <c r="GO882" s="3347"/>
      <c r="GP882" s="3347"/>
      <c r="GQ882" s="3347"/>
      <c r="GR882" s="3347"/>
      <c r="GS882" s="3347"/>
      <c r="GT882" s="3347"/>
      <c r="GU882" s="3347"/>
      <c r="GV882" s="3347"/>
      <c r="GW882" s="3347"/>
      <c r="GX882" s="3347"/>
      <c r="GY882" s="3347"/>
      <c r="GZ882" s="3347"/>
      <c r="HA882" s="3347"/>
      <c r="HB882" s="3347"/>
      <c r="HC882" s="3347"/>
      <c r="HD882" s="3347"/>
      <c r="HE882" s="3347"/>
      <c r="HF882" s="3347"/>
      <c r="HG882" s="3347"/>
      <c r="HH882" s="3347"/>
      <c r="HI882" s="3347"/>
      <c r="HJ882" s="3347"/>
      <c r="HK882" s="3347"/>
      <c r="HL882" s="3347"/>
      <c r="HM882" s="3347"/>
      <c r="HN882" s="3347"/>
      <c r="HO882" s="3347"/>
      <c r="HP882" s="3347"/>
      <c r="HQ882" s="3347"/>
      <c r="HR882" s="3347"/>
      <c r="HS882" s="3347"/>
      <c r="HT882" s="3347"/>
      <c r="HU882" s="3347"/>
      <c r="HV882" s="3347"/>
      <c r="HW882" s="3347"/>
      <c r="HX882" s="3347"/>
      <c r="HY882" s="3347"/>
      <c r="HZ882" s="3347"/>
      <c r="IA882" s="3347"/>
      <c r="IB882" s="3347"/>
    </row>
    <row r="883" spans="1:249" hidden="1">
      <c r="A883" s="3267" t="s">
        <v>9167</v>
      </c>
      <c r="B883" s="3267" t="s">
        <v>9168</v>
      </c>
      <c r="C883" s="3269" t="s">
        <v>9169</v>
      </c>
      <c r="D883" s="3269" t="s">
        <v>9170</v>
      </c>
      <c r="E883" s="3267" t="s">
        <v>2985</v>
      </c>
      <c r="F883" s="3267" t="s">
        <v>3872</v>
      </c>
      <c r="G883" s="3267"/>
      <c r="H883" s="3267" t="s">
        <v>3139</v>
      </c>
      <c r="I883" s="3267" t="s">
        <v>3412</v>
      </c>
      <c r="J883" s="3269" t="s">
        <v>3413</v>
      </c>
      <c r="K883" s="3267" t="s">
        <v>9168</v>
      </c>
      <c r="L883" s="3267">
        <v>87.49</v>
      </c>
      <c r="M883" s="3267">
        <v>16</v>
      </c>
      <c r="N883" s="3268" t="s">
        <v>3125</v>
      </c>
      <c r="O883" s="3267"/>
      <c r="P883" s="3268" t="s">
        <v>2963</v>
      </c>
      <c r="Q883" s="3287">
        <v>720000</v>
      </c>
      <c r="R883" s="3267">
        <v>8230</v>
      </c>
      <c r="S883" s="3272">
        <v>65.64</v>
      </c>
      <c r="T883" s="3273">
        <v>656400</v>
      </c>
      <c r="U883" s="3287">
        <v>7503</v>
      </c>
      <c r="V883" s="3289">
        <v>0.2</v>
      </c>
      <c r="W883" s="3272">
        <v>52.51</v>
      </c>
      <c r="X883" s="3275">
        <v>525100</v>
      </c>
      <c r="Y883" s="3276">
        <v>2006</v>
      </c>
      <c r="Z883" s="3276">
        <v>11</v>
      </c>
      <c r="AA883" s="3276">
        <v>24</v>
      </c>
      <c r="AB883" s="3267">
        <v>1500</v>
      </c>
      <c r="AC883" s="3267" t="s">
        <v>2980</v>
      </c>
      <c r="AD883" s="3364">
        <v>91302006110858</v>
      </c>
      <c r="AE883" s="3268" t="s">
        <v>3304</v>
      </c>
      <c r="AF883" s="3267" t="s">
        <v>2966</v>
      </c>
      <c r="AG883" s="3268" t="s">
        <v>2967</v>
      </c>
      <c r="AH883" s="3267"/>
      <c r="AI883" s="3267" t="s">
        <v>2992</v>
      </c>
      <c r="AJ883" s="3290"/>
      <c r="AK883" s="3267" t="s">
        <v>3137</v>
      </c>
      <c r="AL883" s="3276">
        <v>41</v>
      </c>
      <c r="AM883" s="3267" t="s">
        <v>9171</v>
      </c>
      <c r="AN883" s="3279" t="s">
        <v>2994</v>
      </c>
      <c r="AO883" s="3276"/>
      <c r="AP883" s="3276" t="s">
        <v>3537</v>
      </c>
      <c r="AQ883" s="3276" t="s">
        <v>3113</v>
      </c>
      <c r="AR883" s="3276"/>
      <c r="AS883" s="3276"/>
      <c r="AT883" s="3276"/>
      <c r="AU883" s="3276"/>
      <c r="AV883" s="3276"/>
      <c r="AW883" s="3276" t="s">
        <v>3119</v>
      </c>
      <c r="AX883" s="3276"/>
      <c r="AY883" s="3291"/>
      <c r="AZ883" s="3276" t="s">
        <v>9172</v>
      </c>
      <c r="BA883" s="3276"/>
      <c r="BB883" s="3291"/>
      <c r="BC883" s="3276"/>
      <c r="BD883" s="3292"/>
      <c r="BE883" s="3276">
        <v>13311293965</v>
      </c>
      <c r="BF883" s="3281"/>
      <c r="BG883" s="3293">
        <v>39037</v>
      </c>
      <c r="BH883" s="3276"/>
      <c r="BI883" s="3276" t="s">
        <v>3537</v>
      </c>
      <c r="BJ883" s="3293">
        <v>39037</v>
      </c>
      <c r="BK883" s="3283"/>
      <c r="BL883" s="3267" t="s">
        <v>2998</v>
      </c>
      <c r="BM883" s="3276" t="s">
        <v>2879</v>
      </c>
      <c r="BN883" s="3276" t="s">
        <v>3111</v>
      </c>
      <c r="BO883" s="3276" t="s">
        <v>3146</v>
      </c>
      <c r="BP883" s="3276"/>
      <c r="BQ883" s="3276"/>
      <c r="BR883" s="3276"/>
      <c r="BS883" s="3285"/>
      <c r="BT883" s="3285"/>
      <c r="BU883" s="3285"/>
      <c r="BV883" s="3347"/>
      <c r="BW883" s="3347"/>
      <c r="BX883" s="3347"/>
      <c r="BY883" s="3347"/>
      <c r="BZ883" s="3347"/>
      <c r="CA883" s="3347"/>
      <c r="CB883" s="3347"/>
      <c r="CC883" s="3347"/>
      <c r="CD883" s="3347"/>
      <c r="CE883" s="3347"/>
      <c r="CF883" s="3347"/>
      <c r="CG883" s="3347"/>
      <c r="CH883" s="3347"/>
      <c r="CI883" s="3347"/>
      <c r="CJ883" s="3347"/>
      <c r="CK883" s="3347"/>
      <c r="CL883" s="3347"/>
      <c r="CM883" s="3347"/>
      <c r="CN883" s="3347"/>
      <c r="CO883" s="3347"/>
      <c r="CP883" s="3347"/>
      <c r="CQ883" s="3347"/>
      <c r="CR883" s="3347"/>
      <c r="CS883" s="3347"/>
      <c r="CT883" s="3347"/>
      <c r="CU883" s="3347"/>
      <c r="CV883" s="3347"/>
      <c r="CW883" s="3347"/>
      <c r="CX883" s="3347"/>
      <c r="CY883" s="3347"/>
      <c r="CZ883" s="3347"/>
      <c r="DA883" s="3347"/>
      <c r="DB883" s="3347"/>
      <c r="DC883" s="3347"/>
      <c r="DD883" s="3347"/>
      <c r="DE883" s="3347"/>
      <c r="DF883" s="3347"/>
      <c r="DG883" s="3347"/>
      <c r="DH883" s="3347"/>
      <c r="DI883" s="3347"/>
      <c r="DJ883" s="3347"/>
      <c r="DK883" s="3347"/>
      <c r="DL883" s="3347"/>
      <c r="DM883" s="3347"/>
      <c r="DN883" s="3347"/>
      <c r="DO883" s="3347"/>
      <c r="DP883" s="3347"/>
      <c r="DQ883" s="3347"/>
      <c r="DR883" s="3347"/>
      <c r="DS883" s="3347"/>
      <c r="DT883" s="3347"/>
      <c r="DU883" s="3347"/>
      <c r="DV883" s="3347"/>
      <c r="DW883" s="3347"/>
      <c r="DX883" s="3347"/>
      <c r="DY883" s="3347"/>
      <c r="DZ883" s="3347"/>
      <c r="EA883" s="3347"/>
      <c r="EB883" s="3347"/>
      <c r="EC883" s="3347"/>
      <c r="ED883" s="3347"/>
      <c r="EE883" s="3347"/>
      <c r="EF883" s="3347"/>
      <c r="EG883" s="3347"/>
      <c r="EH883" s="3347"/>
      <c r="EI883" s="3347"/>
      <c r="EJ883" s="3347"/>
      <c r="EK883" s="3347"/>
      <c r="EL883" s="3347"/>
      <c r="EM883" s="3347"/>
      <c r="EN883" s="3347"/>
      <c r="EO883" s="3347"/>
      <c r="EP883" s="3347"/>
      <c r="EQ883" s="3347"/>
      <c r="ER883" s="3347"/>
      <c r="ES883" s="3347"/>
      <c r="ET883" s="3347"/>
      <c r="EU883" s="3347"/>
      <c r="EV883" s="3347"/>
      <c r="EW883" s="3347"/>
      <c r="EX883" s="3347"/>
      <c r="EY883" s="3347"/>
      <c r="EZ883" s="3347"/>
      <c r="FA883" s="3347"/>
      <c r="FB883" s="3347"/>
      <c r="FC883" s="3347"/>
      <c r="FD883" s="3347"/>
      <c r="FE883" s="3347"/>
      <c r="FF883" s="3347"/>
      <c r="FG883" s="3347"/>
      <c r="FH883" s="3347"/>
      <c r="FI883" s="3347"/>
      <c r="FJ883" s="3347"/>
      <c r="FK883" s="3347"/>
      <c r="FL883" s="3347"/>
      <c r="FM883" s="3347"/>
      <c r="FN883" s="3347"/>
      <c r="FO883" s="3347"/>
      <c r="FP883" s="3347"/>
      <c r="FQ883" s="3347"/>
      <c r="FR883" s="3347"/>
      <c r="FS883" s="3347"/>
      <c r="FT883" s="3347"/>
      <c r="FU883" s="3347"/>
      <c r="FV883" s="3347"/>
      <c r="FW883" s="3347"/>
      <c r="FX883" s="3347"/>
      <c r="FY883" s="3347"/>
      <c r="FZ883" s="3347"/>
      <c r="GA883" s="3347"/>
      <c r="GB883" s="3347"/>
      <c r="GC883" s="3347"/>
      <c r="GD883" s="3347"/>
      <c r="GE883" s="3347"/>
      <c r="GF883" s="3347"/>
      <c r="GG883" s="3347"/>
      <c r="GH883" s="3347"/>
      <c r="GI883" s="3347"/>
      <c r="GJ883" s="3347"/>
      <c r="GK883" s="3347"/>
      <c r="GL883" s="3347"/>
      <c r="GM883" s="3347"/>
      <c r="GN883" s="3347"/>
      <c r="GO883" s="3347"/>
      <c r="GP883" s="3347"/>
      <c r="GQ883" s="3347"/>
      <c r="GR883" s="3347"/>
      <c r="GS883" s="3347"/>
      <c r="GT883" s="3347"/>
      <c r="GU883" s="3347"/>
      <c r="GV883" s="3347"/>
      <c r="GW883" s="3347"/>
      <c r="GX883" s="3347"/>
      <c r="GY883" s="3347"/>
      <c r="GZ883" s="3347"/>
      <c r="HA883" s="3347"/>
      <c r="HB883" s="3347"/>
      <c r="HC883" s="3347"/>
      <c r="HD883" s="3347"/>
      <c r="HE883" s="3347"/>
      <c r="HF883" s="3347"/>
      <c r="HG883" s="3347"/>
      <c r="HH883" s="3347"/>
      <c r="HI883" s="3347"/>
      <c r="HJ883" s="3347"/>
      <c r="HK883" s="3347"/>
      <c r="HL883" s="3347"/>
      <c r="HM883" s="3347"/>
      <c r="HN883" s="3347"/>
      <c r="HO883" s="3347"/>
      <c r="HP883" s="3347"/>
      <c r="HQ883" s="3347"/>
      <c r="HR883" s="3347"/>
      <c r="HS883" s="3347"/>
      <c r="HT883" s="3347"/>
      <c r="HU883" s="3347"/>
      <c r="HV883" s="3347"/>
      <c r="HW883" s="3347"/>
      <c r="HX883" s="3347"/>
      <c r="HY883" s="3347"/>
      <c r="HZ883" s="3347"/>
      <c r="IA883" s="3347"/>
      <c r="IB883" s="3347"/>
    </row>
    <row r="884" spans="1:249" hidden="1">
      <c r="A884" s="3267" t="s">
        <v>9173</v>
      </c>
      <c r="B884" s="3267" t="s">
        <v>9174</v>
      </c>
      <c r="C884" s="3269" t="s">
        <v>9175</v>
      </c>
      <c r="D884" s="3269" t="s">
        <v>9176</v>
      </c>
      <c r="E884" s="3268" t="s">
        <v>2985</v>
      </c>
      <c r="F884" s="3268" t="s">
        <v>7357</v>
      </c>
      <c r="G884" s="3267"/>
      <c r="H884" s="3267" t="s">
        <v>3127</v>
      </c>
      <c r="I884" s="3268"/>
      <c r="J884" s="3267" t="s">
        <v>6336</v>
      </c>
      <c r="K884" s="3267" t="s">
        <v>9177</v>
      </c>
      <c r="L884" s="3267">
        <v>81.5</v>
      </c>
      <c r="M884" s="3267">
        <v>12</v>
      </c>
      <c r="N884" s="3267" t="s">
        <v>3125</v>
      </c>
      <c r="O884" s="3267"/>
      <c r="P884" s="3267" t="s">
        <v>2963</v>
      </c>
      <c r="Q884" s="3271">
        <v>685000</v>
      </c>
      <c r="R884" s="3267">
        <v>8405</v>
      </c>
      <c r="S884" s="3272">
        <v>54.02</v>
      </c>
      <c r="T884" s="3273">
        <v>540200</v>
      </c>
      <c r="U884" s="3267">
        <v>6629</v>
      </c>
      <c r="V884" s="3289">
        <v>0.2</v>
      </c>
      <c r="W884" s="3272">
        <v>43.21</v>
      </c>
      <c r="X884" s="3275">
        <v>432100</v>
      </c>
      <c r="Y884" s="3276">
        <v>2006</v>
      </c>
      <c r="Z884" s="3276">
        <v>11</v>
      </c>
      <c r="AA884" s="3276">
        <v>30</v>
      </c>
      <c r="AB884" s="3267">
        <v>1500</v>
      </c>
      <c r="AC884" s="3267" t="s">
        <v>2980</v>
      </c>
      <c r="AD884" s="3269" t="s">
        <v>9178</v>
      </c>
      <c r="AE884" s="3279" t="s">
        <v>3295</v>
      </c>
      <c r="AF884" s="3268" t="s">
        <v>2966</v>
      </c>
      <c r="AG884" s="3279" t="s">
        <v>2967</v>
      </c>
      <c r="AH884" s="3267"/>
      <c r="AI884" s="3279" t="s">
        <v>2992</v>
      </c>
      <c r="AJ884" s="3284"/>
      <c r="AK884" s="3278" t="s">
        <v>3137</v>
      </c>
      <c r="AL884" s="3276">
        <v>44</v>
      </c>
      <c r="AM884" s="3267" t="s">
        <v>2968</v>
      </c>
      <c r="AN884" s="3279" t="s">
        <v>3099</v>
      </c>
      <c r="AO884" s="3267"/>
      <c r="AP884" s="3279" t="s">
        <v>3305</v>
      </c>
      <c r="AQ884" s="3276" t="s">
        <v>3113</v>
      </c>
      <c r="AR884" s="3276"/>
      <c r="AS884" s="3276"/>
      <c r="AT884" s="3276"/>
      <c r="AU884" s="3276"/>
      <c r="AV884" s="3276"/>
      <c r="AW884" s="3276" t="s">
        <v>3112</v>
      </c>
      <c r="AX884" s="3276"/>
      <c r="AY884" s="3291"/>
      <c r="AZ884" s="3267" t="s">
        <v>9177</v>
      </c>
      <c r="BA884" s="3296"/>
      <c r="BB884" s="3297"/>
      <c r="BC884" s="3296"/>
      <c r="BD884" s="3296"/>
      <c r="BE884" s="3276">
        <v>64851098</v>
      </c>
      <c r="BF884" s="3281"/>
      <c r="BG884" s="3293">
        <v>39026</v>
      </c>
      <c r="BH884" s="3267" t="s">
        <v>2998</v>
      </c>
      <c r="BI884" s="3314" t="s">
        <v>3305</v>
      </c>
      <c r="BJ884" s="3283">
        <v>39037</v>
      </c>
      <c r="BK884" s="3283"/>
      <c r="BL884" s="3267" t="s">
        <v>3249</v>
      </c>
      <c r="BM884" s="3276" t="s">
        <v>3345</v>
      </c>
      <c r="BN884" s="3276" t="s">
        <v>2999</v>
      </c>
      <c r="BO884" s="3276" t="s">
        <v>3000</v>
      </c>
      <c r="BP884" s="3276"/>
      <c r="BQ884" s="3276" t="e">
        <v>#DIV/0!</v>
      </c>
      <c r="BR884" s="3276" t="e">
        <v>#DIV/0!</v>
      </c>
      <c r="BS884" s="3285"/>
      <c r="BT884" s="3285"/>
      <c r="BU884" s="3285"/>
      <c r="BV884" s="3347"/>
      <c r="BW884" s="3347"/>
      <c r="BX884" s="3347"/>
      <c r="BY884" s="3347"/>
      <c r="BZ884" s="3347"/>
      <c r="CA884" s="3347"/>
      <c r="CB884" s="3347"/>
      <c r="CC884" s="3347"/>
      <c r="CD884" s="3347"/>
      <c r="CE884" s="3347"/>
      <c r="CF884" s="3347"/>
      <c r="CG884" s="3347"/>
      <c r="CH884" s="3347"/>
      <c r="CI884" s="3347"/>
      <c r="CJ884" s="3347"/>
      <c r="CK884" s="3347"/>
      <c r="CL884" s="3347"/>
      <c r="CM884" s="3347"/>
      <c r="CN884" s="3347"/>
      <c r="CO884" s="3347"/>
      <c r="CP884" s="3347"/>
      <c r="CQ884" s="3347"/>
      <c r="CR884" s="3347"/>
      <c r="CS884" s="3347"/>
      <c r="CT884" s="3347"/>
      <c r="CU884" s="3347"/>
      <c r="CV884" s="3347"/>
      <c r="CW884" s="3347"/>
      <c r="CX884" s="3347"/>
      <c r="CY884" s="3347"/>
      <c r="CZ884" s="3347"/>
      <c r="DA884" s="3347"/>
      <c r="DB884" s="3347"/>
      <c r="DC884" s="3347"/>
      <c r="DD884" s="3347"/>
      <c r="DE884" s="3347"/>
      <c r="DF884" s="3347"/>
      <c r="DG884" s="3347"/>
      <c r="DH884" s="3347"/>
      <c r="DI884" s="3347"/>
      <c r="DJ884" s="3347"/>
      <c r="DK884" s="3347"/>
      <c r="DL884" s="3347"/>
      <c r="DM884" s="3347"/>
      <c r="DN884" s="3347"/>
      <c r="DO884" s="3347"/>
      <c r="DP884" s="3347"/>
      <c r="DQ884" s="3347"/>
      <c r="DR884" s="3347"/>
      <c r="DS884" s="3347"/>
      <c r="DT884" s="3347"/>
      <c r="DU884" s="3347"/>
      <c r="DV884" s="3347"/>
      <c r="DW884" s="3347"/>
      <c r="DX884" s="3347"/>
      <c r="DY884" s="3347"/>
      <c r="DZ884" s="3347"/>
      <c r="EA884" s="3347"/>
      <c r="EB884" s="3347"/>
      <c r="EC884" s="3347"/>
      <c r="ED884" s="3347"/>
      <c r="EE884" s="3347"/>
      <c r="EF884" s="3347"/>
      <c r="EG884" s="3347"/>
      <c r="EH884" s="3347"/>
      <c r="EI884" s="3347"/>
      <c r="EJ884" s="3347"/>
      <c r="EK884" s="3347"/>
      <c r="EL884" s="3347"/>
      <c r="EM884" s="3347"/>
      <c r="EN884" s="3347"/>
      <c r="EO884" s="3347"/>
      <c r="EP884" s="3347"/>
      <c r="EQ884" s="3347"/>
      <c r="ER884" s="3347"/>
      <c r="ES884" s="3347"/>
      <c r="ET884" s="3347"/>
      <c r="EU884" s="3347"/>
      <c r="EV884" s="3347"/>
      <c r="EW884" s="3347"/>
      <c r="EX884" s="3347"/>
      <c r="EY884" s="3347"/>
      <c r="EZ884" s="3347"/>
      <c r="FA884" s="3347"/>
      <c r="FB884" s="3347"/>
      <c r="FC884" s="3347"/>
      <c r="FD884" s="3347"/>
      <c r="FE884" s="3347"/>
      <c r="FF884" s="3347"/>
      <c r="FG884" s="3347"/>
      <c r="FH884" s="3347"/>
      <c r="FI884" s="3347"/>
      <c r="FJ884" s="3347"/>
      <c r="FK884" s="3347"/>
      <c r="FL884" s="3347"/>
      <c r="FM884" s="3347"/>
      <c r="FN884" s="3347"/>
      <c r="FO884" s="3347"/>
      <c r="FP884" s="3347"/>
      <c r="FQ884" s="3347"/>
      <c r="FR884" s="3347"/>
      <c r="FS884" s="3347"/>
      <c r="FT884" s="3347"/>
      <c r="FU884" s="3347"/>
      <c r="FV884" s="3347"/>
      <c r="FW884" s="3347"/>
      <c r="FX884" s="3347"/>
      <c r="FY884" s="3347"/>
      <c r="FZ884" s="3347"/>
      <c r="GA884" s="3347"/>
      <c r="GB884" s="3347"/>
      <c r="GC884" s="3347"/>
      <c r="GD884" s="3347"/>
      <c r="GE884" s="3347"/>
      <c r="GF884" s="3347"/>
      <c r="GG884" s="3347"/>
      <c r="GH884" s="3347"/>
      <c r="GI884" s="3347"/>
      <c r="GJ884" s="3347"/>
      <c r="GK884" s="3347"/>
      <c r="GL884" s="3347"/>
      <c r="GM884" s="3347"/>
      <c r="GN884" s="3347"/>
      <c r="GO884" s="3347"/>
      <c r="GP884" s="3347"/>
      <c r="GQ884" s="3347"/>
      <c r="GR884" s="3347"/>
      <c r="GS884" s="3347"/>
      <c r="GT884" s="3347"/>
      <c r="GU884" s="3347"/>
      <c r="GV884" s="3347"/>
      <c r="GW884" s="3347"/>
      <c r="GX884" s="3347"/>
      <c r="GY884" s="3347"/>
      <c r="GZ884" s="3347"/>
      <c r="HA884" s="3347"/>
      <c r="HB884" s="3347"/>
      <c r="HC884" s="3347"/>
      <c r="HD884" s="3347"/>
      <c r="HE884" s="3347"/>
      <c r="HF884" s="3347"/>
      <c r="HG884" s="3347"/>
      <c r="HH884" s="3347"/>
      <c r="HI884" s="3347"/>
      <c r="HJ884" s="3347"/>
      <c r="HK884" s="3347"/>
      <c r="HL884" s="3347"/>
      <c r="HM884" s="3347"/>
      <c r="HN884" s="3347"/>
      <c r="HO884" s="3347"/>
      <c r="HP884" s="3347"/>
      <c r="HQ884" s="3347"/>
      <c r="HR884" s="3347"/>
      <c r="HS884" s="3347"/>
      <c r="HT884" s="3347"/>
      <c r="HU884" s="3347"/>
      <c r="HV884" s="3347"/>
      <c r="HW884" s="3347"/>
      <c r="HX884" s="3347"/>
      <c r="HY884" s="3347"/>
      <c r="HZ884" s="3347"/>
      <c r="IA884" s="3347"/>
      <c r="IB884" s="3347"/>
    </row>
    <row r="885" spans="1:249" hidden="1">
      <c r="A885" s="3267" t="s">
        <v>9179</v>
      </c>
      <c r="B885" s="3267" t="s">
        <v>9180</v>
      </c>
      <c r="C885" s="3269" t="s">
        <v>9181</v>
      </c>
      <c r="D885" s="3269" t="s">
        <v>9182</v>
      </c>
      <c r="E885" s="3268" t="s">
        <v>2985</v>
      </c>
      <c r="F885" s="3268" t="s">
        <v>5819</v>
      </c>
      <c r="G885" s="3267"/>
      <c r="H885" s="3267" t="s">
        <v>3182</v>
      </c>
      <c r="I885" s="3268"/>
      <c r="J885" s="3267" t="s">
        <v>8226</v>
      </c>
      <c r="K885" s="3267" t="s">
        <v>9180</v>
      </c>
      <c r="L885" s="3267">
        <v>96.14</v>
      </c>
      <c r="M885" s="3267">
        <v>18</v>
      </c>
      <c r="N885" s="3267" t="s">
        <v>3122</v>
      </c>
      <c r="O885" s="3267"/>
      <c r="P885" s="3267" t="s">
        <v>2963</v>
      </c>
      <c r="Q885" s="3271">
        <v>645000</v>
      </c>
      <c r="R885" s="3267">
        <v>6709</v>
      </c>
      <c r="S885" s="3272">
        <v>65.41</v>
      </c>
      <c r="T885" s="3273">
        <v>654100</v>
      </c>
      <c r="U885" s="3267">
        <v>6804</v>
      </c>
      <c r="V885" s="3289">
        <v>0.3</v>
      </c>
      <c r="W885" s="3272">
        <v>45.78</v>
      </c>
      <c r="X885" s="3275">
        <v>457800</v>
      </c>
      <c r="Y885" s="3276">
        <v>2006</v>
      </c>
      <c r="Z885" s="3276">
        <v>11</v>
      </c>
      <c r="AA885" s="3276">
        <v>28</v>
      </c>
      <c r="AB885" s="3267">
        <v>1500</v>
      </c>
      <c r="AC885" s="3267" t="s">
        <v>2980</v>
      </c>
      <c r="AD885" s="3280" t="s">
        <v>9183</v>
      </c>
      <c r="AE885" s="3279" t="s">
        <v>3344</v>
      </c>
      <c r="AF885" s="3267" t="s">
        <v>2966</v>
      </c>
      <c r="AG885" s="3279" t="s">
        <v>2967</v>
      </c>
      <c r="AH885" s="3267"/>
      <c r="AI885" s="3279" t="s">
        <v>2992</v>
      </c>
      <c r="AJ885" s="3284"/>
      <c r="AK885" s="3278" t="s">
        <v>3137</v>
      </c>
      <c r="AL885" s="3276">
        <v>50</v>
      </c>
      <c r="AM885" s="3276" t="s">
        <v>9184</v>
      </c>
      <c r="AN885" s="3279" t="s">
        <v>2994</v>
      </c>
      <c r="AO885" s="3267"/>
      <c r="AP885" s="3279" t="s">
        <v>5706</v>
      </c>
      <c r="AQ885" s="3276" t="s">
        <v>3113</v>
      </c>
      <c r="AR885" s="3276"/>
      <c r="AS885" s="3276"/>
      <c r="AT885" s="3276"/>
      <c r="AU885" s="3276"/>
      <c r="AV885" s="3276" t="s">
        <v>2968</v>
      </c>
      <c r="AW885" s="3276" t="s">
        <v>3171</v>
      </c>
      <c r="AX885" s="3276"/>
      <c r="AY885" s="3291"/>
      <c r="AZ885" s="3267" t="s">
        <v>9185</v>
      </c>
      <c r="BA885" s="3296"/>
      <c r="BB885" s="3297"/>
      <c r="BC885" s="3296"/>
      <c r="BD885" s="3298"/>
      <c r="BE885" s="3276">
        <v>13901226398</v>
      </c>
      <c r="BF885" s="3281" t="s">
        <v>2968</v>
      </c>
      <c r="BG885" s="3293">
        <v>39036</v>
      </c>
      <c r="BH885" s="3354" t="s">
        <v>2998</v>
      </c>
      <c r="BI885" s="3314" t="s">
        <v>5706</v>
      </c>
      <c r="BJ885" s="3283">
        <v>39037</v>
      </c>
      <c r="BK885" s="3283"/>
      <c r="BL885" s="3267" t="s">
        <v>3249</v>
      </c>
      <c r="BM885" s="3276" t="s">
        <v>2879</v>
      </c>
      <c r="BN885" s="3276" t="s">
        <v>2999</v>
      </c>
      <c r="BO885" s="3276" t="s">
        <v>3146</v>
      </c>
      <c r="BP885" s="3276"/>
      <c r="BQ885" s="3276" t="e">
        <v>#DIV/0!</v>
      </c>
      <c r="BR885" s="3276" t="e">
        <v>#DIV/0!</v>
      </c>
      <c r="BS885" s="3285"/>
      <c r="BT885" s="3285"/>
      <c r="BU885" s="3285"/>
      <c r="BV885" s="3347"/>
      <c r="BW885" s="3347"/>
      <c r="BX885" s="3347"/>
      <c r="BY885" s="3347"/>
      <c r="BZ885" s="3347"/>
      <c r="CA885" s="3347"/>
      <c r="CB885" s="3347"/>
      <c r="CC885" s="3347"/>
      <c r="CD885" s="3347"/>
      <c r="CE885" s="3347"/>
      <c r="CF885" s="3347"/>
      <c r="CG885" s="3347"/>
      <c r="CH885" s="3347"/>
      <c r="CI885" s="3347"/>
      <c r="CJ885" s="3347"/>
      <c r="CK885" s="3347"/>
      <c r="CL885" s="3347"/>
      <c r="CM885" s="3347"/>
      <c r="CN885" s="3347"/>
      <c r="CO885" s="3347"/>
      <c r="CP885" s="3347"/>
      <c r="CQ885" s="3347"/>
      <c r="CR885" s="3347"/>
      <c r="CS885" s="3347"/>
      <c r="CT885" s="3347"/>
      <c r="CU885" s="3347"/>
      <c r="CV885" s="3347"/>
      <c r="CW885" s="3347"/>
      <c r="CX885" s="3347"/>
      <c r="CY885" s="3347"/>
      <c r="CZ885" s="3347"/>
      <c r="DA885" s="3347"/>
      <c r="DB885" s="3347"/>
      <c r="DC885" s="3347"/>
      <c r="DD885" s="3347"/>
      <c r="DE885" s="3347"/>
      <c r="DF885" s="3347"/>
      <c r="DG885" s="3347"/>
      <c r="DH885" s="3347"/>
      <c r="DI885" s="3347"/>
      <c r="DJ885" s="3347"/>
      <c r="DK885" s="3347"/>
      <c r="DL885" s="3347"/>
      <c r="DM885" s="3347"/>
      <c r="DN885" s="3347"/>
      <c r="DO885" s="3347"/>
      <c r="DP885" s="3347"/>
      <c r="DQ885" s="3347"/>
      <c r="DR885" s="3347"/>
      <c r="DS885" s="3347"/>
      <c r="DT885" s="3347"/>
      <c r="DU885" s="3347"/>
      <c r="DV885" s="3347"/>
      <c r="DW885" s="3347"/>
      <c r="DX885" s="3347"/>
      <c r="DY885" s="3347"/>
      <c r="DZ885" s="3347"/>
      <c r="EA885" s="3347"/>
      <c r="EB885" s="3347"/>
      <c r="EC885" s="3347"/>
      <c r="ED885" s="3347"/>
      <c r="EE885" s="3347"/>
      <c r="EF885" s="3347"/>
      <c r="EG885" s="3347"/>
      <c r="EH885" s="3347"/>
      <c r="EI885" s="3347"/>
      <c r="EJ885" s="3347"/>
      <c r="EK885" s="3347"/>
      <c r="EL885" s="3347"/>
      <c r="EM885" s="3347"/>
      <c r="EN885" s="3347"/>
      <c r="EO885" s="3347"/>
      <c r="EP885" s="3347"/>
      <c r="EQ885" s="3347"/>
      <c r="ER885" s="3347"/>
      <c r="ES885" s="3347"/>
      <c r="ET885" s="3347"/>
      <c r="EU885" s="3347"/>
      <c r="EV885" s="3347"/>
      <c r="EW885" s="3347"/>
      <c r="EX885" s="3347"/>
      <c r="EY885" s="3347"/>
      <c r="EZ885" s="3347"/>
      <c r="FA885" s="3347"/>
      <c r="FB885" s="3347"/>
      <c r="FC885" s="3347"/>
      <c r="FD885" s="3347"/>
      <c r="FE885" s="3347"/>
      <c r="FF885" s="3347"/>
      <c r="FG885" s="3347"/>
      <c r="FH885" s="3347"/>
      <c r="FI885" s="3347"/>
      <c r="FJ885" s="3347"/>
      <c r="FK885" s="3347"/>
      <c r="FL885" s="3347"/>
      <c r="FM885" s="3347"/>
      <c r="FN885" s="3347"/>
      <c r="FO885" s="3347"/>
      <c r="FP885" s="3347"/>
      <c r="FQ885" s="3347"/>
      <c r="FR885" s="3347"/>
      <c r="FS885" s="3347"/>
      <c r="FT885" s="3347"/>
      <c r="FU885" s="3347"/>
      <c r="FV885" s="3347"/>
      <c r="FW885" s="3347"/>
      <c r="FX885" s="3347"/>
      <c r="FY885" s="3347"/>
      <c r="FZ885" s="3347"/>
      <c r="GA885" s="3347"/>
      <c r="GB885" s="3347"/>
      <c r="GC885" s="3347"/>
      <c r="GD885" s="3347"/>
      <c r="GE885" s="3347"/>
      <c r="GF885" s="3347"/>
      <c r="GG885" s="3347"/>
      <c r="GH885" s="3347"/>
      <c r="GI885" s="3347"/>
      <c r="GJ885" s="3347"/>
      <c r="GK885" s="3347"/>
      <c r="GL885" s="3347"/>
      <c r="GM885" s="3347"/>
      <c r="GN885" s="3347"/>
      <c r="GO885" s="3347"/>
      <c r="GP885" s="3347"/>
      <c r="GQ885" s="3347"/>
      <c r="GR885" s="3347"/>
      <c r="GS885" s="3347"/>
      <c r="GT885" s="3347"/>
      <c r="GU885" s="3347"/>
      <c r="GV885" s="3347"/>
      <c r="GW885" s="3347"/>
      <c r="GX885" s="3347"/>
      <c r="GY885" s="3347"/>
      <c r="GZ885" s="3347"/>
      <c r="HA885" s="3347"/>
      <c r="HB885" s="3347"/>
      <c r="HC885" s="3347"/>
      <c r="HD885" s="3347"/>
      <c r="HE885" s="3347"/>
      <c r="HF885" s="3347"/>
      <c r="HG885" s="3347"/>
      <c r="HH885" s="3347"/>
      <c r="HI885" s="3347"/>
      <c r="HJ885" s="3347"/>
      <c r="HK885" s="3347"/>
      <c r="HL885" s="3347"/>
      <c r="HM885" s="3347"/>
      <c r="HN885" s="3347"/>
      <c r="HO885" s="3347"/>
      <c r="HP885" s="3347"/>
      <c r="HQ885" s="3347"/>
      <c r="HR885" s="3347"/>
      <c r="HS885" s="3347"/>
      <c r="HT885" s="3347"/>
      <c r="HU885" s="3347"/>
      <c r="HV885" s="3347"/>
      <c r="HW885" s="3347"/>
      <c r="HX885" s="3347"/>
      <c r="HY885" s="3347"/>
      <c r="HZ885" s="3347"/>
      <c r="IA885" s="3347"/>
      <c r="IB885" s="3347"/>
    </row>
    <row r="886" spans="1:249" hidden="1">
      <c r="A886" s="3267" t="s">
        <v>9186</v>
      </c>
      <c r="B886" s="3267" t="s">
        <v>9187</v>
      </c>
      <c r="C886" s="3269" t="s">
        <v>9188</v>
      </c>
      <c r="D886" s="3269" t="s">
        <v>9189</v>
      </c>
      <c r="E886" s="3268" t="s">
        <v>2985</v>
      </c>
      <c r="F886" s="3268" t="s">
        <v>5306</v>
      </c>
      <c r="G886" s="3267"/>
      <c r="H886" s="3267" t="s">
        <v>3150</v>
      </c>
      <c r="I886" s="3268"/>
      <c r="J886" s="3267" t="s">
        <v>4805</v>
      </c>
      <c r="K886" s="3267" t="s">
        <v>9190</v>
      </c>
      <c r="L886" s="3267">
        <v>111.55</v>
      </c>
      <c r="M886" s="3267">
        <v>12</v>
      </c>
      <c r="N886" s="3267" t="s">
        <v>3303</v>
      </c>
      <c r="O886" s="3267">
        <v>87.59</v>
      </c>
      <c r="P886" s="3267" t="s">
        <v>2963</v>
      </c>
      <c r="Q886" s="3271">
        <v>770000</v>
      </c>
      <c r="R886" s="3267">
        <v>6903</v>
      </c>
      <c r="S886" s="3272">
        <v>76.92</v>
      </c>
      <c r="T886" s="3273">
        <v>769200</v>
      </c>
      <c r="U886" s="3267">
        <v>6896</v>
      </c>
      <c r="V886" s="3289">
        <v>0.3</v>
      </c>
      <c r="W886" s="3272">
        <v>53.84</v>
      </c>
      <c r="X886" s="3275">
        <v>538400</v>
      </c>
      <c r="Y886" s="3276">
        <v>2006</v>
      </c>
      <c r="Z886" s="3276">
        <v>11</v>
      </c>
      <c r="AA886" s="3276">
        <v>30</v>
      </c>
      <c r="AB886" s="3267">
        <v>1500</v>
      </c>
      <c r="AC886" s="3267" t="s">
        <v>2980</v>
      </c>
      <c r="AD886" s="3280" t="s">
        <v>9191</v>
      </c>
      <c r="AE886" s="3279" t="s">
        <v>3344</v>
      </c>
      <c r="AF886" s="3267" t="s">
        <v>2966</v>
      </c>
      <c r="AG886" s="3279" t="s">
        <v>2967</v>
      </c>
      <c r="AH886" s="3267" t="s">
        <v>9192</v>
      </c>
      <c r="AI886" s="3279" t="s">
        <v>2992</v>
      </c>
      <c r="AJ886" s="3284"/>
      <c r="AK886" s="3278" t="s">
        <v>3137</v>
      </c>
      <c r="AL886" s="3276">
        <v>55</v>
      </c>
      <c r="AM886" s="3276"/>
      <c r="AN886" s="3279" t="s">
        <v>3099</v>
      </c>
      <c r="AO886" s="3267"/>
      <c r="AP886" s="3279" t="s">
        <v>3305</v>
      </c>
      <c r="AQ886" s="3276" t="s">
        <v>3113</v>
      </c>
      <c r="AR886" s="3276"/>
      <c r="AS886" s="3276"/>
      <c r="AT886" s="3276"/>
      <c r="AU886" s="3276"/>
      <c r="AV886" s="3276" t="s">
        <v>2968</v>
      </c>
      <c r="AW886" s="3276" t="s">
        <v>3171</v>
      </c>
      <c r="AX886" s="3276"/>
      <c r="AY886" s="3291"/>
      <c r="AZ886" s="3267" t="s">
        <v>9190</v>
      </c>
      <c r="BA886" s="3296"/>
      <c r="BB886" s="3297"/>
      <c r="BC886" s="3296"/>
      <c r="BD886" s="3298"/>
      <c r="BE886" s="3276"/>
      <c r="BF886" s="3281" t="s">
        <v>2968</v>
      </c>
      <c r="BG886" s="3293">
        <v>39035</v>
      </c>
      <c r="BH886" s="3354" t="s">
        <v>2998</v>
      </c>
      <c r="BI886" s="3314" t="s">
        <v>3305</v>
      </c>
      <c r="BJ886" s="3283">
        <v>39037</v>
      </c>
      <c r="BK886" s="3283"/>
      <c r="BL886" s="3267" t="s">
        <v>3249</v>
      </c>
      <c r="BM886" s="3276" t="s">
        <v>2879</v>
      </c>
      <c r="BN886" s="3276" t="s">
        <v>2999</v>
      </c>
      <c r="BO886" s="3276" t="s">
        <v>3146</v>
      </c>
      <c r="BP886" s="3276"/>
      <c r="BQ886" s="3276">
        <v>8782</v>
      </c>
      <c r="BR886" s="3276">
        <v>8791</v>
      </c>
      <c r="BS886" s="3285"/>
      <c r="BT886" s="3285"/>
      <c r="BU886" s="3285"/>
      <c r="BV886" s="3347"/>
      <c r="BW886" s="3347"/>
      <c r="BX886" s="3347"/>
      <c r="BY886" s="3347"/>
      <c r="BZ886" s="3347"/>
      <c r="CA886" s="3347"/>
      <c r="CB886" s="3347"/>
      <c r="CC886" s="3347"/>
      <c r="CD886" s="3347"/>
      <c r="CE886" s="3347"/>
      <c r="CF886" s="3347"/>
      <c r="CG886" s="3347"/>
      <c r="CH886" s="3347"/>
      <c r="CI886" s="3347"/>
      <c r="CJ886" s="3347"/>
      <c r="CK886" s="3347"/>
      <c r="CL886" s="3347"/>
      <c r="CM886" s="3347"/>
      <c r="CN886" s="3347"/>
      <c r="CO886" s="3347"/>
      <c r="CP886" s="3347"/>
      <c r="CQ886" s="3347"/>
      <c r="CR886" s="3347"/>
      <c r="CS886" s="3347"/>
      <c r="CT886" s="3347"/>
      <c r="CU886" s="3347"/>
      <c r="CV886" s="3347"/>
      <c r="CW886" s="3347"/>
      <c r="CX886" s="3347"/>
      <c r="CY886" s="3347"/>
      <c r="CZ886" s="3347"/>
      <c r="DA886" s="3347"/>
      <c r="DB886" s="3347"/>
      <c r="DC886" s="3347"/>
      <c r="DD886" s="3347"/>
      <c r="DE886" s="3347"/>
      <c r="DF886" s="3347"/>
      <c r="DG886" s="3347"/>
      <c r="DH886" s="3347"/>
      <c r="DI886" s="3347"/>
      <c r="DJ886" s="3347"/>
      <c r="DK886" s="3347"/>
      <c r="DL886" s="3347"/>
      <c r="DM886" s="3347"/>
      <c r="DN886" s="3347"/>
      <c r="DO886" s="3347"/>
      <c r="DP886" s="3347"/>
      <c r="DQ886" s="3347"/>
      <c r="DR886" s="3347"/>
      <c r="DS886" s="3347"/>
      <c r="DT886" s="3347"/>
      <c r="DU886" s="3347"/>
      <c r="DV886" s="3347"/>
      <c r="DW886" s="3347"/>
      <c r="DX886" s="3347"/>
      <c r="DY886" s="3347"/>
      <c r="DZ886" s="3347"/>
      <c r="EA886" s="3347"/>
      <c r="EB886" s="3347"/>
      <c r="EC886" s="3347"/>
      <c r="ED886" s="3347"/>
      <c r="EE886" s="3347"/>
      <c r="EF886" s="3347"/>
      <c r="EG886" s="3347"/>
      <c r="EH886" s="3347"/>
      <c r="EI886" s="3347"/>
      <c r="EJ886" s="3347"/>
      <c r="EK886" s="3347"/>
      <c r="EL886" s="3347"/>
      <c r="EM886" s="3347"/>
      <c r="EN886" s="3347"/>
      <c r="EO886" s="3347"/>
      <c r="EP886" s="3347"/>
      <c r="EQ886" s="3347"/>
      <c r="ER886" s="3347"/>
      <c r="ES886" s="3347"/>
      <c r="ET886" s="3347"/>
      <c r="EU886" s="3347"/>
      <c r="EV886" s="3347"/>
      <c r="EW886" s="3347"/>
      <c r="EX886" s="3347"/>
      <c r="EY886" s="3347"/>
      <c r="EZ886" s="3347"/>
      <c r="FA886" s="3347"/>
      <c r="FB886" s="3347"/>
      <c r="FC886" s="3347"/>
      <c r="FD886" s="3347"/>
      <c r="FE886" s="3347"/>
      <c r="FF886" s="3347"/>
      <c r="FG886" s="3347"/>
      <c r="FH886" s="3347"/>
      <c r="FI886" s="3347"/>
      <c r="FJ886" s="3347"/>
      <c r="FK886" s="3347"/>
      <c r="FL886" s="3347"/>
      <c r="FM886" s="3347"/>
      <c r="FN886" s="3347"/>
      <c r="FO886" s="3347"/>
      <c r="FP886" s="3347"/>
      <c r="FQ886" s="3347"/>
      <c r="FR886" s="3347"/>
      <c r="FS886" s="3347"/>
      <c r="FT886" s="3347"/>
      <c r="FU886" s="3347"/>
      <c r="FV886" s="3347"/>
      <c r="FW886" s="3347"/>
      <c r="FX886" s="3347"/>
      <c r="FY886" s="3347"/>
      <c r="FZ886" s="3347"/>
      <c r="GA886" s="3347"/>
      <c r="GB886" s="3347"/>
      <c r="GC886" s="3347"/>
      <c r="GD886" s="3347"/>
      <c r="GE886" s="3347"/>
      <c r="GF886" s="3347"/>
      <c r="GG886" s="3347"/>
      <c r="GH886" s="3347"/>
      <c r="GI886" s="3347"/>
      <c r="GJ886" s="3347"/>
      <c r="GK886" s="3347"/>
      <c r="GL886" s="3347"/>
      <c r="GM886" s="3347"/>
      <c r="GN886" s="3347"/>
      <c r="GO886" s="3347"/>
      <c r="GP886" s="3347"/>
      <c r="GQ886" s="3347"/>
      <c r="GR886" s="3347"/>
      <c r="GS886" s="3347"/>
      <c r="GT886" s="3347"/>
      <c r="GU886" s="3347"/>
      <c r="GV886" s="3347"/>
      <c r="GW886" s="3347"/>
      <c r="GX886" s="3347"/>
      <c r="GY886" s="3347"/>
      <c r="GZ886" s="3347"/>
      <c r="HA886" s="3347"/>
      <c r="HB886" s="3347"/>
      <c r="HC886" s="3347"/>
      <c r="HD886" s="3347"/>
      <c r="HE886" s="3347"/>
      <c r="HF886" s="3347"/>
      <c r="HG886" s="3347"/>
      <c r="HH886" s="3347"/>
      <c r="HI886" s="3347"/>
      <c r="HJ886" s="3347"/>
      <c r="HK886" s="3347"/>
      <c r="HL886" s="3347"/>
      <c r="HM886" s="3347"/>
      <c r="HN886" s="3347"/>
      <c r="HO886" s="3347"/>
      <c r="HP886" s="3347"/>
      <c r="HQ886" s="3347"/>
      <c r="HR886" s="3347"/>
      <c r="HS886" s="3347"/>
      <c r="HT886" s="3347"/>
      <c r="HU886" s="3347"/>
      <c r="HV886" s="3347"/>
      <c r="HW886" s="3347"/>
      <c r="HX886" s="3347"/>
      <c r="HY886" s="3347"/>
      <c r="HZ886" s="3347"/>
      <c r="IA886" s="3347"/>
      <c r="IB886" s="3347"/>
    </row>
    <row r="887" spans="1:249" hidden="1">
      <c r="A887" s="3267" t="s">
        <v>9193</v>
      </c>
      <c r="B887" s="3267" t="s">
        <v>9194</v>
      </c>
      <c r="C887" s="3269" t="s">
        <v>9195</v>
      </c>
      <c r="D887" s="3269" t="s">
        <v>9196</v>
      </c>
      <c r="E887" s="3268" t="s">
        <v>2985</v>
      </c>
      <c r="F887" s="3268" t="s">
        <v>7565</v>
      </c>
      <c r="G887" s="3267"/>
      <c r="H887" s="3267" t="s">
        <v>3712</v>
      </c>
      <c r="I887" s="3268" t="s">
        <v>3586</v>
      </c>
      <c r="J887" s="3267" t="s">
        <v>3189</v>
      </c>
      <c r="K887" s="3267" t="s">
        <v>9197</v>
      </c>
      <c r="L887" s="3267">
        <v>65.09</v>
      </c>
      <c r="M887" s="3267">
        <v>1</v>
      </c>
      <c r="N887" s="3267" t="s">
        <v>3125</v>
      </c>
      <c r="O887" s="3267"/>
      <c r="P887" s="3267" t="s">
        <v>2963</v>
      </c>
      <c r="Q887" s="3271">
        <v>480000</v>
      </c>
      <c r="R887" s="3267">
        <v>7374</v>
      </c>
      <c r="S887" s="3272">
        <v>41.5</v>
      </c>
      <c r="T887" s="3273">
        <v>415000</v>
      </c>
      <c r="U887" s="3267">
        <v>6377</v>
      </c>
      <c r="V887" s="3289">
        <v>0.2</v>
      </c>
      <c r="W887" s="3272">
        <v>33.200000000000003</v>
      </c>
      <c r="X887" s="3275">
        <v>332000</v>
      </c>
      <c r="Y887" s="3276">
        <v>2006</v>
      </c>
      <c r="Z887" s="3276">
        <v>12</v>
      </c>
      <c r="AA887" s="3276">
        <v>8</v>
      </c>
      <c r="AB887" s="3267">
        <v>1245</v>
      </c>
      <c r="AC887" s="3267" t="s">
        <v>2980</v>
      </c>
      <c r="AD887" s="3280" t="s">
        <v>9198</v>
      </c>
      <c r="AE887" s="3279" t="s">
        <v>3344</v>
      </c>
      <c r="AF887" s="3267" t="s">
        <v>2966</v>
      </c>
      <c r="AG887" s="3279" t="s">
        <v>2967</v>
      </c>
      <c r="AH887" s="3267" t="s">
        <v>9199</v>
      </c>
      <c r="AI887" s="3279" t="s">
        <v>2992</v>
      </c>
      <c r="AJ887" s="3284"/>
      <c r="AK887" s="3278" t="s">
        <v>3120</v>
      </c>
      <c r="AL887" s="3276">
        <v>32</v>
      </c>
      <c r="AM887" s="3276"/>
      <c r="AN887" s="3279" t="s">
        <v>3140</v>
      </c>
      <c r="AO887" s="3267"/>
      <c r="AP887" s="3279" t="s">
        <v>3305</v>
      </c>
      <c r="AQ887" s="3267" t="s">
        <v>3228</v>
      </c>
      <c r="AR887" s="3276"/>
      <c r="AS887" s="3276"/>
      <c r="AT887" s="3276"/>
      <c r="AU887" s="3276"/>
      <c r="AV887" s="3276" t="s">
        <v>2968</v>
      </c>
      <c r="AW887" s="3276" t="s">
        <v>3171</v>
      </c>
      <c r="AX887" s="3276"/>
      <c r="AY887" s="3291"/>
      <c r="AZ887" s="3267" t="s">
        <v>9197</v>
      </c>
      <c r="BA887" s="3296"/>
      <c r="BB887" s="3297"/>
      <c r="BC887" s="3296"/>
      <c r="BD887" s="3298"/>
      <c r="BE887" s="3276"/>
      <c r="BF887" s="3281" t="s">
        <v>2968</v>
      </c>
      <c r="BG887" s="3293">
        <v>39029</v>
      </c>
      <c r="BH887" s="3354" t="s">
        <v>2998</v>
      </c>
      <c r="BI887" s="3314" t="s">
        <v>3305</v>
      </c>
      <c r="BJ887" s="3283">
        <v>39037</v>
      </c>
      <c r="BK887" s="3283"/>
      <c r="BL887" s="3267" t="s">
        <v>3249</v>
      </c>
      <c r="BM887" s="3276" t="s">
        <v>2879</v>
      </c>
      <c r="BN887" s="3276" t="s">
        <v>2999</v>
      </c>
      <c r="BO887" s="3276" t="s">
        <v>3146</v>
      </c>
      <c r="BP887" s="3276"/>
      <c r="BQ887" s="3276" t="e">
        <v>#DIV/0!</v>
      </c>
      <c r="BR887" s="3276" t="e">
        <v>#DIV/0!</v>
      </c>
      <c r="BS887" s="3285"/>
      <c r="BT887" s="3285"/>
      <c r="BU887" s="3285"/>
      <c r="BV887" s="3347"/>
      <c r="BW887" s="3347"/>
      <c r="BX887" s="3347"/>
      <c r="BY887" s="3347"/>
      <c r="BZ887" s="3347"/>
      <c r="CA887" s="3347"/>
      <c r="CB887" s="3347"/>
      <c r="CC887" s="3347"/>
      <c r="CD887" s="3347"/>
      <c r="CE887" s="3347"/>
      <c r="CF887" s="3347"/>
      <c r="CG887" s="3347"/>
      <c r="CH887" s="3347"/>
      <c r="CI887" s="3347"/>
      <c r="CJ887" s="3347"/>
      <c r="CK887" s="3347"/>
      <c r="CL887" s="3347"/>
      <c r="CM887" s="3347"/>
      <c r="CN887" s="3347"/>
      <c r="CO887" s="3347"/>
      <c r="CP887" s="3347"/>
      <c r="CQ887" s="3347"/>
      <c r="CR887" s="3347"/>
      <c r="CS887" s="3347"/>
      <c r="CT887" s="3347"/>
      <c r="CU887" s="3347"/>
      <c r="CV887" s="3347"/>
      <c r="CW887" s="3347"/>
      <c r="CX887" s="3347"/>
      <c r="CY887" s="3347"/>
      <c r="CZ887" s="3347"/>
      <c r="DA887" s="3347"/>
      <c r="DB887" s="3347"/>
      <c r="DC887" s="3347"/>
      <c r="DD887" s="3347"/>
      <c r="DE887" s="3347"/>
      <c r="DF887" s="3347"/>
      <c r="DG887" s="3347"/>
      <c r="DH887" s="3347"/>
      <c r="DI887" s="3347"/>
      <c r="DJ887" s="3347"/>
      <c r="DK887" s="3347"/>
      <c r="DL887" s="3347"/>
      <c r="DM887" s="3347"/>
      <c r="DN887" s="3347"/>
      <c r="DO887" s="3347"/>
      <c r="DP887" s="3347"/>
      <c r="DQ887" s="3347"/>
      <c r="DR887" s="3347"/>
      <c r="DS887" s="3347"/>
      <c r="DT887" s="3347"/>
      <c r="DU887" s="3347"/>
      <c r="DV887" s="3347"/>
      <c r="DW887" s="3347"/>
      <c r="DX887" s="3347"/>
      <c r="DY887" s="3347"/>
      <c r="DZ887" s="3347"/>
      <c r="EA887" s="3347"/>
      <c r="EB887" s="3347"/>
      <c r="EC887" s="3347"/>
      <c r="ED887" s="3347"/>
      <c r="EE887" s="3347"/>
      <c r="EF887" s="3347"/>
      <c r="EG887" s="3347"/>
      <c r="EH887" s="3347"/>
      <c r="EI887" s="3347"/>
      <c r="EJ887" s="3347"/>
      <c r="EK887" s="3347"/>
      <c r="EL887" s="3347"/>
      <c r="EM887" s="3347"/>
      <c r="EN887" s="3347"/>
      <c r="EO887" s="3347"/>
      <c r="EP887" s="3347"/>
      <c r="EQ887" s="3347"/>
      <c r="ER887" s="3347"/>
      <c r="ES887" s="3347"/>
      <c r="ET887" s="3347"/>
      <c r="EU887" s="3347"/>
      <c r="EV887" s="3347"/>
      <c r="EW887" s="3347"/>
      <c r="EX887" s="3347"/>
      <c r="EY887" s="3347"/>
      <c r="EZ887" s="3347"/>
      <c r="FA887" s="3347"/>
      <c r="FB887" s="3347"/>
      <c r="FC887" s="3347"/>
      <c r="FD887" s="3347"/>
      <c r="FE887" s="3347"/>
      <c r="FF887" s="3347"/>
      <c r="FG887" s="3347"/>
      <c r="FH887" s="3347"/>
      <c r="FI887" s="3347"/>
      <c r="FJ887" s="3347"/>
      <c r="FK887" s="3347"/>
      <c r="FL887" s="3347"/>
      <c r="FM887" s="3347"/>
      <c r="FN887" s="3347"/>
      <c r="FO887" s="3347"/>
      <c r="FP887" s="3347"/>
      <c r="FQ887" s="3347"/>
      <c r="FR887" s="3347"/>
      <c r="FS887" s="3347"/>
      <c r="FT887" s="3347"/>
      <c r="FU887" s="3347"/>
      <c r="FV887" s="3347"/>
      <c r="FW887" s="3347"/>
      <c r="FX887" s="3347"/>
      <c r="FY887" s="3347"/>
      <c r="FZ887" s="3347"/>
      <c r="GA887" s="3347"/>
      <c r="GB887" s="3347"/>
      <c r="GC887" s="3347"/>
      <c r="GD887" s="3347"/>
      <c r="GE887" s="3347"/>
      <c r="GF887" s="3347"/>
      <c r="GG887" s="3347"/>
      <c r="GH887" s="3347"/>
      <c r="GI887" s="3347"/>
      <c r="GJ887" s="3347"/>
      <c r="GK887" s="3347"/>
      <c r="GL887" s="3347"/>
      <c r="GM887" s="3347"/>
      <c r="GN887" s="3347"/>
      <c r="GO887" s="3347"/>
      <c r="GP887" s="3347"/>
      <c r="GQ887" s="3347"/>
      <c r="GR887" s="3347"/>
      <c r="GS887" s="3347"/>
      <c r="GT887" s="3347"/>
      <c r="GU887" s="3347"/>
      <c r="GV887" s="3347"/>
      <c r="GW887" s="3347"/>
      <c r="GX887" s="3347"/>
      <c r="GY887" s="3347"/>
      <c r="GZ887" s="3347"/>
      <c r="HA887" s="3347"/>
      <c r="HB887" s="3347"/>
      <c r="HC887" s="3347"/>
      <c r="HD887" s="3347"/>
      <c r="HE887" s="3347"/>
      <c r="HF887" s="3347"/>
      <c r="HG887" s="3347"/>
      <c r="HH887" s="3347"/>
      <c r="HI887" s="3347"/>
      <c r="HJ887" s="3347"/>
      <c r="HK887" s="3347"/>
      <c r="HL887" s="3347"/>
      <c r="HM887" s="3347"/>
      <c r="HN887" s="3347"/>
      <c r="HO887" s="3347"/>
      <c r="HP887" s="3347"/>
      <c r="HQ887" s="3347"/>
      <c r="HR887" s="3347"/>
      <c r="HS887" s="3347"/>
      <c r="HT887" s="3347"/>
      <c r="HU887" s="3347"/>
      <c r="HV887" s="3347"/>
      <c r="HW887" s="3347"/>
      <c r="HX887" s="3347"/>
      <c r="HY887" s="3347"/>
      <c r="HZ887" s="3347"/>
      <c r="IA887" s="3347"/>
      <c r="IB887" s="3347"/>
    </row>
    <row r="888" spans="1:249" hidden="1">
      <c r="A888" s="3267" t="s">
        <v>9200</v>
      </c>
      <c r="B888" s="3267" t="s">
        <v>9201</v>
      </c>
      <c r="C888" s="3269" t="s">
        <v>9202</v>
      </c>
      <c r="D888" s="3269" t="s">
        <v>9203</v>
      </c>
      <c r="E888" s="3268" t="s">
        <v>2985</v>
      </c>
      <c r="F888" s="3268" t="s">
        <v>3279</v>
      </c>
      <c r="G888" s="3267"/>
      <c r="H888" s="3267" t="s">
        <v>5314</v>
      </c>
      <c r="I888" s="3268"/>
      <c r="J888" s="3267" t="s">
        <v>9204</v>
      </c>
      <c r="K888" s="3267" t="s">
        <v>9205</v>
      </c>
      <c r="L888" s="3267">
        <v>71.98</v>
      </c>
      <c r="M888" s="3270">
        <v>7</v>
      </c>
      <c r="N888" s="3267" t="s">
        <v>7630</v>
      </c>
      <c r="O888" s="3267"/>
      <c r="P888" s="3267" t="s">
        <v>2963</v>
      </c>
      <c r="Q888" s="3271">
        <v>530000</v>
      </c>
      <c r="R888" s="3267">
        <v>7363</v>
      </c>
      <c r="S888" s="3272">
        <v>47.48</v>
      </c>
      <c r="T888" s="3273">
        <v>474800</v>
      </c>
      <c r="U888" s="3267">
        <v>6597</v>
      </c>
      <c r="V888" s="3289">
        <v>0.2</v>
      </c>
      <c r="W888" s="3272">
        <v>37.979999999999997</v>
      </c>
      <c r="X888" s="3275">
        <v>379800</v>
      </c>
      <c r="Y888" s="3276">
        <v>2006</v>
      </c>
      <c r="Z888" s="3276">
        <v>11</v>
      </c>
      <c r="AA888" s="3276">
        <v>22</v>
      </c>
      <c r="AB888" s="3267">
        <v>1420</v>
      </c>
      <c r="AC888" s="3267" t="s">
        <v>2980</v>
      </c>
      <c r="AD888" s="3269" t="s">
        <v>9206</v>
      </c>
      <c r="AE888" s="3279" t="s">
        <v>3344</v>
      </c>
      <c r="AF888" s="3268" t="s">
        <v>2966</v>
      </c>
      <c r="AG888" s="3279" t="s">
        <v>2967</v>
      </c>
      <c r="AH888" s="3267" t="s">
        <v>9207</v>
      </c>
      <c r="AI888" s="3279" t="s">
        <v>2992</v>
      </c>
      <c r="AJ888" s="3284"/>
      <c r="AK888" s="3278" t="s">
        <v>3137</v>
      </c>
      <c r="AL888" s="3276">
        <v>51</v>
      </c>
      <c r="AM888" s="3267"/>
      <c r="AN888" s="3279" t="s">
        <v>2994</v>
      </c>
      <c r="AO888" s="3267"/>
      <c r="AP888" s="3279" t="s">
        <v>3305</v>
      </c>
      <c r="AQ888" s="3276" t="s">
        <v>2996</v>
      </c>
      <c r="AR888" s="3276"/>
      <c r="AS888" s="3276"/>
      <c r="AT888" s="3276"/>
      <c r="AU888" s="3276"/>
      <c r="AV888" s="3276" t="s">
        <v>2968</v>
      </c>
      <c r="AW888" s="3276" t="s">
        <v>3171</v>
      </c>
      <c r="AX888" s="3276"/>
      <c r="AY888" s="3291"/>
      <c r="AZ888" s="3267" t="s">
        <v>9205</v>
      </c>
      <c r="BA888" s="3296"/>
      <c r="BB888" s="3297"/>
      <c r="BC888" s="3296"/>
      <c r="BD888" s="3296"/>
      <c r="BE888" s="3276">
        <v>13901067249</v>
      </c>
      <c r="BF888" s="3281" t="s">
        <v>2968</v>
      </c>
      <c r="BG888" s="3293">
        <v>39038</v>
      </c>
      <c r="BH888" s="3267" t="s">
        <v>2998</v>
      </c>
      <c r="BI888" s="3314" t="s">
        <v>3305</v>
      </c>
      <c r="BJ888" s="3283">
        <v>39038</v>
      </c>
      <c r="BK888" s="3283"/>
      <c r="BL888" s="3267" t="s">
        <v>3249</v>
      </c>
      <c r="BM888" s="3276" t="s">
        <v>2879</v>
      </c>
      <c r="BN888" s="3276" t="s">
        <v>3111</v>
      </c>
      <c r="BO888" s="3276" t="s">
        <v>3146</v>
      </c>
      <c r="BP888" s="3276"/>
      <c r="BQ888" s="3276" t="e">
        <v>#DIV/0!</v>
      </c>
      <c r="BR888" s="3276" t="e">
        <v>#DIV/0!</v>
      </c>
      <c r="BS888" s="3285"/>
      <c r="BT888" s="3285"/>
      <c r="BU888" s="3285"/>
      <c r="BV888" s="3262"/>
      <c r="BW888" s="3262"/>
      <c r="BX888" s="3262"/>
      <c r="BY888" s="3262"/>
      <c r="BZ888" s="3262"/>
      <c r="CA888" s="3262"/>
      <c r="CB888" s="3262"/>
      <c r="CC888" s="3262"/>
      <c r="CD888" s="3262"/>
      <c r="CE888" s="3262"/>
      <c r="CF888" s="3262"/>
      <c r="CG888" s="3262"/>
      <c r="CH888" s="3262"/>
      <c r="CI888" s="3262"/>
      <c r="CJ888" s="3262"/>
      <c r="CK888" s="3262"/>
      <c r="CL888" s="3262"/>
      <c r="CM888" s="3262"/>
      <c r="CN888" s="3262"/>
      <c r="CO888" s="3262"/>
      <c r="CP888" s="3262"/>
      <c r="CQ888" s="3262"/>
      <c r="CR888" s="3262"/>
      <c r="CS888" s="3262"/>
      <c r="CT888" s="3262"/>
      <c r="CU888" s="3262"/>
      <c r="CV888" s="3262"/>
      <c r="CW888" s="3262"/>
      <c r="CX888" s="3262"/>
      <c r="CY888" s="3262"/>
      <c r="CZ888" s="3262"/>
      <c r="DA888" s="3262"/>
      <c r="DB888" s="3262"/>
      <c r="DC888" s="3262"/>
      <c r="DD888" s="3262"/>
      <c r="DE888" s="3262"/>
      <c r="DF888" s="3262"/>
      <c r="DG888" s="3262"/>
      <c r="DH888" s="3262"/>
      <c r="DI888" s="3262"/>
      <c r="DJ888" s="3262"/>
      <c r="DK888" s="3262"/>
      <c r="DL888" s="3262"/>
      <c r="DM888" s="3262"/>
      <c r="DN888" s="3262"/>
      <c r="DO888" s="3262"/>
      <c r="DP888" s="3262"/>
      <c r="DQ888" s="3262"/>
      <c r="DR888" s="3262"/>
      <c r="DS888" s="3262"/>
      <c r="DT888" s="3262"/>
      <c r="DU888" s="3262"/>
      <c r="DV888" s="3262"/>
      <c r="DW888" s="3262"/>
      <c r="DX888" s="3262"/>
      <c r="DY888" s="3262"/>
      <c r="DZ888" s="3262"/>
      <c r="EA888" s="3262"/>
      <c r="EB888" s="3262"/>
      <c r="EC888" s="3262"/>
      <c r="ED888" s="3262"/>
      <c r="EE888" s="3262"/>
      <c r="EF888" s="3262"/>
      <c r="EG888" s="3262"/>
      <c r="EH888" s="3262"/>
      <c r="EI888" s="3262"/>
      <c r="EJ888" s="3262"/>
      <c r="EK888" s="3262"/>
      <c r="EL888" s="3262"/>
      <c r="EM888" s="3262"/>
      <c r="EN888" s="3262"/>
      <c r="EO888" s="3262"/>
      <c r="EP888" s="3262"/>
      <c r="EQ888" s="3262"/>
      <c r="ER888" s="3262"/>
      <c r="ES888" s="3262"/>
      <c r="ET888" s="3262"/>
      <c r="EU888" s="3262"/>
      <c r="EV888" s="3262"/>
      <c r="EW888" s="3262"/>
      <c r="EX888" s="3262"/>
      <c r="EY888" s="3262"/>
      <c r="EZ888" s="3262"/>
      <c r="FA888" s="3262"/>
      <c r="FB888" s="3262"/>
      <c r="FC888" s="3262"/>
      <c r="FD888" s="3262"/>
      <c r="FE888" s="3262"/>
      <c r="FF888" s="3262"/>
      <c r="FG888" s="3262"/>
      <c r="FH888" s="3262"/>
      <c r="FI888" s="3262"/>
      <c r="FJ888" s="3262"/>
      <c r="FK888" s="3262"/>
      <c r="FL888" s="3262"/>
      <c r="FM888" s="3262"/>
      <c r="FN888" s="3262"/>
      <c r="FO888" s="3262"/>
      <c r="FP888" s="3262"/>
      <c r="FQ888" s="3262"/>
      <c r="FR888" s="3262"/>
      <c r="FS888" s="3262"/>
      <c r="FT888" s="3262"/>
      <c r="FU888" s="3262"/>
      <c r="FV888" s="3262"/>
      <c r="FW888" s="3262"/>
      <c r="FX888" s="3262"/>
      <c r="FY888" s="3262"/>
      <c r="FZ888" s="3262"/>
      <c r="GA888" s="3262"/>
      <c r="GB888" s="3262"/>
      <c r="GC888" s="3262"/>
      <c r="GD888" s="3262"/>
      <c r="GE888" s="3262"/>
      <c r="GF888" s="3262"/>
      <c r="GG888" s="3262"/>
      <c r="GH888" s="3262"/>
      <c r="GI888" s="3262"/>
      <c r="GJ888" s="3262"/>
      <c r="GK888" s="3262"/>
      <c r="GL888" s="3262"/>
      <c r="GM888" s="3262"/>
      <c r="GN888" s="3262"/>
      <c r="GO888" s="3262"/>
      <c r="GP888" s="3262"/>
      <c r="GQ888" s="3262"/>
      <c r="GR888" s="3262"/>
      <c r="GS888" s="3262"/>
      <c r="GT888" s="3262"/>
      <c r="GU888" s="3262"/>
      <c r="GV888" s="3262"/>
      <c r="GW888" s="3262"/>
      <c r="GX888" s="3262"/>
      <c r="GY888" s="3262"/>
      <c r="GZ888" s="3262"/>
      <c r="HA888" s="3262"/>
      <c r="HB888" s="3262"/>
      <c r="HC888" s="3262"/>
      <c r="HD888" s="3262"/>
      <c r="HE888" s="3262"/>
      <c r="HF888" s="3262"/>
      <c r="HG888" s="3262"/>
      <c r="HH888" s="3262"/>
      <c r="HI888" s="3262"/>
      <c r="HJ888" s="3262"/>
      <c r="HK888" s="3262"/>
      <c r="HL888" s="3262"/>
      <c r="HM888" s="3262"/>
      <c r="HN888" s="3262"/>
      <c r="HO888" s="3262"/>
      <c r="HP888" s="3262"/>
      <c r="HQ888" s="3262"/>
      <c r="HR888" s="3262"/>
      <c r="HS888" s="3262"/>
      <c r="HT888" s="3262"/>
      <c r="HU888" s="3262"/>
      <c r="HV888" s="3262"/>
      <c r="HW888" s="3262"/>
      <c r="HX888" s="3262"/>
      <c r="HY888" s="3262"/>
      <c r="HZ888" s="3262"/>
      <c r="IA888" s="3262"/>
      <c r="IB888" s="3262"/>
    </row>
    <row r="889" spans="1:249" hidden="1">
      <c r="A889" s="3267" t="s">
        <v>9208</v>
      </c>
      <c r="B889" s="3267" t="s">
        <v>9209</v>
      </c>
      <c r="C889" s="3269" t="s">
        <v>9210</v>
      </c>
      <c r="D889" s="3269" t="s">
        <v>9211</v>
      </c>
      <c r="E889" s="3268" t="s">
        <v>2985</v>
      </c>
      <c r="F889" s="3268" t="s">
        <v>9212</v>
      </c>
      <c r="G889" s="3267"/>
      <c r="H889" s="3267" t="s">
        <v>3097</v>
      </c>
      <c r="I889" s="3268"/>
      <c r="J889" s="3268" t="s">
        <v>9213</v>
      </c>
      <c r="K889" s="3267" t="s">
        <v>9209</v>
      </c>
      <c r="L889" s="3267">
        <v>55.05</v>
      </c>
      <c r="M889" s="3267">
        <v>4</v>
      </c>
      <c r="N889" s="3267" t="s">
        <v>3122</v>
      </c>
      <c r="O889" s="3267"/>
      <c r="P889" s="3267" t="s">
        <v>2963</v>
      </c>
      <c r="Q889" s="3271">
        <v>330000</v>
      </c>
      <c r="R889" s="3267">
        <v>5995</v>
      </c>
      <c r="S889" s="3272">
        <v>28.19</v>
      </c>
      <c r="T889" s="3273">
        <v>281900</v>
      </c>
      <c r="U889" s="3267">
        <v>5122</v>
      </c>
      <c r="V889" s="3289">
        <v>0.2</v>
      </c>
      <c r="W889" s="3272">
        <v>22.55</v>
      </c>
      <c r="X889" s="3275">
        <v>225500</v>
      </c>
      <c r="Y889" s="3276">
        <v>2006</v>
      </c>
      <c r="Z889" s="3276">
        <v>12</v>
      </c>
      <c r="AA889" s="3276">
        <v>28</v>
      </c>
      <c r="AB889" s="3267">
        <v>845</v>
      </c>
      <c r="AC889" s="3267" t="s">
        <v>2980</v>
      </c>
      <c r="AD889" s="3366">
        <v>91302006110952</v>
      </c>
      <c r="AE889" s="3279" t="s">
        <v>2991</v>
      </c>
      <c r="AF889" s="3268"/>
      <c r="AG889" s="3279" t="s">
        <v>2967</v>
      </c>
      <c r="AH889" s="3267"/>
      <c r="AI889" s="3279" t="s">
        <v>2992</v>
      </c>
      <c r="AJ889" s="3284"/>
      <c r="AK889" s="3278" t="s">
        <v>3120</v>
      </c>
      <c r="AL889" s="3276">
        <v>46</v>
      </c>
      <c r="AM889" s="3276" t="s">
        <v>9214</v>
      </c>
      <c r="AN889" s="3279" t="s">
        <v>3099</v>
      </c>
      <c r="AO889" s="3267"/>
      <c r="AP889" s="3279" t="s">
        <v>2991</v>
      </c>
      <c r="AQ889" s="3267" t="s">
        <v>3228</v>
      </c>
      <c r="AR889" s="3276">
        <v>2006</v>
      </c>
      <c r="AS889" s="3276">
        <v>12</v>
      </c>
      <c r="AT889" s="3276">
        <v>28</v>
      </c>
      <c r="AU889" s="3276"/>
      <c r="AV889" s="3276"/>
      <c r="AW889" s="3276" t="s">
        <v>2997</v>
      </c>
      <c r="AX889" s="3276"/>
      <c r="AY889" s="3291"/>
      <c r="AZ889" s="3267" t="s">
        <v>9215</v>
      </c>
      <c r="BA889" s="3296"/>
      <c r="BB889" s="3297"/>
      <c r="BC889" s="3296"/>
      <c r="BD889" s="3298"/>
      <c r="BE889" s="3276"/>
      <c r="BF889" s="3281"/>
      <c r="BG889" s="3293">
        <v>39037</v>
      </c>
      <c r="BH889" s="3267"/>
      <c r="BI889" s="3267" t="s">
        <v>2991</v>
      </c>
      <c r="BJ889" s="3299">
        <v>39038</v>
      </c>
      <c r="BK889" s="3283" t="s">
        <v>2968</v>
      </c>
      <c r="BL889" s="3267" t="s">
        <v>2998</v>
      </c>
      <c r="BM889" s="3276" t="s">
        <v>2879</v>
      </c>
      <c r="BN889" s="3276" t="s">
        <v>2999</v>
      </c>
      <c r="BO889" s="3276" t="s">
        <v>3146</v>
      </c>
      <c r="BP889" s="3276"/>
      <c r="BQ889" s="3276" t="e">
        <v>#DIV/0!</v>
      </c>
      <c r="BR889" s="3276" t="e">
        <v>#DIV/0!</v>
      </c>
      <c r="BS889" s="3285"/>
      <c r="BT889" s="3285"/>
      <c r="BU889" s="3285"/>
      <c r="BV889" s="3347"/>
      <c r="BW889" s="3262" t="s">
        <v>3262</v>
      </c>
      <c r="BX889" s="3262" t="s">
        <v>3262</v>
      </c>
      <c r="BY889" s="3262" t="s">
        <v>3262</v>
      </c>
      <c r="BZ889" s="3262" t="s">
        <v>3262</v>
      </c>
      <c r="CA889" s="3262" t="s">
        <v>3262</v>
      </c>
      <c r="CB889" s="3262" t="s">
        <v>3262</v>
      </c>
      <c r="CC889" s="3262" t="s">
        <v>3262</v>
      </c>
      <c r="CD889" s="3262" t="s">
        <v>3262</v>
      </c>
      <c r="CE889" s="3262" t="s">
        <v>3262</v>
      </c>
      <c r="CF889" s="3262" t="s">
        <v>3262</v>
      </c>
      <c r="CG889" s="3262" t="s">
        <v>3262</v>
      </c>
      <c r="CH889" s="3262" t="s">
        <v>3262</v>
      </c>
      <c r="CI889" s="3262" t="s">
        <v>3262</v>
      </c>
      <c r="CJ889" s="3262" t="s">
        <v>3262</v>
      </c>
      <c r="CK889" s="3262" t="s">
        <v>3262</v>
      </c>
      <c r="CL889" s="3262" t="s">
        <v>3262</v>
      </c>
      <c r="CM889" s="3262" t="s">
        <v>3262</v>
      </c>
      <c r="CN889" s="3262" t="s">
        <v>3262</v>
      </c>
      <c r="CO889" s="3262" t="s">
        <v>3262</v>
      </c>
      <c r="CP889" s="3262" t="s">
        <v>3262</v>
      </c>
      <c r="CQ889" s="3262" t="s">
        <v>3262</v>
      </c>
      <c r="CR889" s="3262" t="s">
        <v>3262</v>
      </c>
      <c r="CS889" s="3262" t="s">
        <v>3262</v>
      </c>
      <c r="CT889" s="3262" t="s">
        <v>3262</v>
      </c>
      <c r="CU889" s="3262" t="s">
        <v>3262</v>
      </c>
      <c r="CV889" s="3262" t="s">
        <v>3262</v>
      </c>
      <c r="CW889" s="3262" t="s">
        <v>3262</v>
      </c>
      <c r="CX889" s="3262" t="s">
        <v>3262</v>
      </c>
      <c r="CY889" s="3262" t="s">
        <v>3262</v>
      </c>
      <c r="CZ889" s="3262" t="s">
        <v>3262</v>
      </c>
      <c r="DA889" s="3262" t="s">
        <v>3262</v>
      </c>
      <c r="DB889" s="3262" t="s">
        <v>3262</v>
      </c>
      <c r="DC889" s="3262" t="s">
        <v>3262</v>
      </c>
      <c r="DD889" s="3262" t="s">
        <v>3262</v>
      </c>
      <c r="DE889" s="3262" t="s">
        <v>3262</v>
      </c>
      <c r="DF889" s="3262" t="s">
        <v>3262</v>
      </c>
      <c r="DG889" s="3262" t="s">
        <v>3262</v>
      </c>
      <c r="DH889" s="3262" t="s">
        <v>3262</v>
      </c>
      <c r="DI889" s="3262" t="s">
        <v>3262</v>
      </c>
      <c r="DJ889" s="3262" t="s">
        <v>3262</v>
      </c>
      <c r="DK889" s="3262" t="s">
        <v>3262</v>
      </c>
      <c r="DL889" s="3262" t="s">
        <v>3262</v>
      </c>
      <c r="DM889" s="3262" t="s">
        <v>3262</v>
      </c>
      <c r="DN889" s="3262" t="s">
        <v>3262</v>
      </c>
      <c r="DO889" s="3262" t="s">
        <v>3262</v>
      </c>
      <c r="DP889" s="3262" t="s">
        <v>3262</v>
      </c>
      <c r="DQ889" s="3262" t="s">
        <v>3262</v>
      </c>
      <c r="DR889" s="3262" t="s">
        <v>3262</v>
      </c>
      <c r="DS889" s="3262" t="s">
        <v>3262</v>
      </c>
      <c r="DT889" s="3262" t="s">
        <v>3262</v>
      </c>
      <c r="DU889" s="3262" t="s">
        <v>3262</v>
      </c>
      <c r="DV889" s="3262" t="s">
        <v>3262</v>
      </c>
      <c r="DW889" s="3262" t="s">
        <v>3262</v>
      </c>
      <c r="DX889" s="3262" t="s">
        <v>3262</v>
      </c>
      <c r="DY889" s="3262" t="s">
        <v>3262</v>
      </c>
      <c r="DZ889" s="3262" t="s">
        <v>3262</v>
      </c>
      <c r="EA889" s="3262" t="s">
        <v>3262</v>
      </c>
      <c r="EB889" s="3262" t="s">
        <v>3262</v>
      </c>
      <c r="EC889" s="3262" t="s">
        <v>3262</v>
      </c>
      <c r="ED889" s="3262" t="s">
        <v>3262</v>
      </c>
      <c r="EE889" s="3262" t="s">
        <v>3262</v>
      </c>
      <c r="EF889" s="3262" t="s">
        <v>3262</v>
      </c>
      <c r="EG889" s="3262" t="s">
        <v>3262</v>
      </c>
      <c r="EH889" s="3262" t="s">
        <v>3262</v>
      </c>
      <c r="EI889" s="3262" t="s">
        <v>3262</v>
      </c>
      <c r="EJ889" s="3262" t="s">
        <v>3262</v>
      </c>
      <c r="EK889" s="3262" t="s">
        <v>3262</v>
      </c>
      <c r="EL889" s="3262" t="s">
        <v>3262</v>
      </c>
      <c r="EM889" s="3262" t="s">
        <v>3262</v>
      </c>
      <c r="EN889" s="3262" t="s">
        <v>3262</v>
      </c>
      <c r="EO889" s="3262" t="s">
        <v>3262</v>
      </c>
      <c r="EP889" s="3262" t="s">
        <v>3262</v>
      </c>
      <c r="EQ889" s="3262" t="s">
        <v>3262</v>
      </c>
      <c r="ER889" s="3262" t="s">
        <v>3262</v>
      </c>
      <c r="ES889" s="3262" t="s">
        <v>3262</v>
      </c>
      <c r="ET889" s="3262" t="s">
        <v>3262</v>
      </c>
      <c r="EU889" s="3262" t="s">
        <v>3262</v>
      </c>
      <c r="EV889" s="3262" t="s">
        <v>3262</v>
      </c>
      <c r="EW889" s="3262" t="s">
        <v>3262</v>
      </c>
      <c r="EX889" s="3262" t="s">
        <v>3262</v>
      </c>
      <c r="EY889" s="3262" t="s">
        <v>3262</v>
      </c>
      <c r="EZ889" s="3262" t="s">
        <v>3262</v>
      </c>
      <c r="FA889" s="3262" t="s">
        <v>3262</v>
      </c>
      <c r="FB889" s="3262" t="s">
        <v>3262</v>
      </c>
      <c r="FC889" s="3262" t="s">
        <v>3262</v>
      </c>
      <c r="FD889" s="3262" t="s">
        <v>3262</v>
      </c>
      <c r="FE889" s="3262" t="s">
        <v>3262</v>
      </c>
      <c r="FF889" s="3262" t="s">
        <v>3262</v>
      </c>
      <c r="FG889" s="3262" t="s">
        <v>3262</v>
      </c>
      <c r="FH889" s="3262" t="s">
        <v>3262</v>
      </c>
      <c r="FI889" s="3262" t="s">
        <v>3262</v>
      </c>
      <c r="FJ889" s="3262" t="s">
        <v>3262</v>
      </c>
      <c r="FK889" s="3262" t="s">
        <v>3262</v>
      </c>
      <c r="FL889" s="3262" t="s">
        <v>3262</v>
      </c>
      <c r="FM889" s="3262" t="s">
        <v>3262</v>
      </c>
      <c r="FN889" s="3262" t="s">
        <v>3262</v>
      </c>
      <c r="FO889" s="3262" t="s">
        <v>3262</v>
      </c>
      <c r="FP889" s="3262" t="s">
        <v>3262</v>
      </c>
      <c r="FQ889" s="3262" t="s">
        <v>3262</v>
      </c>
      <c r="FR889" s="3262" t="s">
        <v>3262</v>
      </c>
      <c r="FS889" s="3262" t="s">
        <v>3262</v>
      </c>
      <c r="FT889" s="3262" t="s">
        <v>3262</v>
      </c>
      <c r="FU889" s="3262" t="s">
        <v>3262</v>
      </c>
      <c r="FV889" s="3262" t="s">
        <v>3262</v>
      </c>
      <c r="FW889" s="3262" t="s">
        <v>3262</v>
      </c>
      <c r="FX889" s="3262" t="s">
        <v>3262</v>
      </c>
      <c r="FY889" s="3262" t="s">
        <v>3262</v>
      </c>
      <c r="FZ889" s="3262" t="s">
        <v>3262</v>
      </c>
      <c r="GA889" s="3262" t="s">
        <v>3262</v>
      </c>
      <c r="GB889" s="3262" t="s">
        <v>3262</v>
      </c>
      <c r="GC889" s="3262" t="s">
        <v>3262</v>
      </c>
      <c r="GD889" s="3262" t="s">
        <v>3262</v>
      </c>
      <c r="GE889" s="3262" t="s">
        <v>3262</v>
      </c>
      <c r="GF889" s="3262" t="s">
        <v>3262</v>
      </c>
      <c r="GG889" s="3262" t="s">
        <v>3262</v>
      </c>
      <c r="GH889" s="3262" t="s">
        <v>3262</v>
      </c>
      <c r="GI889" s="3262" t="s">
        <v>3262</v>
      </c>
      <c r="GJ889" s="3262" t="s">
        <v>3262</v>
      </c>
      <c r="GK889" s="3262" t="s">
        <v>3262</v>
      </c>
      <c r="GL889" s="3262" t="s">
        <v>3262</v>
      </c>
      <c r="GM889" s="3262" t="s">
        <v>3262</v>
      </c>
      <c r="GN889" s="3262" t="s">
        <v>3262</v>
      </c>
      <c r="GO889" s="3262" t="s">
        <v>3262</v>
      </c>
      <c r="GP889" s="3262" t="s">
        <v>3262</v>
      </c>
      <c r="GQ889" s="3262" t="s">
        <v>3262</v>
      </c>
      <c r="GR889" s="3262" t="s">
        <v>3262</v>
      </c>
      <c r="GS889" s="3262" t="s">
        <v>3262</v>
      </c>
      <c r="GT889" s="3262" t="s">
        <v>3262</v>
      </c>
      <c r="GU889" s="3262" t="s">
        <v>3262</v>
      </c>
      <c r="GV889" s="3262" t="s">
        <v>3262</v>
      </c>
      <c r="GW889" s="3262" t="s">
        <v>3262</v>
      </c>
      <c r="GX889" s="3262" t="s">
        <v>3262</v>
      </c>
      <c r="GY889" s="3262" t="s">
        <v>3262</v>
      </c>
      <c r="GZ889" s="3262" t="s">
        <v>3262</v>
      </c>
      <c r="HA889" s="3262" t="s">
        <v>3262</v>
      </c>
      <c r="HB889" s="3262" t="s">
        <v>3262</v>
      </c>
      <c r="HC889" s="3262" t="s">
        <v>3262</v>
      </c>
      <c r="HD889" s="3262" t="s">
        <v>3262</v>
      </c>
      <c r="HE889" s="3262" t="s">
        <v>3262</v>
      </c>
      <c r="HF889" s="3262" t="s">
        <v>3262</v>
      </c>
      <c r="HG889" s="3262" t="s">
        <v>3262</v>
      </c>
      <c r="HH889" s="3262" t="s">
        <v>3262</v>
      </c>
      <c r="HI889" s="3262" t="s">
        <v>3262</v>
      </c>
      <c r="HJ889" s="3262" t="s">
        <v>3262</v>
      </c>
      <c r="HK889" s="3262" t="s">
        <v>3262</v>
      </c>
      <c r="HL889" s="3262" t="s">
        <v>3262</v>
      </c>
      <c r="HM889" s="3262" t="s">
        <v>3262</v>
      </c>
      <c r="HN889" s="3262" t="s">
        <v>3262</v>
      </c>
      <c r="HO889" s="3262" t="s">
        <v>3262</v>
      </c>
      <c r="HP889" s="3262" t="s">
        <v>3262</v>
      </c>
      <c r="HQ889" s="3262" t="s">
        <v>3262</v>
      </c>
      <c r="HR889" s="3262" t="s">
        <v>3262</v>
      </c>
      <c r="HS889" s="3262" t="s">
        <v>3262</v>
      </c>
      <c r="HT889" s="3262" t="s">
        <v>3262</v>
      </c>
      <c r="HU889" s="3262" t="s">
        <v>3262</v>
      </c>
      <c r="HV889" s="3262" t="s">
        <v>3262</v>
      </c>
      <c r="HW889" s="3262" t="s">
        <v>3262</v>
      </c>
      <c r="HX889" s="3262" t="s">
        <v>3262</v>
      </c>
      <c r="HY889" s="3262" t="s">
        <v>3262</v>
      </c>
      <c r="HZ889" s="3262" t="s">
        <v>3262</v>
      </c>
      <c r="IA889" s="3262" t="s">
        <v>3262</v>
      </c>
      <c r="IB889" s="3262" t="s">
        <v>3262</v>
      </c>
      <c r="IC889" s="3262" t="s">
        <v>3262</v>
      </c>
      <c r="ID889" s="3262" t="s">
        <v>3262</v>
      </c>
      <c r="IE889" s="3262" t="s">
        <v>3262</v>
      </c>
      <c r="IF889" s="3262" t="s">
        <v>3262</v>
      </c>
      <c r="IG889" s="3262" t="s">
        <v>3262</v>
      </c>
      <c r="IH889" s="3262" t="s">
        <v>3262</v>
      </c>
      <c r="II889" s="3262" t="s">
        <v>3262</v>
      </c>
      <c r="IJ889" s="3262" t="s">
        <v>3262</v>
      </c>
      <c r="IK889" s="3262" t="s">
        <v>3262</v>
      </c>
    </row>
    <row r="890" spans="1:249" hidden="1">
      <c r="A890" s="3267" t="s">
        <v>9216</v>
      </c>
      <c r="B890" s="3267" t="s">
        <v>9217</v>
      </c>
      <c r="C890" s="3269" t="s">
        <v>9218</v>
      </c>
      <c r="D890" s="3269" t="s">
        <v>9219</v>
      </c>
      <c r="E890" s="3268" t="s">
        <v>2985</v>
      </c>
      <c r="F890" s="3268" t="s">
        <v>4386</v>
      </c>
      <c r="G890" s="3267"/>
      <c r="H890" s="3267" t="s">
        <v>3411</v>
      </c>
      <c r="I890" s="3268" t="s">
        <v>4038</v>
      </c>
      <c r="J890" s="3268" t="s">
        <v>3126</v>
      </c>
      <c r="K890" s="3267" t="s">
        <v>9220</v>
      </c>
      <c r="L890" s="3267">
        <v>104.57</v>
      </c>
      <c r="M890" s="3267">
        <v>6</v>
      </c>
      <c r="N890" s="3267" t="s">
        <v>3116</v>
      </c>
      <c r="O890" s="3267"/>
      <c r="P890" s="3267" t="s">
        <v>3495</v>
      </c>
      <c r="Q890" s="3271">
        <v>680000</v>
      </c>
      <c r="R890" s="3267">
        <v>6503</v>
      </c>
      <c r="S890" s="3272">
        <v>67.98</v>
      </c>
      <c r="T890" s="3273">
        <v>679800</v>
      </c>
      <c r="U890" s="3267">
        <v>6501</v>
      </c>
      <c r="V890" s="3289">
        <v>0.3</v>
      </c>
      <c r="W890" s="3272">
        <v>47.58</v>
      </c>
      <c r="X890" s="3275">
        <v>475800</v>
      </c>
      <c r="Y890" s="3276">
        <v>2006</v>
      </c>
      <c r="Z890" s="3276">
        <v>11</v>
      </c>
      <c r="AA890" s="3276">
        <v>22</v>
      </c>
      <c r="AB890" s="3267">
        <v>1500</v>
      </c>
      <c r="AC890" s="3267" t="s">
        <v>2980</v>
      </c>
      <c r="AD890" s="3366">
        <v>91302006110965</v>
      </c>
      <c r="AE890" s="3279" t="s">
        <v>2991</v>
      </c>
      <c r="AF890" s="3268"/>
      <c r="AG890" s="3279" t="s">
        <v>2967</v>
      </c>
      <c r="AH890" s="3267"/>
      <c r="AI890" s="3279" t="s">
        <v>2992</v>
      </c>
      <c r="AJ890" s="3284"/>
      <c r="AK890" s="3278" t="s">
        <v>3137</v>
      </c>
      <c r="AL890" s="3276">
        <v>39</v>
      </c>
      <c r="AM890" s="3276"/>
      <c r="AN890" s="3279" t="s">
        <v>2994</v>
      </c>
      <c r="AO890" s="3267"/>
      <c r="AP890" s="3279" t="s">
        <v>2991</v>
      </c>
      <c r="AQ890" s="3276" t="s">
        <v>2996</v>
      </c>
      <c r="AR890" s="3276"/>
      <c r="AS890" s="3276"/>
      <c r="AT890" s="3276"/>
      <c r="AU890" s="3276"/>
      <c r="AV890" s="3276"/>
      <c r="AW890" s="3276" t="s">
        <v>2997</v>
      </c>
      <c r="AX890" s="3276"/>
      <c r="AY890" s="3291"/>
      <c r="AZ890" s="3267" t="s">
        <v>9220</v>
      </c>
      <c r="BA890" s="3296"/>
      <c r="BB890" s="3297"/>
      <c r="BC890" s="3296"/>
      <c r="BD890" s="3298"/>
      <c r="BE890" s="3276"/>
      <c r="BF890" s="3281"/>
      <c r="BG890" s="3293">
        <v>39038</v>
      </c>
      <c r="BH890" s="3267"/>
      <c r="BI890" s="3267" t="s">
        <v>2991</v>
      </c>
      <c r="BJ890" s="3299">
        <v>39038</v>
      </c>
      <c r="BK890" s="3283" t="s">
        <v>2968</v>
      </c>
      <c r="BL890" s="3267" t="s">
        <v>2998</v>
      </c>
      <c r="BM890" s="3276" t="s">
        <v>2879</v>
      </c>
      <c r="BN890" s="3276" t="s">
        <v>2999</v>
      </c>
      <c r="BO890" s="3276" t="s">
        <v>3146</v>
      </c>
      <c r="BP890" s="3276"/>
      <c r="BQ890" s="3276" t="e">
        <v>#DIV/0!</v>
      </c>
      <c r="BR890" s="3276" t="e">
        <v>#DIV/0!</v>
      </c>
      <c r="BS890" s="3285"/>
      <c r="BT890" s="3285"/>
      <c r="BU890" s="3285"/>
      <c r="BV890" s="3347"/>
      <c r="BW890" s="3347"/>
      <c r="BX890" s="3347"/>
      <c r="BY890" s="3262" t="s">
        <v>3262</v>
      </c>
      <c r="BZ890" s="3262" t="s">
        <v>3262</v>
      </c>
      <c r="CA890" s="3262" t="s">
        <v>3262</v>
      </c>
      <c r="CB890" s="3262" t="s">
        <v>3262</v>
      </c>
      <c r="CC890" s="3262" t="s">
        <v>3262</v>
      </c>
      <c r="CD890" s="3262" t="s">
        <v>3262</v>
      </c>
      <c r="CE890" s="3262" t="s">
        <v>3262</v>
      </c>
      <c r="CF890" s="3262" t="s">
        <v>3262</v>
      </c>
      <c r="CG890" s="3262" t="s">
        <v>3262</v>
      </c>
      <c r="CH890" s="3262" t="s">
        <v>3262</v>
      </c>
      <c r="CI890" s="3262" t="s">
        <v>3262</v>
      </c>
      <c r="CJ890" s="3262" t="s">
        <v>3262</v>
      </c>
      <c r="CK890" s="3262" t="s">
        <v>3262</v>
      </c>
      <c r="CL890" s="3262" t="s">
        <v>3262</v>
      </c>
      <c r="CM890" s="3262" t="s">
        <v>3262</v>
      </c>
      <c r="CN890" s="3262" t="s">
        <v>3262</v>
      </c>
      <c r="CO890" s="3262" t="s">
        <v>3262</v>
      </c>
      <c r="CP890" s="3262" t="s">
        <v>3262</v>
      </c>
      <c r="CQ890" s="3262" t="s">
        <v>3262</v>
      </c>
      <c r="CR890" s="3262" t="s">
        <v>3262</v>
      </c>
      <c r="CS890" s="3262" t="s">
        <v>3262</v>
      </c>
      <c r="CT890" s="3262" t="s">
        <v>3262</v>
      </c>
      <c r="CU890" s="3262" t="s">
        <v>3262</v>
      </c>
      <c r="CV890" s="3262" t="s">
        <v>3262</v>
      </c>
      <c r="CW890" s="3262" t="s">
        <v>3262</v>
      </c>
      <c r="CX890" s="3262" t="s">
        <v>3262</v>
      </c>
      <c r="CY890" s="3262" t="s">
        <v>3262</v>
      </c>
      <c r="CZ890" s="3262" t="s">
        <v>3262</v>
      </c>
      <c r="DA890" s="3262" t="s">
        <v>3262</v>
      </c>
      <c r="DB890" s="3262" t="s">
        <v>3262</v>
      </c>
      <c r="DC890" s="3262" t="s">
        <v>3262</v>
      </c>
      <c r="DD890" s="3262" t="s">
        <v>3262</v>
      </c>
      <c r="DE890" s="3262" t="s">
        <v>3262</v>
      </c>
      <c r="DF890" s="3262" t="s">
        <v>3262</v>
      </c>
      <c r="DG890" s="3262" t="s">
        <v>3262</v>
      </c>
      <c r="DH890" s="3262" t="s">
        <v>3262</v>
      </c>
      <c r="DI890" s="3262" t="s">
        <v>3262</v>
      </c>
      <c r="DJ890" s="3262" t="s">
        <v>3262</v>
      </c>
      <c r="DK890" s="3262" t="s">
        <v>3262</v>
      </c>
      <c r="DL890" s="3262" t="s">
        <v>3262</v>
      </c>
      <c r="DM890" s="3262" t="s">
        <v>3262</v>
      </c>
      <c r="DN890" s="3262" t="s">
        <v>3262</v>
      </c>
      <c r="DO890" s="3262" t="s">
        <v>3262</v>
      </c>
      <c r="DP890" s="3262" t="s">
        <v>3262</v>
      </c>
      <c r="DQ890" s="3262" t="s">
        <v>3262</v>
      </c>
      <c r="DR890" s="3262" t="s">
        <v>3262</v>
      </c>
      <c r="DS890" s="3262" t="s">
        <v>3262</v>
      </c>
      <c r="DT890" s="3262" t="s">
        <v>3262</v>
      </c>
      <c r="DU890" s="3262" t="s">
        <v>3262</v>
      </c>
      <c r="DV890" s="3262" t="s">
        <v>3262</v>
      </c>
      <c r="DW890" s="3262" t="s">
        <v>3262</v>
      </c>
      <c r="DX890" s="3262" t="s">
        <v>3262</v>
      </c>
      <c r="DY890" s="3262" t="s">
        <v>3262</v>
      </c>
      <c r="DZ890" s="3262" t="s">
        <v>3262</v>
      </c>
      <c r="EA890" s="3262" t="s">
        <v>3262</v>
      </c>
      <c r="EB890" s="3262" t="s">
        <v>3262</v>
      </c>
      <c r="EC890" s="3262" t="s">
        <v>3262</v>
      </c>
      <c r="ED890" s="3262" t="s">
        <v>3262</v>
      </c>
      <c r="EE890" s="3262" t="s">
        <v>3262</v>
      </c>
      <c r="EF890" s="3262" t="s">
        <v>3262</v>
      </c>
      <c r="EG890" s="3262" t="s">
        <v>3262</v>
      </c>
      <c r="EH890" s="3262" t="s">
        <v>3262</v>
      </c>
      <c r="EI890" s="3262" t="s">
        <v>3262</v>
      </c>
      <c r="EJ890" s="3262" t="s">
        <v>3262</v>
      </c>
      <c r="EK890" s="3262" t="s">
        <v>3262</v>
      </c>
      <c r="EL890" s="3262" t="s">
        <v>3262</v>
      </c>
      <c r="EM890" s="3262" t="s">
        <v>3262</v>
      </c>
      <c r="EN890" s="3262" t="s">
        <v>3262</v>
      </c>
      <c r="EO890" s="3262" t="s">
        <v>3262</v>
      </c>
      <c r="EP890" s="3262" t="s">
        <v>3262</v>
      </c>
      <c r="EQ890" s="3262" t="s">
        <v>3262</v>
      </c>
      <c r="ER890" s="3262" t="s">
        <v>3262</v>
      </c>
      <c r="ES890" s="3262" t="s">
        <v>3262</v>
      </c>
      <c r="ET890" s="3262" t="s">
        <v>3262</v>
      </c>
      <c r="EU890" s="3262" t="s">
        <v>3262</v>
      </c>
      <c r="EV890" s="3262" t="s">
        <v>3262</v>
      </c>
      <c r="EW890" s="3262" t="s">
        <v>3262</v>
      </c>
      <c r="EX890" s="3262" t="s">
        <v>3262</v>
      </c>
      <c r="EY890" s="3262" t="s">
        <v>3262</v>
      </c>
      <c r="EZ890" s="3262" t="s">
        <v>3262</v>
      </c>
      <c r="FA890" s="3262" t="s">
        <v>3262</v>
      </c>
      <c r="FB890" s="3262" t="s">
        <v>3262</v>
      </c>
      <c r="FC890" s="3262" t="s">
        <v>3262</v>
      </c>
      <c r="FD890" s="3262" t="s">
        <v>3262</v>
      </c>
      <c r="FE890" s="3262" t="s">
        <v>3262</v>
      </c>
      <c r="FF890" s="3262" t="s">
        <v>3262</v>
      </c>
      <c r="FG890" s="3262" t="s">
        <v>3262</v>
      </c>
      <c r="FH890" s="3262" t="s">
        <v>3262</v>
      </c>
      <c r="FI890" s="3262" t="s">
        <v>3262</v>
      </c>
      <c r="FJ890" s="3262" t="s">
        <v>3262</v>
      </c>
      <c r="FK890" s="3262" t="s">
        <v>3262</v>
      </c>
      <c r="FL890" s="3262" t="s">
        <v>3262</v>
      </c>
      <c r="FM890" s="3262" t="s">
        <v>3262</v>
      </c>
      <c r="FN890" s="3262" t="s">
        <v>3262</v>
      </c>
      <c r="FO890" s="3262" t="s">
        <v>3262</v>
      </c>
      <c r="FP890" s="3262" t="s">
        <v>3262</v>
      </c>
      <c r="FQ890" s="3262" t="s">
        <v>3262</v>
      </c>
      <c r="FR890" s="3262" t="s">
        <v>3262</v>
      </c>
      <c r="FS890" s="3262" t="s">
        <v>3262</v>
      </c>
      <c r="FT890" s="3262" t="s">
        <v>3262</v>
      </c>
      <c r="FU890" s="3262" t="s">
        <v>3262</v>
      </c>
      <c r="FV890" s="3262" t="s">
        <v>3262</v>
      </c>
      <c r="FW890" s="3262" t="s">
        <v>3262</v>
      </c>
      <c r="FX890" s="3262" t="s">
        <v>3262</v>
      </c>
      <c r="FY890" s="3262" t="s">
        <v>3262</v>
      </c>
      <c r="FZ890" s="3262" t="s">
        <v>3262</v>
      </c>
      <c r="GA890" s="3262" t="s">
        <v>3262</v>
      </c>
      <c r="GB890" s="3262" t="s">
        <v>3262</v>
      </c>
      <c r="GC890" s="3262" t="s">
        <v>3262</v>
      </c>
      <c r="GD890" s="3262" t="s">
        <v>3262</v>
      </c>
      <c r="GE890" s="3262" t="s">
        <v>3262</v>
      </c>
      <c r="GF890" s="3262" t="s">
        <v>3262</v>
      </c>
      <c r="GG890" s="3262" t="s">
        <v>3262</v>
      </c>
      <c r="GH890" s="3262" t="s">
        <v>3262</v>
      </c>
      <c r="GI890" s="3262" t="s">
        <v>3262</v>
      </c>
      <c r="GJ890" s="3262" t="s">
        <v>3262</v>
      </c>
      <c r="GK890" s="3262" t="s">
        <v>3262</v>
      </c>
      <c r="GL890" s="3262" t="s">
        <v>3262</v>
      </c>
      <c r="GM890" s="3262" t="s">
        <v>3262</v>
      </c>
      <c r="GN890" s="3262" t="s">
        <v>3262</v>
      </c>
      <c r="GO890" s="3262" t="s">
        <v>3262</v>
      </c>
      <c r="GP890" s="3262" t="s">
        <v>3262</v>
      </c>
      <c r="GQ890" s="3262" t="s">
        <v>3262</v>
      </c>
      <c r="GR890" s="3262" t="s">
        <v>3262</v>
      </c>
      <c r="GS890" s="3262" t="s">
        <v>3262</v>
      </c>
      <c r="GT890" s="3262" t="s">
        <v>3262</v>
      </c>
      <c r="GU890" s="3262" t="s">
        <v>3262</v>
      </c>
      <c r="GV890" s="3262" t="s">
        <v>3262</v>
      </c>
      <c r="GW890" s="3262" t="s">
        <v>3262</v>
      </c>
      <c r="GX890" s="3262" t="s">
        <v>3262</v>
      </c>
      <c r="GY890" s="3262" t="s">
        <v>3262</v>
      </c>
      <c r="GZ890" s="3262" t="s">
        <v>3262</v>
      </c>
      <c r="HA890" s="3262" t="s">
        <v>3262</v>
      </c>
      <c r="HB890" s="3262" t="s">
        <v>3262</v>
      </c>
      <c r="HC890" s="3262" t="s">
        <v>3262</v>
      </c>
      <c r="HD890" s="3262" t="s">
        <v>3262</v>
      </c>
      <c r="HE890" s="3262" t="s">
        <v>3262</v>
      </c>
      <c r="HF890" s="3262" t="s">
        <v>3262</v>
      </c>
      <c r="HG890" s="3262" t="s">
        <v>3262</v>
      </c>
      <c r="HH890" s="3262" t="s">
        <v>3262</v>
      </c>
      <c r="HI890" s="3262" t="s">
        <v>3262</v>
      </c>
      <c r="HJ890" s="3262" t="s">
        <v>3262</v>
      </c>
      <c r="HK890" s="3262" t="s">
        <v>3262</v>
      </c>
      <c r="HL890" s="3262" t="s">
        <v>3262</v>
      </c>
      <c r="HM890" s="3262" t="s">
        <v>3262</v>
      </c>
      <c r="HN890" s="3262" t="s">
        <v>3262</v>
      </c>
      <c r="HO890" s="3262" t="s">
        <v>3262</v>
      </c>
      <c r="HP890" s="3262" t="s">
        <v>3262</v>
      </c>
      <c r="HQ890" s="3262" t="s">
        <v>3262</v>
      </c>
      <c r="HR890" s="3262" t="s">
        <v>3262</v>
      </c>
      <c r="HS890" s="3262" t="s">
        <v>3262</v>
      </c>
      <c r="HT890" s="3262" t="s">
        <v>3262</v>
      </c>
      <c r="HU890" s="3262" t="s">
        <v>3262</v>
      </c>
      <c r="HV890" s="3262" t="s">
        <v>3262</v>
      </c>
      <c r="HW890" s="3262" t="s">
        <v>3262</v>
      </c>
      <c r="HX890" s="3262" t="s">
        <v>3262</v>
      </c>
      <c r="HY890" s="3262" t="s">
        <v>3262</v>
      </c>
      <c r="HZ890" s="3262" t="s">
        <v>3262</v>
      </c>
      <c r="IA890" s="3262" t="s">
        <v>3262</v>
      </c>
      <c r="IB890" s="3262" t="s">
        <v>3262</v>
      </c>
      <c r="IC890" s="3262" t="s">
        <v>3262</v>
      </c>
      <c r="ID890" s="3262" t="s">
        <v>3262</v>
      </c>
      <c r="IE890" s="3262" t="s">
        <v>3262</v>
      </c>
      <c r="IF890" s="3262" t="s">
        <v>3262</v>
      </c>
      <c r="IG890" s="3262" t="s">
        <v>3262</v>
      </c>
      <c r="IH890" s="3262" t="s">
        <v>3262</v>
      </c>
      <c r="II890" s="3262" t="s">
        <v>3262</v>
      </c>
      <c r="IJ890" s="3262" t="s">
        <v>3262</v>
      </c>
      <c r="IK890" s="3262" t="s">
        <v>3262</v>
      </c>
      <c r="IL890" s="3262" t="s">
        <v>3262</v>
      </c>
      <c r="IM890" s="3262" t="s">
        <v>3262</v>
      </c>
      <c r="IN890" s="3262" t="s">
        <v>3262</v>
      </c>
      <c r="IO890" s="3262" t="s">
        <v>3262</v>
      </c>
    </row>
    <row r="891" spans="1:249" hidden="1">
      <c r="A891" s="3267" t="s">
        <v>9221</v>
      </c>
      <c r="B891" s="3267" t="s">
        <v>9222</v>
      </c>
      <c r="C891" s="3269" t="s">
        <v>9223</v>
      </c>
      <c r="D891" s="3269" t="s">
        <v>9224</v>
      </c>
      <c r="E891" s="3268" t="s">
        <v>2985</v>
      </c>
      <c r="F891" s="3268" t="s">
        <v>3926</v>
      </c>
      <c r="G891" s="3267"/>
      <c r="H891" s="3267" t="s">
        <v>3339</v>
      </c>
      <c r="I891" s="3268"/>
      <c r="J891" s="3267" t="s">
        <v>9225</v>
      </c>
      <c r="K891" s="3267" t="s">
        <v>9226</v>
      </c>
      <c r="L891" s="3267">
        <v>69.209999999999994</v>
      </c>
      <c r="M891" s="3270" t="s">
        <v>5190</v>
      </c>
      <c r="N891" s="3267" t="s">
        <v>3152</v>
      </c>
      <c r="O891" s="3267">
        <v>57.12</v>
      </c>
      <c r="P891" s="3267" t="s">
        <v>2963</v>
      </c>
      <c r="Q891" s="3271">
        <v>350000</v>
      </c>
      <c r="R891" s="3267">
        <v>5057</v>
      </c>
      <c r="S891" s="3272">
        <v>46.26</v>
      </c>
      <c r="T891" s="3273">
        <v>462600</v>
      </c>
      <c r="U891" s="3267">
        <v>6685</v>
      </c>
      <c r="V891" s="3289">
        <v>0.2</v>
      </c>
      <c r="W891" s="3272">
        <v>37</v>
      </c>
      <c r="X891" s="3275">
        <v>370000</v>
      </c>
      <c r="Y891" s="3276">
        <v>2006</v>
      </c>
      <c r="Z891" s="3276">
        <v>12</v>
      </c>
      <c r="AA891" s="3276">
        <v>1</v>
      </c>
      <c r="AB891" s="3267">
        <v>1385</v>
      </c>
      <c r="AC891" s="3267" t="s">
        <v>2980</v>
      </c>
      <c r="AD891" s="3269" t="s">
        <v>9227</v>
      </c>
      <c r="AE891" s="3279" t="s">
        <v>3344</v>
      </c>
      <c r="AF891" s="3268" t="s">
        <v>2966</v>
      </c>
      <c r="AG891" s="3279" t="s">
        <v>2967</v>
      </c>
      <c r="AH891" s="3267" t="s">
        <v>9228</v>
      </c>
      <c r="AI891" s="3279" t="s">
        <v>2992</v>
      </c>
      <c r="AJ891" s="3284"/>
      <c r="AK891" s="3278" t="s">
        <v>3120</v>
      </c>
      <c r="AL891" s="3276">
        <v>57</v>
      </c>
      <c r="AM891" s="3267"/>
      <c r="AN891" s="3279" t="s">
        <v>3131</v>
      </c>
      <c r="AO891" s="3267"/>
      <c r="AP891" s="3279" t="s">
        <v>5706</v>
      </c>
      <c r="AQ891" s="3267" t="s">
        <v>3228</v>
      </c>
      <c r="AR891" s="3276"/>
      <c r="AS891" s="3276"/>
      <c r="AT891" s="3276"/>
      <c r="AU891" s="3276"/>
      <c r="AV891" s="3276" t="s">
        <v>2968</v>
      </c>
      <c r="AW891" s="3276" t="s">
        <v>3171</v>
      </c>
      <c r="AX891" s="3276"/>
      <c r="AY891" s="3291"/>
      <c r="AZ891" s="3267" t="s">
        <v>9226</v>
      </c>
      <c r="BA891" s="3296"/>
      <c r="BB891" s="3297"/>
      <c r="BC891" s="3296"/>
      <c r="BD891" s="3296"/>
      <c r="BE891" s="3276"/>
      <c r="BF891" s="3281" t="s">
        <v>2968</v>
      </c>
      <c r="BG891" s="3293">
        <v>39034</v>
      </c>
      <c r="BH891" s="3267" t="s">
        <v>2998</v>
      </c>
      <c r="BI891" s="3314" t="s">
        <v>5706</v>
      </c>
      <c r="BJ891" s="3283">
        <v>39038</v>
      </c>
      <c r="BK891" s="3283"/>
      <c r="BL891" s="3267" t="s">
        <v>3249</v>
      </c>
      <c r="BM891" s="3276" t="s">
        <v>2879</v>
      </c>
      <c r="BN891" s="3276" t="s">
        <v>2999</v>
      </c>
      <c r="BO891" s="3276" t="s">
        <v>3146</v>
      </c>
      <c r="BP891" s="3276"/>
      <c r="BQ891" s="3276">
        <v>8099</v>
      </c>
      <c r="BR891" s="3276">
        <v>6127</v>
      </c>
      <c r="BS891" s="3285"/>
      <c r="BT891" s="3285"/>
      <c r="BU891" s="3285"/>
      <c r="BV891" s="3285"/>
      <c r="BW891" s="3285"/>
      <c r="BX891" s="3285"/>
      <c r="BY891" s="3285"/>
      <c r="BZ891" s="3285"/>
      <c r="CA891" s="3285"/>
      <c r="CB891" s="3285"/>
      <c r="CC891" s="3285"/>
      <c r="CD891" s="3285"/>
      <c r="CE891" s="3285"/>
      <c r="CF891" s="3285"/>
      <c r="CG891" s="3285"/>
      <c r="CH891" s="3285"/>
      <c r="CI891" s="3285"/>
      <c r="CJ891" s="3285"/>
      <c r="CK891" s="3285"/>
      <c r="CL891" s="3285"/>
      <c r="CM891" s="3285"/>
      <c r="CN891" s="3285"/>
      <c r="CO891" s="3285"/>
      <c r="CP891" s="3285"/>
      <c r="CQ891" s="3285"/>
      <c r="CR891" s="3285"/>
      <c r="CS891" s="3285"/>
      <c r="CT891" s="3285"/>
      <c r="CU891" s="3285"/>
      <c r="CV891" s="3285"/>
      <c r="CW891" s="3285"/>
      <c r="CX891" s="3285"/>
      <c r="CY891" s="3285"/>
      <c r="CZ891" s="3285"/>
      <c r="DA891" s="3285"/>
      <c r="DB891" s="3285"/>
      <c r="DC891" s="3285"/>
      <c r="DD891" s="3285"/>
      <c r="DE891" s="3285"/>
      <c r="DF891" s="3285"/>
      <c r="DG891" s="3285"/>
      <c r="DH891" s="3285"/>
      <c r="DI891" s="3285"/>
      <c r="DJ891" s="3285"/>
      <c r="DK891" s="3285"/>
      <c r="DL891" s="3285"/>
      <c r="DM891" s="3285"/>
      <c r="DN891" s="3285"/>
      <c r="DO891" s="3285"/>
      <c r="DP891" s="3285"/>
      <c r="DQ891" s="3285"/>
      <c r="DR891" s="3285"/>
      <c r="DS891" s="3285"/>
      <c r="DT891" s="3285"/>
      <c r="DU891" s="3285"/>
      <c r="DV891" s="3285"/>
      <c r="DW891" s="3285"/>
      <c r="DX891" s="3285"/>
      <c r="DY891" s="3285"/>
      <c r="DZ891" s="3285"/>
      <c r="EA891" s="3285"/>
      <c r="EB891" s="3285"/>
      <c r="EC891" s="3285"/>
      <c r="ED891" s="3285"/>
      <c r="EE891" s="3285"/>
      <c r="EF891" s="3285"/>
      <c r="EG891" s="3285"/>
      <c r="EH891" s="3285"/>
      <c r="EI891" s="3285"/>
      <c r="EJ891" s="3285"/>
      <c r="EK891" s="3285"/>
      <c r="EL891" s="3285"/>
      <c r="EM891" s="3285"/>
      <c r="EN891" s="3285"/>
      <c r="EO891" s="3285"/>
      <c r="EP891" s="3285"/>
      <c r="EQ891" s="3285"/>
      <c r="ER891" s="3285"/>
      <c r="ES891" s="3285"/>
      <c r="ET891" s="3285"/>
      <c r="EU891" s="3285"/>
      <c r="EV891" s="3285"/>
      <c r="EW891" s="3285"/>
      <c r="EX891" s="3285"/>
      <c r="EY891" s="3285"/>
      <c r="EZ891" s="3285"/>
      <c r="FA891" s="3285"/>
      <c r="FB891" s="3285"/>
      <c r="FC891" s="3285"/>
      <c r="FD891" s="3285"/>
      <c r="FE891" s="3285"/>
      <c r="FF891" s="3285"/>
      <c r="FG891" s="3285"/>
      <c r="FH891" s="3285"/>
      <c r="FI891" s="3285"/>
      <c r="FJ891" s="3285"/>
      <c r="FK891" s="3285"/>
      <c r="FL891" s="3285"/>
      <c r="FM891" s="3285"/>
      <c r="FN891" s="3285"/>
      <c r="FO891" s="3285"/>
      <c r="FP891" s="3285"/>
      <c r="FQ891" s="3285"/>
      <c r="FR891" s="3285"/>
      <c r="FS891" s="3285"/>
      <c r="FT891" s="3285"/>
      <c r="FU891" s="3285"/>
      <c r="FV891" s="3285"/>
      <c r="FW891" s="3285"/>
      <c r="FX891" s="3285"/>
      <c r="FY891" s="3285"/>
      <c r="FZ891" s="3285"/>
      <c r="GA891" s="3285"/>
      <c r="GB891" s="3285"/>
      <c r="GC891" s="3285"/>
      <c r="GD891" s="3285"/>
      <c r="GE891" s="3285"/>
      <c r="GF891" s="3285"/>
      <c r="GG891" s="3285"/>
      <c r="GH891" s="3285"/>
      <c r="GI891" s="3285"/>
      <c r="GJ891" s="3285"/>
      <c r="GK891" s="3285"/>
      <c r="GL891" s="3285"/>
      <c r="GM891" s="3285"/>
      <c r="GN891" s="3285"/>
      <c r="GO891" s="3285"/>
      <c r="GP891" s="3285"/>
      <c r="GQ891" s="3285"/>
      <c r="GR891" s="3285"/>
      <c r="GS891" s="3285"/>
      <c r="GT891" s="3285"/>
      <c r="GU891" s="3285"/>
      <c r="GV891" s="3285"/>
      <c r="GW891" s="3285"/>
      <c r="GX891" s="3285"/>
      <c r="GY891" s="3285"/>
      <c r="GZ891" s="3285"/>
      <c r="HA891" s="3285"/>
      <c r="HB891" s="3285"/>
      <c r="HC891" s="3285"/>
      <c r="HD891" s="3285"/>
      <c r="HE891" s="3285"/>
      <c r="HF891" s="3285"/>
      <c r="HG891" s="3285"/>
      <c r="HH891" s="3285"/>
      <c r="HI891" s="3285"/>
      <c r="HJ891" s="3285"/>
      <c r="HK891" s="3285"/>
      <c r="HL891" s="3285"/>
      <c r="HM891" s="3285"/>
      <c r="HN891" s="3285"/>
      <c r="HO891" s="3285"/>
      <c r="HP891" s="3285"/>
      <c r="HQ891" s="3285"/>
      <c r="HR891" s="3285"/>
      <c r="HS891" s="3285"/>
      <c r="HT891" s="3285"/>
      <c r="HU891" s="3285"/>
      <c r="HV891" s="3285"/>
      <c r="HW891" s="3285"/>
      <c r="HX891" s="3285"/>
      <c r="HY891" s="3285"/>
      <c r="HZ891" s="3285"/>
      <c r="IA891" s="3285"/>
      <c r="IB891" s="3285"/>
    </row>
    <row r="892" spans="1:249" ht="14.25" hidden="1">
      <c r="A892" s="3267" t="s">
        <v>9229</v>
      </c>
      <c r="B892" s="3267" t="s">
        <v>9230</v>
      </c>
      <c r="C892" s="3269" t="s">
        <v>9231</v>
      </c>
      <c r="D892" s="3269" t="s">
        <v>9232</v>
      </c>
      <c r="E892" s="3268" t="s">
        <v>2985</v>
      </c>
      <c r="F892" s="3268" t="s">
        <v>4634</v>
      </c>
      <c r="G892" s="3267"/>
      <c r="H892" s="3267" t="s">
        <v>3183</v>
      </c>
      <c r="I892" s="3268" t="s">
        <v>4347</v>
      </c>
      <c r="J892" s="3268" t="s">
        <v>3156</v>
      </c>
      <c r="K892" s="3267" t="s">
        <v>9233</v>
      </c>
      <c r="L892" s="3267">
        <v>135</v>
      </c>
      <c r="M892" s="3267">
        <v>6</v>
      </c>
      <c r="N892" s="3267" t="s">
        <v>2989</v>
      </c>
      <c r="O892" s="3267"/>
      <c r="P892" s="3267" t="s">
        <v>3495</v>
      </c>
      <c r="Q892" s="3271">
        <v>1050000</v>
      </c>
      <c r="R892" s="3267">
        <v>7778</v>
      </c>
      <c r="S892" s="3272">
        <v>104.85</v>
      </c>
      <c r="T892" s="3273">
        <v>1048500</v>
      </c>
      <c r="U892" s="3267">
        <v>7767</v>
      </c>
      <c r="V892" s="3289">
        <v>0.3</v>
      </c>
      <c r="W892" s="3272">
        <v>73.39</v>
      </c>
      <c r="X892" s="3275">
        <v>733900</v>
      </c>
      <c r="Y892" s="3276">
        <v>2006</v>
      </c>
      <c r="Z892" s="3276">
        <v>11</v>
      </c>
      <c r="AA892" s="3276">
        <v>30</v>
      </c>
      <c r="AB892" s="3267">
        <v>1500</v>
      </c>
      <c r="AC892" s="3267" t="s">
        <v>2980</v>
      </c>
      <c r="AD892" s="3366">
        <v>91302006110848</v>
      </c>
      <c r="AE892" s="3279" t="s">
        <v>2991</v>
      </c>
      <c r="AF892" s="3268"/>
      <c r="AG892" s="3279" t="s">
        <v>2967</v>
      </c>
      <c r="AH892" s="3267"/>
      <c r="AI892" s="3279" t="s">
        <v>2992</v>
      </c>
      <c r="AJ892" s="3284"/>
      <c r="AK892" s="3278" t="s">
        <v>3137</v>
      </c>
      <c r="AL892" s="3276">
        <v>46</v>
      </c>
      <c r="AM892" s="3276"/>
      <c r="AN892" s="3279" t="s">
        <v>3099</v>
      </c>
      <c r="AO892" s="3267"/>
      <c r="AP892" s="3279" t="s">
        <v>2991</v>
      </c>
      <c r="AQ892" s="3276" t="s">
        <v>3113</v>
      </c>
      <c r="AR892" s="3276">
        <v>2006</v>
      </c>
      <c r="AS892" s="3276">
        <v>11</v>
      </c>
      <c r="AT892" s="3276">
        <v>30</v>
      </c>
      <c r="AU892" s="3276"/>
      <c r="AV892" s="3276"/>
      <c r="AW892" s="3276" t="s">
        <v>2997</v>
      </c>
      <c r="AX892" s="3276"/>
      <c r="AY892" s="3291"/>
      <c r="AZ892" s="3267" t="s">
        <v>9233</v>
      </c>
      <c r="BA892" s="3296"/>
      <c r="BB892" s="3297"/>
      <c r="BC892" s="3296"/>
      <c r="BD892" s="3298"/>
      <c r="BE892" s="3276"/>
      <c r="BF892" s="3281"/>
      <c r="BG892" s="3293">
        <v>39033</v>
      </c>
      <c r="BH892" s="3267"/>
      <c r="BI892" s="3267" t="s">
        <v>2991</v>
      </c>
      <c r="BJ892" s="3299">
        <v>39037</v>
      </c>
      <c r="BK892" s="3283" t="s">
        <v>2968</v>
      </c>
      <c r="BL892" s="3267" t="s">
        <v>2998</v>
      </c>
      <c r="BM892" s="3276" t="s">
        <v>2879</v>
      </c>
      <c r="BN892" s="3276" t="s">
        <v>2999</v>
      </c>
      <c r="BO892" s="3276" t="s">
        <v>3146</v>
      </c>
      <c r="BP892" s="3276"/>
      <c r="BQ892" s="3276" t="e">
        <v>#DIV/0!</v>
      </c>
      <c r="BR892" s="3276" t="e">
        <v>#DIV/0!</v>
      </c>
      <c r="BS892" s="3285"/>
      <c r="BT892" s="3285"/>
      <c r="BU892" s="3285"/>
      <c r="BV892" s="3341"/>
      <c r="BW892" s="3341"/>
      <c r="BX892" s="3341"/>
      <c r="BY892" s="3262" t="s">
        <v>3262</v>
      </c>
      <c r="BZ892" s="3262" t="s">
        <v>3262</v>
      </c>
      <c r="CA892" s="3262" t="s">
        <v>3262</v>
      </c>
      <c r="CB892" s="3262" t="s">
        <v>3262</v>
      </c>
      <c r="CC892" s="3262" t="s">
        <v>3262</v>
      </c>
      <c r="CD892" s="3262" t="s">
        <v>3262</v>
      </c>
      <c r="CE892" s="3262" t="s">
        <v>3262</v>
      </c>
      <c r="CF892" s="3262" t="s">
        <v>3262</v>
      </c>
      <c r="CG892" s="3262" t="s">
        <v>3262</v>
      </c>
      <c r="CH892" s="3262" t="s">
        <v>3262</v>
      </c>
      <c r="CI892" s="3262" t="s">
        <v>3262</v>
      </c>
      <c r="CJ892" s="3262" t="s">
        <v>3262</v>
      </c>
      <c r="CK892" s="3262" t="s">
        <v>3262</v>
      </c>
      <c r="CL892" s="3262" t="s">
        <v>3262</v>
      </c>
      <c r="CM892" s="3262" t="s">
        <v>3262</v>
      </c>
      <c r="CN892" s="3262" t="s">
        <v>3262</v>
      </c>
      <c r="CO892" s="3262" t="s">
        <v>3262</v>
      </c>
      <c r="CP892" s="3262" t="s">
        <v>3262</v>
      </c>
      <c r="CQ892" s="3262" t="s">
        <v>3262</v>
      </c>
      <c r="CR892" s="3262" t="s">
        <v>3262</v>
      </c>
      <c r="CS892" s="3262" t="s">
        <v>3262</v>
      </c>
      <c r="CT892" s="3262" t="s">
        <v>3262</v>
      </c>
      <c r="CU892" s="3262" t="s">
        <v>3262</v>
      </c>
      <c r="CV892" s="3262" t="s">
        <v>3262</v>
      </c>
      <c r="CW892" s="3262" t="s">
        <v>3262</v>
      </c>
      <c r="CX892" s="3262" t="s">
        <v>3262</v>
      </c>
      <c r="CY892" s="3262" t="s">
        <v>3262</v>
      </c>
      <c r="CZ892" s="3262" t="s">
        <v>3262</v>
      </c>
      <c r="DA892" s="3262" t="s">
        <v>3262</v>
      </c>
      <c r="DB892" s="3262" t="s">
        <v>3262</v>
      </c>
      <c r="DC892" s="3262" t="s">
        <v>3262</v>
      </c>
      <c r="DD892" s="3262" t="s">
        <v>3262</v>
      </c>
      <c r="DE892" s="3262" t="s">
        <v>3262</v>
      </c>
      <c r="DF892" s="3262" t="s">
        <v>3262</v>
      </c>
      <c r="DG892" s="3262" t="s">
        <v>3262</v>
      </c>
      <c r="DH892" s="3262" t="s">
        <v>3262</v>
      </c>
      <c r="DI892" s="3262" t="s">
        <v>3262</v>
      </c>
      <c r="DJ892" s="3262" t="s">
        <v>3262</v>
      </c>
      <c r="DK892" s="3262" t="s">
        <v>3262</v>
      </c>
      <c r="DL892" s="3262" t="s">
        <v>3262</v>
      </c>
      <c r="DM892" s="3262" t="s">
        <v>3262</v>
      </c>
      <c r="DN892" s="3262" t="s">
        <v>3262</v>
      </c>
      <c r="DO892" s="3262" t="s">
        <v>3262</v>
      </c>
      <c r="DP892" s="3262" t="s">
        <v>3262</v>
      </c>
      <c r="DQ892" s="3262" t="s">
        <v>3262</v>
      </c>
      <c r="DR892" s="3262" t="s">
        <v>3262</v>
      </c>
      <c r="DS892" s="3262" t="s">
        <v>3262</v>
      </c>
      <c r="DT892" s="3262" t="s">
        <v>3262</v>
      </c>
      <c r="DU892" s="3262" t="s">
        <v>3262</v>
      </c>
      <c r="DV892" s="3262" t="s">
        <v>3262</v>
      </c>
      <c r="DW892" s="3262" t="s">
        <v>3262</v>
      </c>
      <c r="DX892" s="3262" t="s">
        <v>3262</v>
      </c>
      <c r="DY892" s="3262" t="s">
        <v>3262</v>
      </c>
      <c r="DZ892" s="3262" t="s">
        <v>3262</v>
      </c>
      <c r="EA892" s="3262" t="s">
        <v>3262</v>
      </c>
      <c r="EB892" s="3262" t="s">
        <v>3262</v>
      </c>
      <c r="EC892" s="3262" t="s">
        <v>3262</v>
      </c>
      <c r="ED892" s="3262" t="s">
        <v>3262</v>
      </c>
      <c r="EE892" s="3262" t="s">
        <v>3262</v>
      </c>
      <c r="EF892" s="3262" t="s">
        <v>3262</v>
      </c>
      <c r="EG892" s="3262" t="s">
        <v>3262</v>
      </c>
      <c r="EH892" s="3262" t="s">
        <v>3262</v>
      </c>
      <c r="EI892" s="3262" t="s">
        <v>3262</v>
      </c>
      <c r="EJ892" s="3262" t="s">
        <v>3262</v>
      </c>
      <c r="EK892" s="3262" t="s">
        <v>3262</v>
      </c>
      <c r="EL892" s="3262" t="s">
        <v>3262</v>
      </c>
      <c r="EM892" s="3262" t="s">
        <v>3262</v>
      </c>
      <c r="EN892" s="3262" t="s">
        <v>3262</v>
      </c>
      <c r="EO892" s="3262" t="s">
        <v>3262</v>
      </c>
      <c r="EP892" s="3262" t="s">
        <v>3262</v>
      </c>
      <c r="EQ892" s="3262" t="s">
        <v>3262</v>
      </c>
      <c r="ER892" s="3262" t="s">
        <v>3262</v>
      </c>
      <c r="ES892" s="3262" t="s">
        <v>3262</v>
      </c>
      <c r="ET892" s="3262" t="s">
        <v>3262</v>
      </c>
      <c r="EU892" s="3262" t="s">
        <v>3262</v>
      </c>
      <c r="EV892" s="3262" t="s">
        <v>3262</v>
      </c>
      <c r="EW892" s="3262" t="s">
        <v>3262</v>
      </c>
      <c r="EX892" s="3262" t="s">
        <v>3262</v>
      </c>
      <c r="EY892" s="3262" t="s">
        <v>3262</v>
      </c>
      <c r="EZ892" s="3262" t="s">
        <v>3262</v>
      </c>
      <c r="FA892" s="3262" t="s">
        <v>3262</v>
      </c>
      <c r="FB892" s="3262" t="s">
        <v>3262</v>
      </c>
      <c r="FC892" s="3262" t="s">
        <v>3262</v>
      </c>
      <c r="FD892" s="3262" t="s">
        <v>3262</v>
      </c>
      <c r="FE892" s="3262" t="s">
        <v>3262</v>
      </c>
      <c r="FF892" s="3262" t="s">
        <v>3262</v>
      </c>
      <c r="FG892" s="3262" t="s">
        <v>3262</v>
      </c>
      <c r="FH892" s="3262" t="s">
        <v>3262</v>
      </c>
      <c r="FI892" s="3262" t="s">
        <v>3262</v>
      </c>
      <c r="FJ892" s="3262" t="s">
        <v>3262</v>
      </c>
      <c r="FK892" s="3262" t="s">
        <v>3262</v>
      </c>
      <c r="FL892" s="3262" t="s">
        <v>3262</v>
      </c>
      <c r="FM892" s="3262" t="s">
        <v>3262</v>
      </c>
      <c r="FN892" s="3262" t="s">
        <v>3262</v>
      </c>
      <c r="FO892" s="3262" t="s">
        <v>3262</v>
      </c>
      <c r="FP892" s="3262" t="s">
        <v>3262</v>
      </c>
      <c r="FQ892" s="3262" t="s">
        <v>3262</v>
      </c>
      <c r="FR892" s="3262" t="s">
        <v>3262</v>
      </c>
      <c r="FS892" s="3262" t="s">
        <v>3262</v>
      </c>
      <c r="FT892" s="3262" t="s">
        <v>3262</v>
      </c>
      <c r="FU892" s="3262" t="s">
        <v>3262</v>
      </c>
      <c r="FV892" s="3262" t="s">
        <v>3262</v>
      </c>
      <c r="FW892" s="3262" t="s">
        <v>3262</v>
      </c>
      <c r="FX892" s="3262" t="s">
        <v>3262</v>
      </c>
      <c r="FY892" s="3262" t="s">
        <v>3262</v>
      </c>
      <c r="FZ892" s="3262" t="s">
        <v>3262</v>
      </c>
      <c r="GA892" s="3262" t="s">
        <v>3262</v>
      </c>
      <c r="GB892" s="3262" t="s">
        <v>3262</v>
      </c>
      <c r="GC892" s="3262" t="s">
        <v>3262</v>
      </c>
      <c r="GD892" s="3262" t="s">
        <v>3262</v>
      </c>
      <c r="GE892" s="3262" t="s">
        <v>3262</v>
      </c>
      <c r="GF892" s="3262" t="s">
        <v>3262</v>
      </c>
      <c r="GG892" s="3262" t="s">
        <v>3262</v>
      </c>
      <c r="GH892" s="3262" t="s">
        <v>3262</v>
      </c>
      <c r="GI892" s="3262" t="s">
        <v>3262</v>
      </c>
      <c r="GJ892" s="3262" t="s">
        <v>3262</v>
      </c>
      <c r="GK892" s="3262" t="s">
        <v>3262</v>
      </c>
      <c r="GL892" s="3262" t="s">
        <v>3262</v>
      </c>
      <c r="GM892" s="3262" t="s">
        <v>3262</v>
      </c>
      <c r="GN892" s="3262" t="s">
        <v>3262</v>
      </c>
      <c r="GO892" s="3262" t="s">
        <v>3262</v>
      </c>
      <c r="GP892" s="3262" t="s">
        <v>3262</v>
      </c>
      <c r="GQ892" s="3262" t="s">
        <v>3262</v>
      </c>
      <c r="GR892" s="3262" t="s">
        <v>3262</v>
      </c>
      <c r="GS892" s="3262" t="s">
        <v>3262</v>
      </c>
      <c r="GT892" s="3262" t="s">
        <v>3262</v>
      </c>
      <c r="GU892" s="3262" t="s">
        <v>3262</v>
      </c>
      <c r="GV892" s="3262" t="s">
        <v>3262</v>
      </c>
      <c r="GW892" s="3262" t="s">
        <v>3262</v>
      </c>
      <c r="GX892" s="3262" t="s">
        <v>3262</v>
      </c>
      <c r="GY892" s="3262" t="s">
        <v>3262</v>
      </c>
      <c r="GZ892" s="3262" t="s">
        <v>3262</v>
      </c>
      <c r="HA892" s="3262" t="s">
        <v>3262</v>
      </c>
      <c r="HB892" s="3262" t="s">
        <v>3262</v>
      </c>
      <c r="HC892" s="3262" t="s">
        <v>3262</v>
      </c>
      <c r="HD892" s="3262" t="s">
        <v>3262</v>
      </c>
      <c r="HE892" s="3262" t="s">
        <v>3262</v>
      </c>
      <c r="HF892" s="3262" t="s">
        <v>3262</v>
      </c>
      <c r="HG892" s="3262" t="s">
        <v>3262</v>
      </c>
      <c r="HH892" s="3262" t="s">
        <v>3262</v>
      </c>
      <c r="HI892" s="3262" t="s">
        <v>3262</v>
      </c>
      <c r="HJ892" s="3262" t="s">
        <v>3262</v>
      </c>
      <c r="HK892" s="3262" t="s">
        <v>3262</v>
      </c>
      <c r="HL892" s="3262" t="s">
        <v>3262</v>
      </c>
      <c r="HM892" s="3262" t="s">
        <v>3262</v>
      </c>
      <c r="HN892" s="3262" t="s">
        <v>3262</v>
      </c>
      <c r="HO892" s="3262" t="s">
        <v>3262</v>
      </c>
      <c r="HP892" s="3262" t="s">
        <v>3262</v>
      </c>
      <c r="HQ892" s="3262" t="s">
        <v>3262</v>
      </c>
      <c r="HR892" s="3262" t="s">
        <v>3262</v>
      </c>
      <c r="HS892" s="3262" t="s">
        <v>3262</v>
      </c>
      <c r="HT892" s="3262" t="s">
        <v>3262</v>
      </c>
      <c r="HU892" s="3262" t="s">
        <v>3262</v>
      </c>
      <c r="HV892" s="3262" t="s">
        <v>3262</v>
      </c>
      <c r="HW892" s="3262" t="s">
        <v>3262</v>
      </c>
      <c r="HX892" s="3262" t="s">
        <v>3262</v>
      </c>
      <c r="HY892" s="3262" t="s">
        <v>3262</v>
      </c>
      <c r="HZ892" s="3262" t="s">
        <v>3262</v>
      </c>
      <c r="IA892" s="3262" t="s">
        <v>3262</v>
      </c>
      <c r="IB892" s="3262" t="s">
        <v>3262</v>
      </c>
      <c r="IC892" s="3262" t="s">
        <v>3262</v>
      </c>
      <c r="ID892" s="3262" t="s">
        <v>3262</v>
      </c>
      <c r="IE892" s="3262" t="s">
        <v>3262</v>
      </c>
      <c r="IF892" s="3262" t="s">
        <v>3262</v>
      </c>
      <c r="IG892" s="3262" t="s">
        <v>3262</v>
      </c>
      <c r="IH892" s="3262" t="s">
        <v>3262</v>
      </c>
      <c r="II892" s="3262" t="s">
        <v>3262</v>
      </c>
      <c r="IJ892" s="3262" t="s">
        <v>3262</v>
      </c>
    </row>
    <row r="893" spans="1:249" hidden="1">
      <c r="A893" s="3267" t="s">
        <v>9234</v>
      </c>
      <c r="B893" s="3267" t="s">
        <v>9235</v>
      </c>
      <c r="C893" s="3269" t="s">
        <v>9236</v>
      </c>
      <c r="D893" s="3269" t="s">
        <v>9237</v>
      </c>
      <c r="E893" s="3268" t="s">
        <v>2985</v>
      </c>
      <c r="F893" s="3268" t="s">
        <v>3919</v>
      </c>
      <c r="G893" s="3267"/>
      <c r="H893" s="3267" t="s">
        <v>3379</v>
      </c>
      <c r="I893" s="3268" t="s">
        <v>3318</v>
      </c>
      <c r="J893" s="3267" t="s">
        <v>3558</v>
      </c>
      <c r="K893" s="3267" t="s">
        <v>9238</v>
      </c>
      <c r="L893" s="3267">
        <v>64.209999999999994</v>
      </c>
      <c r="M893" s="3267">
        <v>18</v>
      </c>
      <c r="N893" s="3267" t="s">
        <v>3152</v>
      </c>
      <c r="O893" s="3267"/>
      <c r="P893" s="3267" t="s">
        <v>2963</v>
      </c>
      <c r="Q893" s="3271">
        <v>400000</v>
      </c>
      <c r="R893" s="3288">
        <v>6230</v>
      </c>
      <c r="S893" s="3272">
        <v>41.22</v>
      </c>
      <c r="T893" s="3273">
        <v>412200</v>
      </c>
      <c r="U893" s="3267">
        <v>6421</v>
      </c>
      <c r="V893" s="3289">
        <v>0.2</v>
      </c>
      <c r="W893" s="3272">
        <v>32.97</v>
      </c>
      <c r="X893" s="3273">
        <v>329700</v>
      </c>
      <c r="Y893" s="3276">
        <v>2006</v>
      </c>
      <c r="Z893" s="3276">
        <v>12</v>
      </c>
      <c r="AA893" s="3276">
        <v>19</v>
      </c>
      <c r="AB893" s="3267">
        <v>1235</v>
      </c>
      <c r="AC893" s="3267" t="s">
        <v>2980</v>
      </c>
      <c r="AD893" s="3269" t="s">
        <v>9239</v>
      </c>
      <c r="AE893" s="3279" t="s">
        <v>5131</v>
      </c>
      <c r="AF893" s="3268" t="s">
        <v>2966</v>
      </c>
      <c r="AG893" s="3279" t="s">
        <v>2967</v>
      </c>
      <c r="AH893" s="3268" t="s">
        <v>2968</v>
      </c>
      <c r="AI893" s="3279" t="s">
        <v>2992</v>
      </c>
      <c r="AJ893" s="3284"/>
      <c r="AK893" s="3278" t="s">
        <v>3120</v>
      </c>
      <c r="AL893" s="3276">
        <v>59</v>
      </c>
      <c r="AM893" s="3267"/>
      <c r="AN893" s="3279" t="s">
        <v>2994</v>
      </c>
      <c r="AO893" s="3267"/>
      <c r="AP893" s="3279" t="s">
        <v>3537</v>
      </c>
      <c r="AQ893" s="3267" t="s">
        <v>3113</v>
      </c>
      <c r="AR893" s="3276"/>
      <c r="AS893" s="3276"/>
      <c r="AT893" s="3276"/>
      <c r="AU893" s="3276" t="s">
        <v>2968</v>
      </c>
      <c r="AV893" s="3276" t="s">
        <v>2968</v>
      </c>
      <c r="AW893" s="3276" t="s">
        <v>3171</v>
      </c>
      <c r="AX893" s="3276"/>
      <c r="AY893" s="3291"/>
      <c r="AZ893" s="3267" t="s">
        <v>9238</v>
      </c>
      <c r="BA893" s="3296"/>
      <c r="BB893" s="3297"/>
      <c r="BC893" s="3296"/>
      <c r="BD893" s="3298"/>
      <c r="BE893" s="3276">
        <v>13146770999</v>
      </c>
      <c r="BF893" s="3281"/>
      <c r="BG893" s="3290">
        <v>39034</v>
      </c>
      <c r="BH893" s="3267" t="s">
        <v>2998</v>
      </c>
      <c r="BI893" s="3314" t="s">
        <v>3537</v>
      </c>
      <c r="BJ893" s="3283">
        <v>39038</v>
      </c>
      <c r="BK893" s="3283" t="s">
        <v>2968</v>
      </c>
      <c r="BL893" s="3267" t="s">
        <v>3249</v>
      </c>
      <c r="BM893" s="3276" t="s">
        <v>2879</v>
      </c>
      <c r="BN893" s="3276" t="s">
        <v>2999</v>
      </c>
      <c r="BO893" s="3276" t="s">
        <v>3590</v>
      </c>
      <c r="BP893" s="3276"/>
      <c r="BQ893" s="3276" t="e">
        <v>#DIV/0!</v>
      </c>
      <c r="BR893" s="3276" t="e">
        <v>#DIV/0!</v>
      </c>
      <c r="BS893" s="3285"/>
      <c r="BT893" s="3285"/>
      <c r="BU893" s="3285"/>
      <c r="BV893" s="3347"/>
      <c r="BW893" s="3347"/>
      <c r="BX893" s="3347"/>
      <c r="BY893" s="3347"/>
      <c r="BZ893" s="3347"/>
      <c r="CA893" s="3347"/>
      <c r="CB893" s="3347"/>
      <c r="CC893" s="3347"/>
      <c r="CD893" s="3347"/>
      <c r="CE893" s="3347"/>
      <c r="CF893" s="3347"/>
      <c r="CG893" s="3347"/>
      <c r="CH893" s="3347"/>
      <c r="CI893" s="3347"/>
      <c r="CJ893" s="3347"/>
      <c r="CK893" s="3347"/>
      <c r="CL893" s="3347"/>
      <c r="CM893" s="3347"/>
      <c r="CN893" s="3347"/>
      <c r="CO893" s="3347"/>
      <c r="CP893" s="3347"/>
      <c r="CQ893" s="3347"/>
      <c r="CR893" s="3347"/>
      <c r="CS893" s="3347"/>
      <c r="CT893" s="3347"/>
      <c r="CU893" s="3347"/>
      <c r="CV893" s="3347"/>
      <c r="CW893" s="3347"/>
      <c r="CX893" s="3347"/>
      <c r="CY893" s="3347"/>
      <c r="CZ893" s="3347"/>
      <c r="DA893" s="3347"/>
      <c r="DB893" s="3347"/>
      <c r="DC893" s="3347"/>
      <c r="DD893" s="3347"/>
      <c r="DE893" s="3347"/>
      <c r="DF893" s="3347"/>
      <c r="DG893" s="3347"/>
      <c r="DH893" s="3347"/>
      <c r="DI893" s="3347"/>
      <c r="DJ893" s="3347"/>
      <c r="DK893" s="3347"/>
      <c r="DL893" s="3347"/>
      <c r="DM893" s="3347"/>
      <c r="DN893" s="3347"/>
      <c r="DO893" s="3347"/>
      <c r="DP893" s="3347"/>
      <c r="DQ893" s="3347"/>
      <c r="DR893" s="3347"/>
      <c r="DS893" s="3347"/>
      <c r="DT893" s="3347"/>
      <c r="DU893" s="3347"/>
      <c r="DV893" s="3347"/>
      <c r="DW893" s="3347"/>
      <c r="DX893" s="3347"/>
      <c r="DY893" s="3347"/>
      <c r="DZ893" s="3347"/>
      <c r="EA893" s="3347"/>
      <c r="EB893" s="3347"/>
      <c r="EC893" s="3347"/>
      <c r="ED893" s="3347"/>
      <c r="EE893" s="3347"/>
      <c r="EF893" s="3347"/>
      <c r="EG893" s="3347"/>
      <c r="EH893" s="3347"/>
      <c r="EI893" s="3347"/>
      <c r="EJ893" s="3347"/>
      <c r="EK893" s="3347"/>
      <c r="EL893" s="3347"/>
      <c r="EM893" s="3347"/>
      <c r="EN893" s="3347"/>
      <c r="EO893" s="3347"/>
      <c r="EP893" s="3347"/>
      <c r="EQ893" s="3347"/>
      <c r="ER893" s="3347"/>
      <c r="ES893" s="3347"/>
      <c r="ET893" s="3347"/>
      <c r="EU893" s="3347"/>
      <c r="EV893" s="3347"/>
      <c r="EW893" s="3347"/>
      <c r="EX893" s="3347"/>
      <c r="EY893" s="3347"/>
      <c r="EZ893" s="3347"/>
      <c r="FA893" s="3347"/>
      <c r="FB893" s="3347"/>
      <c r="FC893" s="3347"/>
      <c r="FD893" s="3347"/>
      <c r="FE893" s="3347"/>
      <c r="FF893" s="3347"/>
      <c r="FG893" s="3347"/>
      <c r="FH893" s="3347"/>
      <c r="FI893" s="3347"/>
      <c r="FJ893" s="3347"/>
      <c r="FK893" s="3347"/>
      <c r="FL893" s="3347"/>
      <c r="FM893" s="3347"/>
      <c r="FN893" s="3347"/>
      <c r="FO893" s="3347"/>
      <c r="FP893" s="3347"/>
      <c r="FQ893" s="3347"/>
      <c r="FR893" s="3347"/>
      <c r="FS893" s="3347"/>
      <c r="FT893" s="3347"/>
      <c r="FU893" s="3347"/>
      <c r="FV893" s="3347"/>
      <c r="FW893" s="3347"/>
      <c r="FX893" s="3347"/>
      <c r="FY893" s="3347"/>
      <c r="FZ893" s="3347"/>
      <c r="GA893" s="3347"/>
      <c r="GB893" s="3347"/>
      <c r="GC893" s="3347"/>
      <c r="GD893" s="3347"/>
      <c r="GE893" s="3347"/>
      <c r="GF893" s="3347"/>
      <c r="GG893" s="3347"/>
      <c r="GH893" s="3347"/>
      <c r="GI893" s="3347"/>
      <c r="GJ893" s="3347"/>
      <c r="GK893" s="3347"/>
      <c r="GL893" s="3347"/>
      <c r="GM893" s="3347"/>
      <c r="GN893" s="3347"/>
      <c r="GO893" s="3347"/>
      <c r="GP893" s="3347"/>
      <c r="GQ893" s="3347"/>
      <c r="GR893" s="3347"/>
      <c r="GS893" s="3347"/>
      <c r="GT893" s="3347"/>
      <c r="GU893" s="3347"/>
      <c r="GV893" s="3347"/>
      <c r="GW893" s="3347"/>
      <c r="GX893" s="3347"/>
      <c r="GY893" s="3347"/>
      <c r="GZ893" s="3347"/>
      <c r="HA893" s="3347"/>
      <c r="HB893" s="3347"/>
      <c r="HC893" s="3347"/>
      <c r="HD893" s="3347"/>
      <c r="HE893" s="3347"/>
      <c r="HF893" s="3347"/>
      <c r="HG893" s="3347"/>
      <c r="HH893" s="3347"/>
      <c r="HI893" s="3347"/>
      <c r="HJ893" s="3347"/>
      <c r="HK893" s="3347"/>
      <c r="HL893" s="3347"/>
      <c r="HM893" s="3347"/>
      <c r="HN893" s="3347"/>
      <c r="HO893" s="3347"/>
      <c r="HP893" s="3347"/>
      <c r="HQ893" s="3347"/>
      <c r="HR893" s="3347"/>
      <c r="HS893" s="3347"/>
      <c r="HT893" s="3347"/>
      <c r="HU893" s="3347"/>
      <c r="HV893" s="3347"/>
      <c r="HW893" s="3347"/>
      <c r="HX893" s="3347"/>
      <c r="HY893" s="3347"/>
      <c r="HZ893" s="3347"/>
      <c r="IA893" s="3347"/>
      <c r="IB893" s="3347"/>
    </row>
    <row r="894" spans="1:249" hidden="1">
      <c r="A894" s="3267" t="s">
        <v>9240</v>
      </c>
      <c r="B894" s="3267" t="s">
        <v>9241</v>
      </c>
      <c r="C894" s="3269" t="s">
        <v>9242</v>
      </c>
      <c r="D894" s="3267">
        <v>13621282303</v>
      </c>
      <c r="E894" s="3267" t="s">
        <v>2985</v>
      </c>
      <c r="F894" s="3267" t="s">
        <v>9243</v>
      </c>
      <c r="G894" s="3267"/>
      <c r="H894" s="3267"/>
      <c r="I894" s="3267"/>
      <c r="J894" s="3267" t="s">
        <v>3274</v>
      </c>
      <c r="K894" s="3268" t="s">
        <v>9244</v>
      </c>
      <c r="L894" s="3267">
        <v>62.79</v>
      </c>
      <c r="M894" s="3267">
        <v>9</v>
      </c>
      <c r="N894" s="3267" t="s">
        <v>3122</v>
      </c>
      <c r="O894" s="3267"/>
      <c r="P894" s="3267" t="s">
        <v>2963</v>
      </c>
      <c r="Q894" s="3267">
        <v>495000</v>
      </c>
      <c r="R894" s="3267">
        <v>7883</v>
      </c>
      <c r="S894" s="3272">
        <v>41.51</v>
      </c>
      <c r="T894" s="3273">
        <v>415100</v>
      </c>
      <c r="U894" s="3267">
        <v>6611</v>
      </c>
      <c r="V894" s="3274">
        <v>0.2</v>
      </c>
      <c r="W894" s="3272">
        <v>33.200000000000003</v>
      </c>
      <c r="X894" s="3275">
        <v>332000</v>
      </c>
      <c r="Y894" s="3267">
        <v>2006</v>
      </c>
      <c r="Z894" s="3267">
        <v>12</v>
      </c>
      <c r="AA894" s="3276">
        <v>5</v>
      </c>
      <c r="AB894" s="3267">
        <v>1245</v>
      </c>
      <c r="AC894" s="3267" t="s">
        <v>2980</v>
      </c>
      <c r="AD894" s="3269" t="s">
        <v>9245</v>
      </c>
      <c r="AE894" s="3267" t="s">
        <v>3069</v>
      </c>
      <c r="AF894" s="3267" t="s">
        <v>2966</v>
      </c>
      <c r="AG894" s="3267" t="s">
        <v>2967</v>
      </c>
      <c r="AH894" s="3267"/>
      <c r="AI894" s="3267" t="s">
        <v>2992</v>
      </c>
      <c r="AJ894" s="3284"/>
      <c r="AK894" s="3267" t="s">
        <v>3120</v>
      </c>
      <c r="AL894" s="3267" t="s">
        <v>5837</v>
      </c>
      <c r="AM894" s="3267"/>
      <c r="AN894" s="3267" t="s">
        <v>3140</v>
      </c>
      <c r="AO894" s="3267"/>
      <c r="AP894" s="3267" t="s">
        <v>3069</v>
      </c>
      <c r="AQ894" s="3267" t="s">
        <v>3228</v>
      </c>
      <c r="AR894" s="3267">
        <v>2006</v>
      </c>
      <c r="AS894" s="3267">
        <v>12</v>
      </c>
      <c r="AT894" s="3267">
        <v>5</v>
      </c>
      <c r="AU894" s="3267"/>
      <c r="AV894" s="3267"/>
      <c r="AW894" s="3267" t="s">
        <v>3171</v>
      </c>
      <c r="AX894" s="3267"/>
      <c r="AY894" s="3269"/>
      <c r="AZ894" s="3268" t="s">
        <v>9244</v>
      </c>
      <c r="BA894" s="3267"/>
      <c r="BB894" s="3267"/>
      <c r="BC894" s="3267"/>
      <c r="BD894" s="3267"/>
      <c r="BE894" s="3267"/>
      <c r="BF894" s="3267"/>
      <c r="BG894" s="3307">
        <v>39027</v>
      </c>
      <c r="BH894" s="3267"/>
      <c r="BI894" s="3267" t="s">
        <v>3069</v>
      </c>
      <c r="BJ894" s="3307">
        <v>39041</v>
      </c>
      <c r="BK894" s="3283"/>
      <c r="BL894" s="3267" t="s">
        <v>2998</v>
      </c>
      <c r="BM894" s="3267" t="s">
        <v>2879</v>
      </c>
      <c r="BN894" s="3267" t="s">
        <v>2999</v>
      </c>
      <c r="BO894" s="3267" t="s">
        <v>3000</v>
      </c>
      <c r="BP894" s="3267"/>
      <c r="BQ894" s="3276" t="e">
        <v>#DIV/0!</v>
      </c>
      <c r="BR894" s="3276" t="e">
        <v>#DIV/0!</v>
      </c>
      <c r="BS894" s="3285"/>
      <c r="BT894" s="3285"/>
      <c r="BU894" s="3285"/>
      <c r="BV894" s="3285"/>
      <c r="BW894" s="3285"/>
      <c r="BX894" s="3285"/>
      <c r="BY894" s="3285"/>
      <c r="BZ894" s="3285"/>
      <c r="CA894" s="3285"/>
      <c r="CB894" s="3285"/>
      <c r="CC894" s="3285"/>
      <c r="CD894" s="3285"/>
      <c r="CE894" s="3285"/>
      <c r="CF894" s="3285"/>
      <c r="CG894" s="3285"/>
      <c r="CH894" s="3285"/>
      <c r="CI894" s="3285"/>
      <c r="CJ894" s="3285"/>
      <c r="CK894" s="3285"/>
      <c r="CL894" s="3285"/>
      <c r="CM894" s="3285"/>
      <c r="CN894" s="3285"/>
      <c r="CO894" s="3285"/>
      <c r="CP894" s="3285"/>
      <c r="CQ894" s="3285"/>
      <c r="CR894" s="3285"/>
      <c r="CS894" s="3285"/>
      <c r="CT894" s="3285"/>
      <c r="CU894" s="3285"/>
      <c r="CV894" s="3285"/>
      <c r="CW894" s="3285"/>
      <c r="CX894" s="3285"/>
      <c r="CY894" s="3285"/>
      <c r="CZ894" s="3285"/>
      <c r="DA894" s="3285"/>
      <c r="DB894" s="3285"/>
      <c r="DC894" s="3285"/>
      <c r="DD894" s="3285"/>
      <c r="DE894" s="3285"/>
      <c r="DF894" s="3285"/>
      <c r="DG894" s="3285"/>
      <c r="DH894" s="3285"/>
      <c r="DI894" s="3285"/>
      <c r="DJ894" s="3285"/>
      <c r="DK894" s="3285"/>
      <c r="DL894" s="3285"/>
      <c r="DM894" s="3285"/>
      <c r="DN894" s="3285"/>
      <c r="DO894" s="3285"/>
      <c r="DP894" s="3285"/>
      <c r="DQ894" s="3285"/>
      <c r="DR894" s="3285"/>
      <c r="DS894" s="3285"/>
      <c r="DT894" s="3285"/>
      <c r="DU894" s="3285"/>
      <c r="DV894" s="3285"/>
      <c r="DW894" s="3285"/>
      <c r="DX894" s="3285"/>
      <c r="DY894" s="3285"/>
      <c r="DZ894" s="3285"/>
      <c r="EA894" s="3285"/>
      <c r="EB894" s="3285"/>
      <c r="EC894" s="3285"/>
      <c r="ED894" s="3285"/>
      <c r="EE894" s="3285"/>
      <c r="EF894" s="3285"/>
      <c r="EG894" s="3285"/>
      <c r="EH894" s="3285"/>
      <c r="EI894" s="3285"/>
      <c r="EJ894" s="3285"/>
      <c r="EK894" s="3285"/>
      <c r="EL894" s="3285"/>
      <c r="EM894" s="3285"/>
      <c r="EN894" s="3285"/>
      <c r="EO894" s="3285"/>
      <c r="EP894" s="3285"/>
      <c r="EQ894" s="3285"/>
      <c r="ER894" s="3285"/>
      <c r="ES894" s="3285"/>
      <c r="ET894" s="3285"/>
      <c r="EU894" s="3285"/>
      <c r="EV894" s="3285"/>
      <c r="EW894" s="3285"/>
      <c r="EX894" s="3285"/>
      <c r="EY894" s="3285"/>
      <c r="EZ894" s="3285"/>
      <c r="FA894" s="3285"/>
      <c r="FB894" s="3285"/>
      <c r="FC894" s="3285"/>
      <c r="FD894" s="3285"/>
      <c r="FE894" s="3285"/>
      <c r="FF894" s="3285"/>
      <c r="FG894" s="3285"/>
      <c r="FH894" s="3285"/>
      <c r="FI894" s="3285"/>
      <c r="FJ894" s="3285"/>
      <c r="FK894" s="3285"/>
      <c r="FL894" s="3285"/>
      <c r="FM894" s="3285"/>
      <c r="FN894" s="3285"/>
      <c r="FO894" s="3285"/>
      <c r="FP894" s="3285"/>
      <c r="FQ894" s="3285"/>
      <c r="FR894" s="3285"/>
      <c r="FS894" s="3285"/>
      <c r="FT894" s="3285"/>
      <c r="FU894" s="3285"/>
      <c r="FV894" s="3285"/>
      <c r="FW894" s="3285"/>
      <c r="FX894" s="3285"/>
      <c r="FY894" s="3285"/>
      <c r="FZ894" s="3285"/>
      <c r="GA894" s="3285"/>
      <c r="GB894" s="3285"/>
      <c r="GC894" s="3285"/>
      <c r="GD894" s="3285"/>
      <c r="GE894" s="3285"/>
      <c r="GF894" s="3285"/>
      <c r="GG894" s="3285"/>
      <c r="GH894" s="3285"/>
      <c r="GI894" s="3285"/>
      <c r="GJ894" s="3285"/>
      <c r="GK894" s="3285"/>
      <c r="GL894" s="3285"/>
      <c r="GM894" s="3285"/>
      <c r="GN894" s="3285"/>
      <c r="GO894" s="3285"/>
      <c r="GP894" s="3285"/>
      <c r="GQ894" s="3285"/>
      <c r="GR894" s="3285"/>
      <c r="GS894" s="3285"/>
      <c r="GT894" s="3285"/>
      <c r="GU894" s="3285"/>
      <c r="GV894" s="3285"/>
      <c r="GW894" s="3285"/>
      <c r="GX894" s="3285"/>
      <c r="GY894" s="3285"/>
      <c r="GZ894" s="3285"/>
      <c r="HA894" s="3285"/>
      <c r="HB894" s="3285"/>
      <c r="HC894" s="3285"/>
      <c r="HD894" s="3285"/>
      <c r="HE894" s="3285"/>
      <c r="HF894" s="3285"/>
      <c r="HG894" s="3285"/>
      <c r="HH894" s="3285"/>
      <c r="HI894" s="3285"/>
      <c r="HJ894" s="3285"/>
      <c r="HK894" s="3285"/>
      <c r="HL894" s="3285"/>
      <c r="HM894" s="3285"/>
      <c r="HN894" s="3285"/>
      <c r="HO894" s="3285"/>
      <c r="HP894" s="3285"/>
      <c r="HQ894" s="3285"/>
      <c r="HR894" s="3285"/>
      <c r="HS894" s="3285"/>
      <c r="HT894" s="3285"/>
      <c r="HU894" s="3285"/>
      <c r="HV894" s="3285"/>
      <c r="HW894" s="3285"/>
      <c r="HX894" s="3285"/>
      <c r="HY894" s="3285"/>
      <c r="HZ894" s="3285"/>
      <c r="IA894" s="3285"/>
      <c r="IB894" s="3285"/>
    </row>
    <row r="895" spans="1:249" hidden="1">
      <c r="A895" s="3267" t="s">
        <v>9246</v>
      </c>
      <c r="B895" s="3267" t="s">
        <v>9247</v>
      </c>
      <c r="C895" s="3269" t="s">
        <v>9248</v>
      </c>
      <c r="D895" s="3269" t="s">
        <v>9249</v>
      </c>
      <c r="E895" s="3268" t="s">
        <v>2985</v>
      </c>
      <c r="F895" s="3268" t="s">
        <v>4826</v>
      </c>
      <c r="G895" s="3267"/>
      <c r="H895" s="3267" t="s">
        <v>3159</v>
      </c>
      <c r="I895" s="3268" t="s">
        <v>4347</v>
      </c>
      <c r="J895" s="3267" t="s">
        <v>3123</v>
      </c>
      <c r="K895" s="3267" t="s">
        <v>9250</v>
      </c>
      <c r="L895" s="3267">
        <v>81.22</v>
      </c>
      <c r="M895" s="3267">
        <v>4</v>
      </c>
      <c r="N895" s="3267" t="s">
        <v>3122</v>
      </c>
      <c r="O895" s="3267"/>
      <c r="P895" s="3267" t="s">
        <v>2963</v>
      </c>
      <c r="Q895" s="3271">
        <v>650000</v>
      </c>
      <c r="R895" s="3267">
        <v>8003</v>
      </c>
      <c r="S895" s="3272">
        <v>52.78</v>
      </c>
      <c r="T895" s="3273">
        <v>527800</v>
      </c>
      <c r="U895" s="3267">
        <v>6499</v>
      </c>
      <c r="V895" s="3289">
        <v>0.2</v>
      </c>
      <c r="W895" s="3272">
        <v>42.22</v>
      </c>
      <c r="X895" s="3275">
        <v>422200</v>
      </c>
      <c r="Y895" s="3276">
        <v>2006</v>
      </c>
      <c r="Z895" s="3276">
        <v>12</v>
      </c>
      <c r="AA895" s="3276">
        <v>5</v>
      </c>
      <c r="AB895" s="3267">
        <v>1500</v>
      </c>
      <c r="AC895" s="3267" t="s">
        <v>2980</v>
      </c>
      <c r="AD895" s="3269" t="s">
        <v>9251</v>
      </c>
      <c r="AE895" s="3279" t="s">
        <v>3115</v>
      </c>
      <c r="AF895" s="3268" t="s">
        <v>2966</v>
      </c>
      <c r="AG895" s="3279" t="s">
        <v>2967</v>
      </c>
      <c r="AH895" s="3267"/>
      <c r="AI895" s="3279" t="s">
        <v>2992</v>
      </c>
      <c r="AJ895" s="3284"/>
      <c r="AK895" s="3278" t="s">
        <v>3120</v>
      </c>
      <c r="AL895" s="3276">
        <v>43</v>
      </c>
      <c r="AM895" s="3267"/>
      <c r="AN895" s="3279" t="s">
        <v>3140</v>
      </c>
      <c r="AO895" s="3267"/>
      <c r="AP895" s="3279" t="s">
        <v>3305</v>
      </c>
      <c r="AQ895" s="3267" t="s">
        <v>3228</v>
      </c>
      <c r="AR895" s="3276"/>
      <c r="AS895" s="3276"/>
      <c r="AT895" s="3276"/>
      <c r="AU895" s="3276"/>
      <c r="AV895" s="3276"/>
      <c r="AW895" s="3276" t="s">
        <v>3119</v>
      </c>
      <c r="AX895" s="3276"/>
      <c r="AY895" s="3291"/>
      <c r="AZ895" s="3267" t="s">
        <v>9250</v>
      </c>
      <c r="BA895" s="3296"/>
      <c r="BB895" s="3297"/>
      <c r="BC895" s="3296"/>
      <c r="BD895" s="3296"/>
      <c r="BE895" s="3276">
        <v>13426381348</v>
      </c>
      <c r="BF895" s="3281"/>
      <c r="BG895" s="3293">
        <v>39012</v>
      </c>
      <c r="BH895" s="3267" t="s">
        <v>2998</v>
      </c>
      <c r="BI895" s="3314" t="s">
        <v>3305</v>
      </c>
      <c r="BJ895" s="3283">
        <v>39042</v>
      </c>
      <c r="BK895" s="3283"/>
      <c r="BL895" s="3267" t="s">
        <v>3249</v>
      </c>
      <c r="BM895" s="3276" t="s">
        <v>2879</v>
      </c>
      <c r="BN895" s="3276" t="s">
        <v>3111</v>
      </c>
      <c r="BO895" s="3276" t="s">
        <v>5779</v>
      </c>
      <c r="BP895" s="3276"/>
      <c r="BQ895" s="3276" t="e">
        <v>#DIV/0!</v>
      </c>
      <c r="BR895" s="3276" t="e">
        <v>#DIV/0!</v>
      </c>
      <c r="BS895" s="3285"/>
      <c r="BT895" s="3285"/>
      <c r="BU895" s="3285"/>
      <c r="BV895" s="3347"/>
      <c r="BW895" s="3347"/>
      <c r="BX895" s="3347"/>
      <c r="BY895" s="3347"/>
      <c r="BZ895" s="3347"/>
      <c r="CA895" s="3347"/>
      <c r="CB895" s="3347"/>
      <c r="CC895" s="3347"/>
      <c r="CD895" s="3347"/>
      <c r="CE895" s="3347"/>
      <c r="CF895" s="3347"/>
      <c r="CG895" s="3347"/>
      <c r="CH895" s="3347"/>
      <c r="CI895" s="3347"/>
      <c r="CJ895" s="3347"/>
      <c r="CK895" s="3347"/>
      <c r="CL895" s="3347"/>
      <c r="CM895" s="3347"/>
      <c r="CN895" s="3347"/>
      <c r="CO895" s="3347"/>
      <c r="CP895" s="3347"/>
      <c r="CQ895" s="3347"/>
      <c r="CR895" s="3347"/>
      <c r="CS895" s="3347"/>
      <c r="CT895" s="3347"/>
      <c r="CU895" s="3347"/>
      <c r="CV895" s="3347"/>
      <c r="CW895" s="3347"/>
      <c r="CX895" s="3347"/>
      <c r="CY895" s="3347"/>
      <c r="CZ895" s="3347"/>
      <c r="DA895" s="3347"/>
      <c r="DB895" s="3347"/>
      <c r="DC895" s="3347"/>
      <c r="DD895" s="3347"/>
      <c r="DE895" s="3347"/>
      <c r="DF895" s="3347"/>
      <c r="DG895" s="3347"/>
      <c r="DH895" s="3347"/>
      <c r="DI895" s="3347"/>
      <c r="DJ895" s="3347"/>
      <c r="DK895" s="3347"/>
      <c r="DL895" s="3347"/>
      <c r="DM895" s="3347"/>
      <c r="DN895" s="3347"/>
      <c r="DO895" s="3347"/>
      <c r="DP895" s="3347"/>
      <c r="DQ895" s="3347"/>
      <c r="DR895" s="3347"/>
      <c r="DS895" s="3347"/>
      <c r="DT895" s="3347"/>
      <c r="DU895" s="3347"/>
      <c r="DV895" s="3347"/>
      <c r="DW895" s="3347"/>
      <c r="DX895" s="3347"/>
      <c r="DY895" s="3347"/>
      <c r="DZ895" s="3347"/>
      <c r="EA895" s="3347"/>
      <c r="EB895" s="3347"/>
      <c r="EC895" s="3347"/>
      <c r="ED895" s="3347"/>
      <c r="EE895" s="3347"/>
      <c r="EF895" s="3347"/>
      <c r="EG895" s="3347"/>
      <c r="EH895" s="3347"/>
      <c r="EI895" s="3347"/>
      <c r="EJ895" s="3347"/>
      <c r="EK895" s="3347"/>
      <c r="EL895" s="3347"/>
      <c r="EM895" s="3347"/>
      <c r="EN895" s="3347"/>
      <c r="EO895" s="3347"/>
      <c r="EP895" s="3347"/>
      <c r="EQ895" s="3347"/>
      <c r="ER895" s="3347"/>
      <c r="ES895" s="3347"/>
      <c r="ET895" s="3347"/>
      <c r="EU895" s="3347"/>
      <c r="EV895" s="3347"/>
      <c r="EW895" s="3347"/>
      <c r="EX895" s="3347"/>
      <c r="EY895" s="3347"/>
      <c r="EZ895" s="3347"/>
      <c r="FA895" s="3347"/>
      <c r="FB895" s="3347"/>
      <c r="FC895" s="3347"/>
      <c r="FD895" s="3347"/>
      <c r="FE895" s="3347"/>
      <c r="FF895" s="3347"/>
      <c r="FG895" s="3347"/>
      <c r="FH895" s="3347"/>
      <c r="FI895" s="3347"/>
      <c r="FJ895" s="3347"/>
      <c r="FK895" s="3347"/>
      <c r="FL895" s="3347"/>
      <c r="FM895" s="3347"/>
      <c r="FN895" s="3347"/>
      <c r="FO895" s="3347"/>
      <c r="FP895" s="3347"/>
      <c r="FQ895" s="3347"/>
      <c r="FR895" s="3347"/>
      <c r="FS895" s="3347"/>
      <c r="FT895" s="3347"/>
      <c r="FU895" s="3347"/>
      <c r="FV895" s="3347"/>
      <c r="FW895" s="3347"/>
      <c r="FX895" s="3347"/>
      <c r="FY895" s="3347"/>
      <c r="FZ895" s="3347"/>
      <c r="GA895" s="3347"/>
      <c r="GB895" s="3347"/>
      <c r="GC895" s="3347"/>
      <c r="GD895" s="3347"/>
      <c r="GE895" s="3347"/>
      <c r="GF895" s="3347"/>
      <c r="GG895" s="3347"/>
      <c r="GH895" s="3347"/>
      <c r="GI895" s="3347"/>
      <c r="GJ895" s="3347"/>
      <c r="GK895" s="3347"/>
      <c r="GL895" s="3347"/>
      <c r="GM895" s="3347"/>
      <c r="GN895" s="3347"/>
      <c r="GO895" s="3347"/>
      <c r="GP895" s="3347"/>
      <c r="GQ895" s="3347"/>
      <c r="GR895" s="3347"/>
      <c r="GS895" s="3347"/>
      <c r="GT895" s="3347"/>
      <c r="GU895" s="3347"/>
      <c r="GV895" s="3347"/>
      <c r="GW895" s="3347"/>
      <c r="GX895" s="3347"/>
      <c r="GY895" s="3347"/>
      <c r="GZ895" s="3347"/>
      <c r="HA895" s="3347"/>
      <c r="HB895" s="3347"/>
      <c r="HC895" s="3347"/>
      <c r="HD895" s="3347"/>
      <c r="HE895" s="3347"/>
      <c r="HF895" s="3347"/>
      <c r="HG895" s="3347"/>
      <c r="HH895" s="3347"/>
      <c r="HI895" s="3347"/>
      <c r="HJ895" s="3347"/>
      <c r="HK895" s="3347"/>
      <c r="HL895" s="3347"/>
      <c r="HM895" s="3347"/>
      <c r="HN895" s="3347"/>
      <c r="HO895" s="3347"/>
      <c r="HP895" s="3347"/>
      <c r="HQ895" s="3347"/>
      <c r="HR895" s="3347"/>
      <c r="HS895" s="3347"/>
      <c r="HT895" s="3347"/>
      <c r="HU895" s="3347"/>
      <c r="HV895" s="3347"/>
      <c r="HW895" s="3347"/>
      <c r="HX895" s="3347"/>
      <c r="HY895" s="3347"/>
      <c r="HZ895" s="3347"/>
      <c r="IA895" s="3347"/>
      <c r="IB895" s="3347"/>
    </row>
    <row r="896" spans="1:249" hidden="1">
      <c r="A896" s="3267" t="s">
        <v>9252</v>
      </c>
      <c r="B896" s="3267" t="s">
        <v>9253</v>
      </c>
      <c r="C896" s="3269" t="s">
        <v>9254</v>
      </c>
      <c r="D896" s="3269" t="s">
        <v>9255</v>
      </c>
      <c r="E896" s="3268" t="s">
        <v>2985</v>
      </c>
      <c r="F896" s="3268" t="s">
        <v>7276</v>
      </c>
      <c r="G896" s="3267"/>
      <c r="H896" s="3267" t="s">
        <v>7066</v>
      </c>
      <c r="I896" s="3268"/>
      <c r="J896" s="3268" t="s">
        <v>3185</v>
      </c>
      <c r="K896" s="3267" t="s">
        <v>9256</v>
      </c>
      <c r="L896" s="3267">
        <v>101.74</v>
      </c>
      <c r="M896" s="3267">
        <v>2</v>
      </c>
      <c r="N896" s="3267" t="s">
        <v>3098</v>
      </c>
      <c r="O896" s="3267"/>
      <c r="P896" s="3267" t="s">
        <v>2963</v>
      </c>
      <c r="Q896" s="3271">
        <v>620000</v>
      </c>
      <c r="R896" s="3267">
        <v>6094</v>
      </c>
      <c r="S896" s="3272">
        <v>61.95</v>
      </c>
      <c r="T896" s="3273">
        <v>619500</v>
      </c>
      <c r="U896" s="3267">
        <v>6090</v>
      </c>
      <c r="V896" s="3289">
        <v>0.3</v>
      </c>
      <c r="W896" s="3272">
        <v>43.36</v>
      </c>
      <c r="X896" s="3275">
        <v>433600</v>
      </c>
      <c r="Y896" s="3276">
        <v>2006</v>
      </c>
      <c r="Z896" s="3276">
        <v>12</v>
      </c>
      <c r="AA896" s="3276">
        <v>1</v>
      </c>
      <c r="AB896" s="3267">
        <v>1500</v>
      </c>
      <c r="AC896" s="3267" t="s">
        <v>2980</v>
      </c>
      <c r="AD896" s="3366">
        <v>91302006111106</v>
      </c>
      <c r="AE896" s="3279" t="s">
        <v>2991</v>
      </c>
      <c r="AF896" s="3268"/>
      <c r="AG896" s="3279" t="s">
        <v>2967</v>
      </c>
      <c r="AH896" s="3267"/>
      <c r="AI896" s="3279" t="s">
        <v>2992</v>
      </c>
      <c r="AJ896" s="3284"/>
      <c r="AK896" s="3278" t="s">
        <v>3120</v>
      </c>
      <c r="AL896" s="3276">
        <v>56</v>
      </c>
      <c r="AM896" s="3276"/>
      <c r="AN896" s="3279" t="s">
        <v>3131</v>
      </c>
      <c r="AO896" s="3267"/>
      <c r="AP896" s="3279" t="s">
        <v>2991</v>
      </c>
      <c r="AQ896" s="3276" t="s">
        <v>3113</v>
      </c>
      <c r="AR896" s="3276">
        <v>2006</v>
      </c>
      <c r="AS896" s="3276">
        <v>12</v>
      </c>
      <c r="AT896" s="3276">
        <v>1</v>
      </c>
      <c r="AU896" s="3276"/>
      <c r="AV896" s="3276"/>
      <c r="AW896" s="3276" t="s">
        <v>2997</v>
      </c>
      <c r="AX896" s="3276"/>
      <c r="AY896" s="3291"/>
      <c r="AZ896" s="3267" t="s">
        <v>9256</v>
      </c>
      <c r="BA896" s="3296"/>
      <c r="BB896" s="3297"/>
      <c r="BC896" s="3296"/>
      <c r="BD896" s="3298"/>
      <c r="BE896" s="3276"/>
      <c r="BF896" s="3281"/>
      <c r="BG896" s="3293">
        <v>39029</v>
      </c>
      <c r="BH896" s="3267"/>
      <c r="BI896" s="3267" t="s">
        <v>2991</v>
      </c>
      <c r="BJ896" s="3299">
        <v>39042</v>
      </c>
      <c r="BK896" s="3283" t="s">
        <v>2968</v>
      </c>
      <c r="BL896" s="3267" t="s">
        <v>2998</v>
      </c>
      <c r="BM896" s="3276" t="s">
        <v>2879</v>
      </c>
      <c r="BN896" s="3276" t="s">
        <v>2999</v>
      </c>
      <c r="BO896" s="3276" t="s">
        <v>3146</v>
      </c>
      <c r="BP896" s="3276"/>
      <c r="BQ896" s="3276" t="e">
        <v>#DIV/0!</v>
      </c>
      <c r="BR896" s="3276" t="e">
        <v>#DIV/0!</v>
      </c>
      <c r="BS896" s="3285"/>
      <c r="BT896" s="3285"/>
      <c r="BU896" s="3285"/>
      <c r="BV896" s="3347"/>
      <c r="BW896" s="3347"/>
      <c r="BX896" s="3347"/>
      <c r="BY896" s="3262" t="s">
        <v>3262</v>
      </c>
      <c r="BZ896" s="3262" t="s">
        <v>3262</v>
      </c>
      <c r="CA896" s="3262" t="s">
        <v>3262</v>
      </c>
      <c r="CB896" s="3262" t="s">
        <v>3262</v>
      </c>
      <c r="CC896" s="3262" t="s">
        <v>3262</v>
      </c>
      <c r="CD896" s="3262" t="s">
        <v>3262</v>
      </c>
      <c r="CE896" s="3262" t="s">
        <v>3262</v>
      </c>
      <c r="CF896" s="3262" t="s">
        <v>3262</v>
      </c>
      <c r="CG896" s="3262" t="s">
        <v>3262</v>
      </c>
      <c r="CH896" s="3262" t="s">
        <v>3262</v>
      </c>
      <c r="CI896" s="3262" t="s">
        <v>3262</v>
      </c>
      <c r="CJ896" s="3262" t="s">
        <v>3262</v>
      </c>
      <c r="CK896" s="3262" t="s">
        <v>3262</v>
      </c>
      <c r="CL896" s="3262" t="s">
        <v>3262</v>
      </c>
      <c r="CM896" s="3262" t="s">
        <v>3262</v>
      </c>
      <c r="CN896" s="3262" t="s">
        <v>3262</v>
      </c>
      <c r="CO896" s="3262" t="s">
        <v>3262</v>
      </c>
      <c r="CP896" s="3262" t="s">
        <v>3262</v>
      </c>
      <c r="CQ896" s="3262" t="s">
        <v>3262</v>
      </c>
      <c r="CR896" s="3262" t="s">
        <v>3262</v>
      </c>
      <c r="CS896" s="3262" t="s">
        <v>3262</v>
      </c>
      <c r="CT896" s="3262" t="s">
        <v>3262</v>
      </c>
      <c r="CU896" s="3262" t="s">
        <v>3262</v>
      </c>
      <c r="CV896" s="3262" t="s">
        <v>3262</v>
      </c>
      <c r="CW896" s="3262" t="s">
        <v>3262</v>
      </c>
      <c r="CX896" s="3262" t="s">
        <v>3262</v>
      </c>
      <c r="CY896" s="3262" t="s">
        <v>3262</v>
      </c>
      <c r="CZ896" s="3262" t="s">
        <v>3262</v>
      </c>
      <c r="DA896" s="3262" t="s">
        <v>3262</v>
      </c>
      <c r="DB896" s="3262" t="s">
        <v>3262</v>
      </c>
      <c r="DC896" s="3262" t="s">
        <v>3262</v>
      </c>
      <c r="DD896" s="3262" t="s">
        <v>3262</v>
      </c>
      <c r="DE896" s="3262" t="s">
        <v>3262</v>
      </c>
      <c r="DF896" s="3262" t="s">
        <v>3262</v>
      </c>
      <c r="DG896" s="3262" t="s">
        <v>3262</v>
      </c>
      <c r="DH896" s="3262" t="s">
        <v>3262</v>
      </c>
      <c r="DI896" s="3262" t="s">
        <v>3262</v>
      </c>
      <c r="DJ896" s="3262" t="s">
        <v>3262</v>
      </c>
      <c r="DK896" s="3262" t="s">
        <v>3262</v>
      </c>
      <c r="DL896" s="3262" t="s">
        <v>3262</v>
      </c>
      <c r="DM896" s="3262" t="s">
        <v>3262</v>
      </c>
      <c r="DN896" s="3262" t="s">
        <v>3262</v>
      </c>
      <c r="DO896" s="3262" t="s">
        <v>3262</v>
      </c>
      <c r="DP896" s="3262" t="s">
        <v>3262</v>
      </c>
      <c r="DQ896" s="3262" t="s">
        <v>3262</v>
      </c>
      <c r="DR896" s="3262" t="s">
        <v>3262</v>
      </c>
      <c r="DS896" s="3262" t="s">
        <v>3262</v>
      </c>
      <c r="DT896" s="3262" t="s">
        <v>3262</v>
      </c>
      <c r="DU896" s="3262" t="s">
        <v>3262</v>
      </c>
      <c r="DV896" s="3262" t="s">
        <v>3262</v>
      </c>
      <c r="DW896" s="3262" t="s">
        <v>3262</v>
      </c>
      <c r="DX896" s="3262" t="s">
        <v>3262</v>
      </c>
      <c r="DY896" s="3262" t="s">
        <v>3262</v>
      </c>
      <c r="DZ896" s="3262" t="s">
        <v>3262</v>
      </c>
      <c r="EA896" s="3262" t="s">
        <v>3262</v>
      </c>
      <c r="EB896" s="3262" t="s">
        <v>3262</v>
      </c>
      <c r="EC896" s="3262" t="s">
        <v>3262</v>
      </c>
      <c r="ED896" s="3262" t="s">
        <v>3262</v>
      </c>
      <c r="EE896" s="3262" t="s">
        <v>3262</v>
      </c>
      <c r="EF896" s="3262" t="s">
        <v>3262</v>
      </c>
      <c r="EG896" s="3262" t="s">
        <v>3262</v>
      </c>
      <c r="EH896" s="3262" t="s">
        <v>3262</v>
      </c>
      <c r="EI896" s="3262" t="s">
        <v>3262</v>
      </c>
      <c r="EJ896" s="3262" t="s">
        <v>3262</v>
      </c>
      <c r="EK896" s="3262" t="s">
        <v>3262</v>
      </c>
      <c r="EL896" s="3262" t="s">
        <v>3262</v>
      </c>
      <c r="EM896" s="3262" t="s">
        <v>3262</v>
      </c>
      <c r="EN896" s="3262" t="s">
        <v>3262</v>
      </c>
      <c r="EO896" s="3262" t="s">
        <v>3262</v>
      </c>
      <c r="EP896" s="3262" t="s">
        <v>3262</v>
      </c>
      <c r="EQ896" s="3262" t="s">
        <v>3262</v>
      </c>
      <c r="ER896" s="3262" t="s">
        <v>3262</v>
      </c>
      <c r="ES896" s="3262" t="s">
        <v>3262</v>
      </c>
      <c r="ET896" s="3262" t="s">
        <v>3262</v>
      </c>
      <c r="EU896" s="3262" t="s">
        <v>3262</v>
      </c>
      <c r="EV896" s="3262" t="s">
        <v>3262</v>
      </c>
      <c r="EW896" s="3262" t="s">
        <v>3262</v>
      </c>
      <c r="EX896" s="3262" t="s">
        <v>3262</v>
      </c>
      <c r="EY896" s="3262" t="s">
        <v>3262</v>
      </c>
      <c r="EZ896" s="3262" t="s">
        <v>3262</v>
      </c>
      <c r="FA896" s="3262" t="s">
        <v>3262</v>
      </c>
      <c r="FB896" s="3262" t="s">
        <v>3262</v>
      </c>
      <c r="FC896" s="3262" t="s">
        <v>3262</v>
      </c>
      <c r="FD896" s="3262" t="s">
        <v>3262</v>
      </c>
      <c r="FE896" s="3262" t="s">
        <v>3262</v>
      </c>
      <c r="FF896" s="3262" t="s">
        <v>3262</v>
      </c>
      <c r="FG896" s="3262" t="s">
        <v>3262</v>
      </c>
      <c r="FH896" s="3262" t="s">
        <v>3262</v>
      </c>
      <c r="FI896" s="3262" t="s">
        <v>3262</v>
      </c>
      <c r="FJ896" s="3262" t="s">
        <v>3262</v>
      </c>
      <c r="FK896" s="3262" t="s">
        <v>3262</v>
      </c>
      <c r="FL896" s="3262" t="s">
        <v>3262</v>
      </c>
      <c r="FM896" s="3262" t="s">
        <v>3262</v>
      </c>
      <c r="FN896" s="3262" t="s">
        <v>3262</v>
      </c>
      <c r="FO896" s="3262" t="s">
        <v>3262</v>
      </c>
      <c r="FP896" s="3262" t="s">
        <v>3262</v>
      </c>
      <c r="FQ896" s="3262" t="s">
        <v>3262</v>
      </c>
      <c r="FR896" s="3262" t="s">
        <v>3262</v>
      </c>
      <c r="FS896" s="3262" t="s">
        <v>3262</v>
      </c>
      <c r="FT896" s="3262" t="s">
        <v>3262</v>
      </c>
      <c r="FU896" s="3262" t="s">
        <v>3262</v>
      </c>
      <c r="FV896" s="3262" t="s">
        <v>3262</v>
      </c>
      <c r="FW896" s="3262" t="s">
        <v>3262</v>
      </c>
      <c r="FX896" s="3262" t="s">
        <v>3262</v>
      </c>
      <c r="FY896" s="3262" t="s">
        <v>3262</v>
      </c>
      <c r="FZ896" s="3262" t="s">
        <v>3262</v>
      </c>
      <c r="GA896" s="3262" t="s">
        <v>3262</v>
      </c>
      <c r="GB896" s="3262" t="s">
        <v>3262</v>
      </c>
      <c r="GC896" s="3262" t="s">
        <v>3262</v>
      </c>
      <c r="GD896" s="3262" t="s">
        <v>3262</v>
      </c>
      <c r="GE896" s="3262" t="s">
        <v>3262</v>
      </c>
      <c r="GF896" s="3262" t="s">
        <v>3262</v>
      </c>
      <c r="GG896" s="3262" t="s">
        <v>3262</v>
      </c>
      <c r="GH896" s="3262" t="s">
        <v>3262</v>
      </c>
      <c r="GI896" s="3262" t="s">
        <v>3262</v>
      </c>
      <c r="GJ896" s="3262" t="s">
        <v>3262</v>
      </c>
      <c r="GK896" s="3262" t="s">
        <v>3262</v>
      </c>
      <c r="GL896" s="3262" t="s">
        <v>3262</v>
      </c>
      <c r="GM896" s="3262" t="s">
        <v>3262</v>
      </c>
      <c r="GN896" s="3262" t="s">
        <v>3262</v>
      </c>
      <c r="GO896" s="3262" t="s">
        <v>3262</v>
      </c>
      <c r="GP896" s="3262" t="s">
        <v>3262</v>
      </c>
      <c r="GQ896" s="3262" t="s">
        <v>3262</v>
      </c>
      <c r="GR896" s="3262" t="s">
        <v>3262</v>
      </c>
      <c r="GS896" s="3262" t="s">
        <v>3262</v>
      </c>
      <c r="GT896" s="3262" t="s">
        <v>3262</v>
      </c>
      <c r="GU896" s="3262" t="s">
        <v>3262</v>
      </c>
      <c r="GV896" s="3262" t="s">
        <v>3262</v>
      </c>
      <c r="GW896" s="3262" t="s">
        <v>3262</v>
      </c>
      <c r="GX896" s="3262" t="s">
        <v>3262</v>
      </c>
      <c r="GY896" s="3262" t="s">
        <v>3262</v>
      </c>
      <c r="GZ896" s="3262" t="s">
        <v>3262</v>
      </c>
      <c r="HA896" s="3262" t="s">
        <v>3262</v>
      </c>
      <c r="HB896" s="3262" t="s">
        <v>3262</v>
      </c>
      <c r="HC896" s="3262" t="s">
        <v>3262</v>
      </c>
      <c r="HD896" s="3262" t="s">
        <v>3262</v>
      </c>
      <c r="HE896" s="3262" t="s">
        <v>3262</v>
      </c>
      <c r="HF896" s="3262" t="s">
        <v>3262</v>
      </c>
      <c r="HG896" s="3262" t="s">
        <v>3262</v>
      </c>
      <c r="HH896" s="3262" t="s">
        <v>3262</v>
      </c>
      <c r="HI896" s="3262" t="s">
        <v>3262</v>
      </c>
      <c r="HJ896" s="3262" t="s">
        <v>3262</v>
      </c>
      <c r="HK896" s="3262" t="s">
        <v>3262</v>
      </c>
      <c r="HL896" s="3262" t="s">
        <v>3262</v>
      </c>
      <c r="HM896" s="3262" t="s">
        <v>3262</v>
      </c>
      <c r="HN896" s="3262" t="s">
        <v>3262</v>
      </c>
      <c r="HO896" s="3262" t="s">
        <v>3262</v>
      </c>
      <c r="HP896" s="3262" t="s">
        <v>3262</v>
      </c>
      <c r="HQ896" s="3262" t="s">
        <v>3262</v>
      </c>
      <c r="HR896" s="3262" t="s">
        <v>3262</v>
      </c>
      <c r="HS896" s="3262" t="s">
        <v>3262</v>
      </c>
      <c r="HT896" s="3262" t="s">
        <v>3262</v>
      </c>
      <c r="HU896" s="3262" t="s">
        <v>3262</v>
      </c>
      <c r="HV896" s="3262" t="s">
        <v>3262</v>
      </c>
      <c r="HW896" s="3262" t="s">
        <v>3262</v>
      </c>
      <c r="HX896" s="3262" t="s">
        <v>3262</v>
      </c>
      <c r="HY896" s="3262" t="s">
        <v>3262</v>
      </c>
      <c r="HZ896" s="3262" t="s">
        <v>3262</v>
      </c>
      <c r="IA896" s="3262" t="s">
        <v>3262</v>
      </c>
      <c r="IB896" s="3262" t="s">
        <v>3262</v>
      </c>
      <c r="IC896" s="3262" t="s">
        <v>3262</v>
      </c>
      <c r="ID896" s="3262" t="s">
        <v>3262</v>
      </c>
      <c r="IE896" s="3262" t="s">
        <v>3262</v>
      </c>
      <c r="IF896" s="3262" t="s">
        <v>3262</v>
      </c>
      <c r="IG896" s="3262" t="s">
        <v>3262</v>
      </c>
      <c r="IH896" s="3262" t="s">
        <v>3262</v>
      </c>
      <c r="II896" s="3262" t="s">
        <v>3262</v>
      </c>
      <c r="IJ896" s="3262" t="s">
        <v>3262</v>
      </c>
    </row>
    <row r="897" spans="1:244" hidden="1">
      <c r="A897" s="3267" t="s">
        <v>9257</v>
      </c>
      <c r="B897" s="3267" t="s">
        <v>9258</v>
      </c>
      <c r="C897" s="3269" t="s">
        <v>9259</v>
      </c>
      <c r="D897" s="3269" t="s">
        <v>9260</v>
      </c>
      <c r="E897" s="3268" t="s">
        <v>2985</v>
      </c>
      <c r="F897" s="3268" t="s">
        <v>9261</v>
      </c>
      <c r="G897" s="3267"/>
      <c r="H897" s="3267" t="s">
        <v>3500</v>
      </c>
      <c r="I897" s="3268"/>
      <c r="J897" s="3267" t="s">
        <v>3143</v>
      </c>
      <c r="K897" s="3267" t="s">
        <v>9262</v>
      </c>
      <c r="L897" s="3267">
        <v>89.73</v>
      </c>
      <c r="M897" s="3267">
        <v>5</v>
      </c>
      <c r="N897" s="3267" t="s">
        <v>3122</v>
      </c>
      <c r="O897" s="3267">
        <v>89.73</v>
      </c>
      <c r="P897" s="3267" t="s">
        <v>2963</v>
      </c>
      <c r="Q897" s="3271">
        <v>500000</v>
      </c>
      <c r="R897" s="3267">
        <v>5572</v>
      </c>
      <c r="S897" s="3272">
        <v>60.56</v>
      </c>
      <c r="T897" s="3273">
        <v>605600</v>
      </c>
      <c r="U897" s="3267">
        <v>6750</v>
      </c>
      <c r="V897" s="3289">
        <v>0.2</v>
      </c>
      <c r="W897" s="3272">
        <v>48.44</v>
      </c>
      <c r="X897" s="3275">
        <v>484400</v>
      </c>
      <c r="Y897" s="3276">
        <v>2006</v>
      </c>
      <c r="Z897" s="3276">
        <v>11</v>
      </c>
      <c r="AA897" s="3276">
        <v>24</v>
      </c>
      <c r="AB897" s="3267">
        <v>1500</v>
      </c>
      <c r="AC897" s="3267" t="s">
        <v>2980</v>
      </c>
      <c r="AD897" s="3280" t="s">
        <v>9263</v>
      </c>
      <c r="AE897" s="3279" t="s">
        <v>3245</v>
      </c>
      <c r="AF897" s="3268" t="s">
        <v>2966</v>
      </c>
      <c r="AG897" s="3279" t="s">
        <v>2967</v>
      </c>
      <c r="AH897" s="3267" t="s">
        <v>8299</v>
      </c>
      <c r="AI897" s="3279" t="s">
        <v>2992</v>
      </c>
      <c r="AJ897" s="3284"/>
      <c r="AK897" s="3278" t="s">
        <v>3137</v>
      </c>
      <c r="AL897" s="3276">
        <v>51</v>
      </c>
      <c r="AM897" s="3267"/>
      <c r="AN897" s="3279" t="s">
        <v>2994</v>
      </c>
      <c r="AO897" s="3267"/>
      <c r="AP897" s="3279" t="s">
        <v>3305</v>
      </c>
      <c r="AQ897" s="3276" t="s">
        <v>2996</v>
      </c>
      <c r="AR897" s="3276"/>
      <c r="AS897" s="3276"/>
      <c r="AT897" s="3276"/>
      <c r="AU897" s="3276"/>
      <c r="AV897" s="3276"/>
      <c r="AW897" s="3276" t="s">
        <v>2997</v>
      </c>
      <c r="AX897" s="3276"/>
      <c r="AY897" s="3291"/>
      <c r="AZ897" s="3267" t="s">
        <v>9262</v>
      </c>
      <c r="BA897" s="3296"/>
      <c r="BB897" s="3297"/>
      <c r="BC897" s="3296"/>
      <c r="BD897" s="3296"/>
      <c r="BE897" s="3276">
        <v>13501164327</v>
      </c>
      <c r="BF897" s="3281"/>
      <c r="BG897" s="3293">
        <v>39042</v>
      </c>
      <c r="BH897" s="3267" t="s">
        <v>2998</v>
      </c>
      <c r="BI897" s="3314" t="s">
        <v>3305</v>
      </c>
      <c r="BJ897" s="3283">
        <v>39042</v>
      </c>
      <c r="BK897" s="3283"/>
      <c r="BL897" s="3267" t="s">
        <v>3249</v>
      </c>
      <c r="BM897" s="3276" t="s">
        <v>5652</v>
      </c>
      <c r="BN897" s="3276" t="s">
        <v>2999</v>
      </c>
      <c r="BO897" s="3276" t="s">
        <v>3000</v>
      </c>
      <c r="BP897" s="3276"/>
      <c r="BQ897" s="3276">
        <v>6749</v>
      </c>
      <c r="BR897" s="3276">
        <v>5572</v>
      </c>
      <c r="BS897" s="3285"/>
      <c r="BT897" s="3285"/>
      <c r="BU897" s="3285"/>
      <c r="BV897" s="3347"/>
      <c r="BW897" s="3347"/>
      <c r="BX897" s="3347"/>
      <c r="BY897" s="3347"/>
      <c r="BZ897" s="3347"/>
      <c r="CA897" s="3347"/>
      <c r="CB897" s="3347"/>
      <c r="CC897" s="3347"/>
      <c r="CD897" s="3347"/>
      <c r="CE897" s="3347"/>
      <c r="CF897" s="3347"/>
      <c r="CG897" s="3347"/>
      <c r="CH897" s="3347"/>
      <c r="CI897" s="3347"/>
      <c r="CJ897" s="3347"/>
      <c r="CK897" s="3347"/>
      <c r="CL897" s="3347"/>
      <c r="CM897" s="3347"/>
      <c r="CN897" s="3347"/>
      <c r="CO897" s="3347"/>
      <c r="CP897" s="3347"/>
      <c r="CQ897" s="3347"/>
      <c r="CR897" s="3347"/>
      <c r="CS897" s="3347"/>
      <c r="CT897" s="3347"/>
      <c r="CU897" s="3347"/>
      <c r="CV897" s="3347"/>
      <c r="CW897" s="3347"/>
      <c r="CX897" s="3347"/>
      <c r="CY897" s="3347"/>
      <c r="CZ897" s="3347"/>
      <c r="DA897" s="3347"/>
      <c r="DB897" s="3347"/>
      <c r="DC897" s="3347"/>
      <c r="DD897" s="3347"/>
      <c r="DE897" s="3347"/>
      <c r="DF897" s="3347"/>
      <c r="DG897" s="3347"/>
      <c r="DH897" s="3347"/>
      <c r="DI897" s="3347"/>
      <c r="DJ897" s="3347"/>
      <c r="DK897" s="3347"/>
      <c r="DL897" s="3347"/>
      <c r="DM897" s="3347"/>
      <c r="DN897" s="3347"/>
      <c r="DO897" s="3347"/>
      <c r="DP897" s="3347"/>
      <c r="DQ897" s="3347"/>
      <c r="DR897" s="3347"/>
      <c r="DS897" s="3347"/>
      <c r="DT897" s="3347"/>
      <c r="DU897" s="3347"/>
      <c r="DV897" s="3347"/>
      <c r="DW897" s="3347"/>
      <c r="DX897" s="3347"/>
      <c r="DY897" s="3347"/>
      <c r="DZ897" s="3347"/>
      <c r="EA897" s="3347"/>
      <c r="EB897" s="3347"/>
      <c r="EC897" s="3347"/>
      <c r="ED897" s="3347"/>
      <c r="EE897" s="3347"/>
      <c r="EF897" s="3347"/>
      <c r="EG897" s="3347"/>
      <c r="EH897" s="3347"/>
      <c r="EI897" s="3347"/>
      <c r="EJ897" s="3347"/>
      <c r="EK897" s="3347"/>
      <c r="EL897" s="3347"/>
      <c r="EM897" s="3347"/>
      <c r="EN897" s="3347"/>
      <c r="EO897" s="3347"/>
      <c r="EP897" s="3347"/>
      <c r="EQ897" s="3347"/>
      <c r="ER897" s="3347"/>
      <c r="ES897" s="3347"/>
      <c r="ET897" s="3347"/>
      <c r="EU897" s="3347"/>
      <c r="EV897" s="3347"/>
      <c r="EW897" s="3347"/>
      <c r="EX897" s="3347"/>
      <c r="EY897" s="3347"/>
      <c r="EZ897" s="3347"/>
      <c r="FA897" s="3347"/>
      <c r="FB897" s="3347"/>
      <c r="FC897" s="3347"/>
      <c r="FD897" s="3347"/>
      <c r="FE897" s="3347"/>
      <c r="FF897" s="3347"/>
      <c r="FG897" s="3347"/>
      <c r="FH897" s="3347"/>
      <c r="FI897" s="3347"/>
      <c r="FJ897" s="3347"/>
      <c r="FK897" s="3347"/>
      <c r="FL897" s="3347"/>
      <c r="FM897" s="3347"/>
      <c r="FN897" s="3347"/>
      <c r="FO897" s="3347"/>
      <c r="FP897" s="3347"/>
      <c r="FQ897" s="3347"/>
      <c r="FR897" s="3347"/>
      <c r="FS897" s="3347"/>
      <c r="FT897" s="3347"/>
      <c r="FU897" s="3347"/>
      <c r="FV897" s="3347"/>
      <c r="FW897" s="3347"/>
      <c r="FX897" s="3347"/>
      <c r="FY897" s="3347"/>
      <c r="FZ897" s="3347"/>
      <c r="GA897" s="3347"/>
      <c r="GB897" s="3347"/>
      <c r="GC897" s="3347"/>
      <c r="GD897" s="3347"/>
      <c r="GE897" s="3347"/>
      <c r="GF897" s="3347"/>
      <c r="GG897" s="3347"/>
      <c r="GH897" s="3347"/>
      <c r="GI897" s="3347"/>
      <c r="GJ897" s="3347"/>
      <c r="GK897" s="3347"/>
      <c r="GL897" s="3347"/>
      <c r="GM897" s="3347"/>
      <c r="GN897" s="3347"/>
      <c r="GO897" s="3347"/>
      <c r="GP897" s="3347"/>
      <c r="GQ897" s="3347"/>
      <c r="GR897" s="3347"/>
      <c r="GS897" s="3347"/>
      <c r="GT897" s="3347"/>
      <c r="GU897" s="3347"/>
      <c r="GV897" s="3347"/>
      <c r="GW897" s="3347"/>
      <c r="GX897" s="3347"/>
      <c r="GY897" s="3347"/>
      <c r="GZ897" s="3347"/>
      <c r="HA897" s="3347"/>
      <c r="HB897" s="3347"/>
      <c r="HC897" s="3347"/>
      <c r="HD897" s="3347"/>
      <c r="HE897" s="3347"/>
      <c r="HF897" s="3347"/>
      <c r="HG897" s="3347"/>
      <c r="HH897" s="3347"/>
      <c r="HI897" s="3347"/>
      <c r="HJ897" s="3347"/>
      <c r="HK897" s="3347"/>
      <c r="HL897" s="3347"/>
      <c r="HM897" s="3347"/>
      <c r="HN897" s="3347"/>
      <c r="HO897" s="3347"/>
      <c r="HP897" s="3347"/>
      <c r="HQ897" s="3347"/>
      <c r="HR897" s="3347"/>
      <c r="HS897" s="3347"/>
      <c r="HT897" s="3347"/>
      <c r="HU897" s="3347"/>
      <c r="HV897" s="3347"/>
      <c r="HW897" s="3347"/>
      <c r="HX897" s="3347"/>
      <c r="HY897" s="3347"/>
      <c r="HZ897" s="3347"/>
      <c r="IA897" s="3347"/>
      <c r="IB897" s="3347"/>
    </row>
    <row r="898" spans="1:244" hidden="1">
      <c r="A898" s="3267" t="s">
        <v>9264</v>
      </c>
      <c r="B898" s="3267" t="s">
        <v>9265</v>
      </c>
      <c r="C898" s="3269" t="s">
        <v>9266</v>
      </c>
      <c r="D898" s="3267">
        <v>13683126496</v>
      </c>
      <c r="E898" s="3267" t="s">
        <v>2985</v>
      </c>
      <c r="F898" s="3267" t="s">
        <v>9267</v>
      </c>
      <c r="G898" s="3267"/>
      <c r="H898" s="3267"/>
      <c r="I898" s="3267"/>
      <c r="J898" s="3267" t="s">
        <v>9268</v>
      </c>
      <c r="K898" s="3268" t="s">
        <v>9269</v>
      </c>
      <c r="L898" s="3267">
        <v>63.55</v>
      </c>
      <c r="M898" s="3267">
        <v>5</v>
      </c>
      <c r="N898" s="3267" t="s">
        <v>3122</v>
      </c>
      <c r="O898" s="3267"/>
      <c r="P898" s="3267" t="s">
        <v>2963</v>
      </c>
      <c r="Q898" s="3267">
        <v>470000</v>
      </c>
      <c r="R898" s="3267">
        <v>7396</v>
      </c>
      <c r="S898" s="3272">
        <v>44.1</v>
      </c>
      <c r="T898" s="3273">
        <v>441000</v>
      </c>
      <c r="U898" s="3267">
        <v>6940</v>
      </c>
      <c r="V898" s="3274">
        <v>0.2</v>
      </c>
      <c r="W898" s="3272">
        <v>35.28</v>
      </c>
      <c r="X898" s="3275">
        <v>352800</v>
      </c>
      <c r="Y898" s="3267">
        <v>2006</v>
      </c>
      <c r="Z898" s="3267">
        <v>12</v>
      </c>
      <c r="AA898" s="3276">
        <v>5</v>
      </c>
      <c r="AB898" s="3267">
        <v>1320</v>
      </c>
      <c r="AC898" s="3267" t="s">
        <v>2980</v>
      </c>
      <c r="AD898" s="3269" t="s">
        <v>9270</v>
      </c>
      <c r="AE898" s="3267" t="s">
        <v>3069</v>
      </c>
      <c r="AF898" s="3267" t="s">
        <v>2966</v>
      </c>
      <c r="AG898" s="3267" t="s">
        <v>2967</v>
      </c>
      <c r="AH898" s="3267"/>
      <c r="AI898" s="3267" t="s">
        <v>2992</v>
      </c>
      <c r="AJ898" s="3284"/>
      <c r="AK898" s="3267" t="s">
        <v>3120</v>
      </c>
      <c r="AL898" s="3267" t="s">
        <v>9271</v>
      </c>
      <c r="AM898" s="3267" t="s">
        <v>9272</v>
      </c>
      <c r="AN898" s="3267" t="s">
        <v>3140</v>
      </c>
      <c r="AO898" s="3267"/>
      <c r="AP898" s="3267" t="s">
        <v>3069</v>
      </c>
      <c r="AQ898" s="3267" t="s">
        <v>3228</v>
      </c>
      <c r="AR898" s="3267">
        <v>2006</v>
      </c>
      <c r="AS898" s="3267">
        <v>12</v>
      </c>
      <c r="AT898" s="3267">
        <v>5</v>
      </c>
      <c r="AU898" s="3267"/>
      <c r="AV898" s="3267"/>
      <c r="AW898" s="3267" t="s">
        <v>3171</v>
      </c>
      <c r="AX898" s="3267"/>
      <c r="AY898" s="3269"/>
      <c r="AZ898" s="3268" t="s">
        <v>9269</v>
      </c>
      <c r="BA898" s="3267"/>
      <c r="BB898" s="3267"/>
      <c r="BC898" s="3267"/>
      <c r="BD898" s="3267"/>
      <c r="BE898" s="3267"/>
      <c r="BF898" s="3267"/>
      <c r="BG898" s="3307">
        <v>39035</v>
      </c>
      <c r="BH898" s="3267"/>
      <c r="BI898" s="3267" t="s">
        <v>3069</v>
      </c>
      <c r="BJ898" s="3307">
        <v>39042</v>
      </c>
      <c r="BK898" s="3283"/>
      <c r="BL898" s="3267" t="s">
        <v>2998</v>
      </c>
      <c r="BM898" s="3267" t="s">
        <v>2879</v>
      </c>
      <c r="BN898" s="3267" t="s">
        <v>2999</v>
      </c>
      <c r="BO898" s="3267" t="s">
        <v>3000</v>
      </c>
      <c r="BP898" s="3267"/>
      <c r="BQ898" s="3276" t="e">
        <v>#DIV/0!</v>
      </c>
      <c r="BR898" s="3276" t="e">
        <v>#DIV/0!</v>
      </c>
      <c r="BS898" s="3285"/>
      <c r="BT898" s="3285"/>
      <c r="BU898" s="3285"/>
    </row>
    <row r="899" spans="1:244" hidden="1">
      <c r="A899" s="3267" t="s">
        <v>9273</v>
      </c>
      <c r="B899" s="3267" t="s">
        <v>9274</v>
      </c>
      <c r="C899" s="3269" t="s">
        <v>9275</v>
      </c>
      <c r="D899" s="3269" t="s">
        <v>9276</v>
      </c>
      <c r="E899" s="3268" t="s">
        <v>2985</v>
      </c>
      <c r="F899" s="3268" t="s">
        <v>3350</v>
      </c>
      <c r="G899" s="3267"/>
      <c r="H899" s="3267" t="s">
        <v>4681</v>
      </c>
      <c r="I899" s="3268"/>
      <c r="J899" s="3267" t="s">
        <v>9277</v>
      </c>
      <c r="K899" s="3267" t="s">
        <v>9278</v>
      </c>
      <c r="L899" s="3267">
        <v>72.73</v>
      </c>
      <c r="M899" s="3267">
        <v>21</v>
      </c>
      <c r="N899" s="3267" t="s">
        <v>3152</v>
      </c>
      <c r="O899" s="3267"/>
      <c r="P899" s="3267" t="s">
        <v>2963</v>
      </c>
      <c r="Q899" s="3271">
        <v>350000</v>
      </c>
      <c r="R899" s="3267">
        <v>4812</v>
      </c>
      <c r="S899" s="3272">
        <v>49.45</v>
      </c>
      <c r="T899" s="3273">
        <v>494500</v>
      </c>
      <c r="U899" s="3267">
        <v>6800</v>
      </c>
      <c r="V899" s="3289">
        <v>0.2</v>
      </c>
      <c r="W899" s="3272">
        <v>39.56</v>
      </c>
      <c r="X899" s="3275">
        <v>395600</v>
      </c>
      <c r="Y899" s="3276">
        <v>2006</v>
      </c>
      <c r="Z899" s="3276">
        <v>11</v>
      </c>
      <c r="AA899" s="3276">
        <v>23</v>
      </c>
      <c r="AB899" s="3267">
        <v>1480</v>
      </c>
      <c r="AC899" s="3267" t="s">
        <v>2980</v>
      </c>
      <c r="AD899" s="3280" t="s">
        <v>9279</v>
      </c>
      <c r="AE899" s="3279" t="s">
        <v>3344</v>
      </c>
      <c r="AF899" s="3268" t="s">
        <v>2966</v>
      </c>
      <c r="AG899" s="3279" t="s">
        <v>2967</v>
      </c>
      <c r="AH899" s="3267" t="s">
        <v>9280</v>
      </c>
      <c r="AI899" s="3279" t="s">
        <v>2992</v>
      </c>
      <c r="AJ899" s="3284"/>
      <c r="AK899" s="3278" t="s">
        <v>3137</v>
      </c>
      <c r="AL899" s="3276">
        <v>51</v>
      </c>
      <c r="AM899" s="3267"/>
      <c r="AN899" s="3279" t="s">
        <v>2994</v>
      </c>
      <c r="AO899" s="3267"/>
      <c r="AP899" s="3279" t="s">
        <v>3305</v>
      </c>
      <c r="AQ899" s="3276" t="s">
        <v>2996</v>
      </c>
      <c r="AR899" s="3276"/>
      <c r="AS899" s="3276"/>
      <c r="AT899" s="3276"/>
      <c r="AU899" s="3276"/>
      <c r="AV899" s="3276" t="s">
        <v>2968</v>
      </c>
      <c r="AW899" s="3276" t="s">
        <v>3171</v>
      </c>
      <c r="AX899" s="3276"/>
      <c r="AY899" s="3291"/>
      <c r="AZ899" s="3267" t="s">
        <v>9278</v>
      </c>
      <c r="BA899" s="3296"/>
      <c r="BB899" s="3297"/>
      <c r="BC899" s="3296"/>
      <c r="BD899" s="3296"/>
      <c r="BE899" s="3276"/>
      <c r="BF899" s="3281" t="s">
        <v>2968</v>
      </c>
      <c r="BG899" s="3293">
        <v>39043</v>
      </c>
      <c r="BH899" s="3267" t="s">
        <v>2998</v>
      </c>
      <c r="BI899" s="3314" t="s">
        <v>3305</v>
      </c>
      <c r="BJ899" s="3283">
        <v>39043</v>
      </c>
      <c r="BK899" s="3283"/>
      <c r="BL899" s="3267" t="s">
        <v>3249</v>
      </c>
      <c r="BM899" s="3276" t="s">
        <v>2879</v>
      </c>
      <c r="BN899" s="3276" t="s">
        <v>2999</v>
      </c>
      <c r="BO899" s="3276" t="s">
        <v>3146</v>
      </c>
      <c r="BP899" s="3276"/>
      <c r="BQ899" s="3276" t="e">
        <v>#DIV/0!</v>
      </c>
      <c r="BR899" s="3276" t="e">
        <v>#DIV/0!</v>
      </c>
      <c r="BS899" s="3285"/>
      <c r="BT899" s="3285"/>
      <c r="BU899" s="3285"/>
    </row>
    <row r="900" spans="1:244" hidden="1">
      <c r="A900" s="3267" t="s">
        <v>9281</v>
      </c>
      <c r="B900" s="3267" t="s">
        <v>9282</v>
      </c>
      <c r="C900" s="3269" t="s">
        <v>9283</v>
      </c>
      <c r="D900" s="3269" t="s">
        <v>9284</v>
      </c>
      <c r="E900" s="3268" t="s">
        <v>2985</v>
      </c>
      <c r="F900" s="3268" t="s">
        <v>8896</v>
      </c>
      <c r="G900" s="3267"/>
      <c r="H900" s="3267" t="s">
        <v>3668</v>
      </c>
      <c r="I900" s="3268" t="s">
        <v>3608</v>
      </c>
      <c r="J900" s="3267" t="s">
        <v>3189</v>
      </c>
      <c r="K900" s="3267" t="s">
        <v>9285</v>
      </c>
      <c r="L900" s="3267">
        <v>65.2</v>
      </c>
      <c r="M900" s="3267">
        <v>1</v>
      </c>
      <c r="N900" s="3267" t="s">
        <v>3125</v>
      </c>
      <c r="O900" s="3267"/>
      <c r="P900" s="3267" t="s">
        <v>2963</v>
      </c>
      <c r="Q900" s="3271">
        <v>400000</v>
      </c>
      <c r="R900" s="3267">
        <v>6135</v>
      </c>
      <c r="S900" s="3272">
        <v>39.770000000000003</v>
      </c>
      <c r="T900" s="3273">
        <v>397700</v>
      </c>
      <c r="U900" s="3267">
        <v>6100</v>
      </c>
      <c r="V900" s="3289">
        <v>0.2</v>
      </c>
      <c r="W900" s="3272">
        <v>31.81</v>
      </c>
      <c r="X900" s="3275">
        <v>318100</v>
      </c>
      <c r="Y900" s="3276">
        <v>2006</v>
      </c>
      <c r="Z900" s="3276">
        <v>11</v>
      </c>
      <c r="AA900" s="3276">
        <v>24</v>
      </c>
      <c r="AB900" s="3267">
        <v>1190</v>
      </c>
      <c r="AC900" s="3267" t="s">
        <v>2980</v>
      </c>
      <c r="AD900" s="3280" t="s">
        <v>9286</v>
      </c>
      <c r="AE900" s="3279" t="s">
        <v>3245</v>
      </c>
      <c r="AF900" s="3268" t="s">
        <v>2966</v>
      </c>
      <c r="AG900" s="3279" t="s">
        <v>2967</v>
      </c>
      <c r="AH900" s="3267"/>
      <c r="AI900" s="3279" t="s">
        <v>2992</v>
      </c>
      <c r="AJ900" s="3284"/>
      <c r="AK900" s="3278" t="s">
        <v>3137</v>
      </c>
      <c r="AL900" s="3276">
        <v>32</v>
      </c>
      <c r="AM900" s="3267"/>
      <c r="AN900" s="3279" t="s">
        <v>2994</v>
      </c>
      <c r="AO900" s="3267"/>
      <c r="AP900" s="3279" t="s">
        <v>3305</v>
      </c>
      <c r="AQ900" s="3276" t="s">
        <v>2996</v>
      </c>
      <c r="AR900" s="3276"/>
      <c r="AS900" s="3276"/>
      <c r="AT900" s="3276"/>
      <c r="AU900" s="3276"/>
      <c r="AV900" s="3276"/>
      <c r="AW900" s="3276" t="s">
        <v>3119</v>
      </c>
      <c r="AX900" s="3276"/>
      <c r="AY900" s="3291"/>
      <c r="AZ900" s="3267" t="s">
        <v>9285</v>
      </c>
      <c r="BA900" s="3296"/>
      <c r="BB900" s="3297"/>
      <c r="BC900" s="3296"/>
      <c r="BD900" s="3296"/>
      <c r="BE900" s="3276"/>
      <c r="BF900" s="3281"/>
      <c r="BG900" s="3293">
        <v>39043</v>
      </c>
      <c r="BH900" s="3267" t="s">
        <v>2998</v>
      </c>
      <c r="BI900" s="3314" t="s">
        <v>3305</v>
      </c>
      <c r="BJ900" s="3283">
        <v>39043</v>
      </c>
      <c r="BK900" s="3283"/>
      <c r="BL900" s="3267" t="s">
        <v>3249</v>
      </c>
      <c r="BM900" s="3276" t="s">
        <v>2879</v>
      </c>
      <c r="BN900" s="3276" t="s">
        <v>3111</v>
      </c>
      <c r="BO900" s="3276" t="s">
        <v>3000</v>
      </c>
      <c r="BP900" s="3276"/>
      <c r="BQ900" s="3276" t="e">
        <v>#DIV/0!</v>
      </c>
      <c r="BR900" s="3276" t="e">
        <v>#DIV/0!</v>
      </c>
      <c r="BS900" s="3285"/>
      <c r="BT900" s="3285"/>
      <c r="BU900" s="3285"/>
    </row>
    <row r="901" spans="1:244" hidden="1">
      <c r="A901" s="3267" t="s">
        <v>9287</v>
      </c>
      <c r="B901" s="3267" t="s">
        <v>9288</v>
      </c>
      <c r="C901" s="3269" t="s">
        <v>9289</v>
      </c>
      <c r="D901" s="3269" t="s">
        <v>9290</v>
      </c>
      <c r="E901" s="3268" t="s">
        <v>2985</v>
      </c>
      <c r="F901" s="3268" t="s">
        <v>3309</v>
      </c>
      <c r="G901" s="3267"/>
      <c r="H901" s="3267" t="s">
        <v>3477</v>
      </c>
      <c r="I901" s="3268"/>
      <c r="J901" s="3267" t="s">
        <v>3858</v>
      </c>
      <c r="K901" s="3267" t="s">
        <v>9288</v>
      </c>
      <c r="L901" s="3267">
        <v>88.39</v>
      </c>
      <c r="M901" s="3267">
        <v>4</v>
      </c>
      <c r="N901" s="3267" t="s">
        <v>3122</v>
      </c>
      <c r="O901" s="3267"/>
      <c r="P901" s="3267" t="s">
        <v>2963</v>
      </c>
      <c r="Q901" s="3271">
        <v>640000</v>
      </c>
      <c r="R901" s="3267">
        <v>7241</v>
      </c>
      <c r="S901" s="3272">
        <v>58.02</v>
      </c>
      <c r="T901" s="3273">
        <v>580200</v>
      </c>
      <c r="U901" s="3267">
        <v>6565</v>
      </c>
      <c r="V901" s="3289">
        <v>0.2</v>
      </c>
      <c r="W901" s="3272">
        <v>46.41</v>
      </c>
      <c r="X901" s="3275">
        <v>464100</v>
      </c>
      <c r="Y901" s="3276">
        <v>2006</v>
      </c>
      <c r="Z901" s="3276">
        <v>12</v>
      </c>
      <c r="AA901" s="3276">
        <v>31</v>
      </c>
      <c r="AB901" s="3267">
        <v>1500</v>
      </c>
      <c r="AC901" s="3267" t="s">
        <v>2980</v>
      </c>
      <c r="AD901" s="3280" t="s">
        <v>9291</v>
      </c>
      <c r="AE901" s="3279" t="s">
        <v>3344</v>
      </c>
      <c r="AF901" s="3267" t="s">
        <v>2966</v>
      </c>
      <c r="AG901" s="3279" t="s">
        <v>2967</v>
      </c>
      <c r="AH901" s="3267"/>
      <c r="AI901" s="3279" t="s">
        <v>2992</v>
      </c>
      <c r="AJ901" s="3284"/>
      <c r="AK901" s="3278" t="s">
        <v>3120</v>
      </c>
      <c r="AL901" s="3276">
        <v>52</v>
      </c>
      <c r="AM901" s="3267" t="s">
        <v>9292</v>
      </c>
      <c r="AN901" s="3279" t="s">
        <v>3099</v>
      </c>
      <c r="AO901" s="3267"/>
      <c r="AP901" s="3279" t="s">
        <v>3305</v>
      </c>
      <c r="AQ901" s="3267" t="s">
        <v>3228</v>
      </c>
      <c r="AR901" s="3276"/>
      <c r="AS901" s="3276"/>
      <c r="AT901" s="3276"/>
      <c r="AU901" s="3276"/>
      <c r="AV901" s="3276" t="s">
        <v>2968</v>
      </c>
      <c r="AW901" s="3276" t="s">
        <v>3171</v>
      </c>
      <c r="AX901" s="3276"/>
      <c r="AY901" s="3291"/>
      <c r="AZ901" s="3267" t="s">
        <v>9293</v>
      </c>
      <c r="BA901" s="3296"/>
      <c r="BB901" s="3297"/>
      <c r="BC901" s="3296"/>
      <c r="BD901" s="3298"/>
      <c r="BE901" s="3276">
        <v>68519247</v>
      </c>
      <c r="BF901" s="3281" t="s">
        <v>2968</v>
      </c>
      <c r="BG901" s="3293">
        <v>39043</v>
      </c>
      <c r="BH901" s="3267" t="s">
        <v>2998</v>
      </c>
      <c r="BI901" s="3314" t="s">
        <v>3305</v>
      </c>
      <c r="BJ901" s="3283">
        <v>39043</v>
      </c>
      <c r="BK901" s="3283"/>
      <c r="BL901" s="3267" t="s">
        <v>3249</v>
      </c>
      <c r="BM901" s="3276" t="s">
        <v>2879</v>
      </c>
      <c r="BN901" s="3276" t="s">
        <v>3111</v>
      </c>
      <c r="BO901" s="3276" t="s">
        <v>3146</v>
      </c>
      <c r="BP901" s="3276"/>
      <c r="BQ901" s="3276" t="e">
        <v>#DIV/0!</v>
      </c>
      <c r="BR901" s="3276" t="e">
        <v>#DIV/0!</v>
      </c>
      <c r="BS901" s="3285"/>
      <c r="BT901" s="3285"/>
      <c r="BU901" s="3285"/>
    </row>
    <row r="902" spans="1:244" hidden="1">
      <c r="A902" s="3267" t="s">
        <v>9294</v>
      </c>
      <c r="B902" s="3267" t="s">
        <v>9295</v>
      </c>
      <c r="C902" s="3269" t="s">
        <v>9296</v>
      </c>
      <c r="D902" s="3269" t="s">
        <v>9297</v>
      </c>
      <c r="E902" s="3268" t="s">
        <v>2985</v>
      </c>
      <c r="F902" s="3268" t="s">
        <v>5339</v>
      </c>
      <c r="G902" s="3267"/>
      <c r="H902" s="3267" t="s">
        <v>3159</v>
      </c>
      <c r="I902" s="3268"/>
      <c r="J902" s="3267" t="s">
        <v>3287</v>
      </c>
      <c r="K902" s="3267" t="s">
        <v>9298</v>
      </c>
      <c r="L902" s="3267">
        <v>126.97</v>
      </c>
      <c r="M902" s="3267">
        <v>8</v>
      </c>
      <c r="N902" s="3267" t="s">
        <v>3303</v>
      </c>
      <c r="O902" s="3267">
        <v>100.52</v>
      </c>
      <c r="P902" s="3267" t="s">
        <v>2963</v>
      </c>
      <c r="Q902" s="3271">
        <v>678000</v>
      </c>
      <c r="R902" s="3267">
        <v>5340</v>
      </c>
      <c r="S902" s="3272">
        <v>74.36</v>
      </c>
      <c r="T902" s="3273">
        <v>743600</v>
      </c>
      <c r="U902" s="3267">
        <v>5857</v>
      </c>
      <c r="V902" s="3289">
        <v>0.3</v>
      </c>
      <c r="W902" s="3272">
        <v>52.05</v>
      </c>
      <c r="X902" s="3275">
        <v>520500</v>
      </c>
      <c r="Y902" s="3276">
        <v>2006</v>
      </c>
      <c r="Z902" s="3276">
        <v>11</v>
      </c>
      <c r="AA902" s="3276">
        <v>27</v>
      </c>
      <c r="AB902" s="3267">
        <v>1500</v>
      </c>
      <c r="AC902" s="3267" t="s">
        <v>2980</v>
      </c>
      <c r="AD902" s="3269" t="s">
        <v>9299</v>
      </c>
      <c r="AE902" s="3279" t="s">
        <v>3344</v>
      </c>
      <c r="AF902" s="3267" t="s">
        <v>2966</v>
      </c>
      <c r="AG902" s="3279" t="s">
        <v>2967</v>
      </c>
      <c r="AH902" s="3267"/>
      <c r="AI902" s="3279" t="s">
        <v>2992</v>
      </c>
      <c r="AJ902" s="3284"/>
      <c r="AK902" s="3278" t="s">
        <v>3137</v>
      </c>
      <c r="AL902" s="3276">
        <v>59</v>
      </c>
      <c r="AM902" s="3267"/>
      <c r="AN902" s="3279" t="s">
        <v>3099</v>
      </c>
      <c r="AO902" s="3267"/>
      <c r="AP902" s="3279" t="s">
        <v>3305</v>
      </c>
      <c r="AQ902" s="3276" t="s">
        <v>2996</v>
      </c>
      <c r="AR902" s="3276"/>
      <c r="AS902" s="3276"/>
      <c r="AT902" s="3276"/>
      <c r="AU902" s="3276"/>
      <c r="AV902" s="3276" t="s">
        <v>2968</v>
      </c>
      <c r="AW902" s="3276" t="s">
        <v>3171</v>
      </c>
      <c r="AX902" s="3276"/>
      <c r="AY902" s="3291"/>
      <c r="AZ902" s="3267" t="s">
        <v>9298</v>
      </c>
      <c r="BA902" s="3296"/>
      <c r="BB902" s="3297"/>
      <c r="BC902" s="3296"/>
      <c r="BD902" s="3298"/>
      <c r="BE902" s="3276"/>
      <c r="BF902" s="3281" t="s">
        <v>2968</v>
      </c>
      <c r="BG902" s="3293">
        <v>39032</v>
      </c>
      <c r="BH902" s="3267" t="s">
        <v>2998</v>
      </c>
      <c r="BI902" s="3314" t="s">
        <v>3305</v>
      </c>
      <c r="BJ902" s="3283">
        <v>39044</v>
      </c>
      <c r="BK902" s="3283"/>
      <c r="BL902" s="3267" t="s">
        <v>3249</v>
      </c>
      <c r="BM902" s="3276" t="s">
        <v>2879</v>
      </c>
      <c r="BN902" s="3276" t="s">
        <v>2999</v>
      </c>
      <c r="BO902" s="3276" t="s">
        <v>3146</v>
      </c>
      <c r="BP902" s="3276"/>
      <c r="BQ902" s="3276">
        <v>7398</v>
      </c>
      <c r="BR902" s="3276">
        <v>6745</v>
      </c>
      <c r="BS902" s="3285"/>
      <c r="BT902" s="3285"/>
      <c r="BU902" s="3285"/>
    </row>
    <row r="903" spans="1:244" hidden="1">
      <c r="A903" s="3267" t="s">
        <v>9300</v>
      </c>
      <c r="B903" s="3267" t="s">
        <v>9301</v>
      </c>
      <c r="C903" s="3269" t="s">
        <v>9302</v>
      </c>
      <c r="D903" s="3269" t="s">
        <v>9303</v>
      </c>
      <c r="E903" s="3268" t="s">
        <v>2985</v>
      </c>
      <c r="F903" s="3268" t="s">
        <v>8193</v>
      </c>
      <c r="G903" s="3267"/>
      <c r="H903" s="3267" t="s">
        <v>3144</v>
      </c>
      <c r="I903" s="3268" t="s">
        <v>3458</v>
      </c>
      <c r="J903" s="3267" t="s">
        <v>3301</v>
      </c>
      <c r="K903" s="3267" t="s">
        <v>9304</v>
      </c>
      <c r="L903" s="3267">
        <v>65.5</v>
      </c>
      <c r="M903" s="3267">
        <v>5</v>
      </c>
      <c r="N903" s="3267" t="s">
        <v>3122</v>
      </c>
      <c r="O903" s="3267"/>
      <c r="P903" s="3267" t="s">
        <v>2963</v>
      </c>
      <c r="Q903" s="3271">
        <v>610000</v>
      </c>
      <c r="R903" s="3267">
        <v>9313</v>
      </c>
      <c r="S903" s="3272">
        <v>50.53</v>
      </c>
      <c r="T903" s="3273">
        <v>505300</v>
      </c>
      <c r="U903" s="3267">
        <v>7715</v>
      </c>
      <c r="V903" s="3289">
        <v>0.2</v>
      </c>
      <c r="W903" s="3272">
        <v>40.42</v>
      </c>
      <c r="X903" s="3275">
        <v>404200</v>
      </c>
      <c r="Y903" s="3276">
        <v>2006</v>
      </c>
      <c r="Z903" s="3276">
        <v>12</v>
      </c>
      <c r="AA903" s="3276">
        <v>30</v>
      </c>
      <c r="AB903" s="3267">
        <v>1500</v>
      </c>
      <c r="AC903" s="3267" t="s">
        <v>2980</v>
      </c>
      <c r="AD903" s="3269" t="s">
        <v>9305</v>
      </c>
      <c r="AE903" s="3279" t="s">
        <v>3344</v>
      </c>
      <c r="AF903" s="3267" t="s">
        <v>2966</v>
      </c>
      <c r="AG903" s="3279" t="s">
        <v>2967</v>
      </c>
      <c r="AH903" s="3267"/>
      <c r="AI903" s="3279" t="s">
        <v>2992</v>
      </c>
      <c r="AJ903" s="3284"/>
      <c r="AK903" s="3278" t="s">
        <v>3120</v>
      </c>
      <c r="AL903" s="3276">
        <v>33</v>
      </c>
      <c r="AM903" s="3267"/>
      <c r="AN903" s="3279" t="s">
        <v>2994</v>
      </c>
      <c r="AO903" s="3267"/>
      <c r="AP903" s="3279" t="s">
        <v>3305</v>
      </c>
      <c r="AQ903" s="3267" t="s">
        <v>3228</v>
      </c>
      <c r="AR903" s="3276">
        <v>2006</v>
      </c>
      <c r="AS903" s="3276">
        <v>12</v>
      </c>
      <c r="AT903" s="3276">
        <v>30</v>
      </c>
      <c r="AU903" s="3276"/>
      <c r="AV903" s="3276" t="s">
        <v>2968</v>
      </c>
      <c r="AW903" s="3276" t="s">
        <v>3171</v>
      </c>
      <c r="AX903" s="3276"/>
      <c r="AY903" s="3291"/>
      <c r="AZ903" s="3267" t="s">
        <v>9304</v>
      </c>
      <c r="BA903" s="3296"/>
      <c r="BB903" s="3297"/>
      <c r="BC903" s="3296"/>
      <c r="BD903" s="3298"/>
      <c r="BE903" s="3276">
        <v>13683196419</v>
      </c>
      <c r="BF903" s="3281" t="s">
        <v>2968</v>
      </c>
      <c r="BG903" s="3293">
        <v>39042</v>
      </c>
      <c r="BH903" s="3267" t="s">
        <v>2998</v>
      </c>
      <c r="BI903" s="3314" t="s">
        <v>3305</v>
      </c>
      <c r="BJ903" s="3283">
        <v>39044</v>
      </c>
      <c r="BK903" s="3283"/>
      <c r="BL903" s="3267" t="s">
        <v>3249</v>
      </c>
      <c r="BM903" s="3276" t="s">
        <v>2879</v>
      </c>
      <c r="BN903" s="3276" t="s">
        <v>2999</v>
      </c>
      <c r="BO903" s="3276" t="s">
        <v>3146</v>
      </c>
      <c r="BP903" s="3276"/>
      <c r="BQ903" s="3276" t="e">
        <v>#DIV/0!</v>
      </c>
      <c r="BR903" s="3276" t="e">
        <v>#DIV/0!</v>
      </c>
      <c r="BS903" s="3285"/>
      <c r="BT903" s="3285"/>
      <c r="BU903" s="3285"/>
    </row>
    <row r="904" spans="1:244" hidden="1">
      <c r="A904" s="3267" t="s">
        <v>9306</v>
      </c>
      <c r="B904" s="3267" t="s">
        <v>9307</v>
      </c>
      <c r="C904" s="3269" t="s">
        <v>9308</v>
      </c>
      <c r="D904" s="3269" t="s">
        <v>9309</v>
      </c>
      <c r="E904" s="3268" t="s">
        <v>2985</v>
      </c>
      <c r="F904" s="3268" t="s">
        <v>8856</v>
      </c>
      <c r="G904" s="3267"/>
      <c r="H904" s="3267" t="s">
        <v>3844</v>
      </c>
      <c r="I904" s="3268"/>
      <c r="J904" s="3268" t="s">
        <v>9277</v>
      </c>
      <c r="K904" s="3267" t="s">
        <v>9310</v>
      </c>
      <c r="L904" s="3267">
        <v>117.01</v>
      </c>
      <c r="M904" s="3267">
        <v>21</v>
      </c>
      <c r="N904" s="3267" t="s">
        <v>2989</v>
      </c>
      <c r="O904" s="3267"/>
      <c r="P904" s="3267" t="s">
        <v>2963</v>
      </c>
      <c r="Q904" s="3271">
        <v>760000</v>
      </c>
      <c r="R904" s="3267">
        <v>6495</v>
      </c>
      <c r="S904" s="3272">
        <v>75.819999999999993</v>
      </c>
      <c r="T904" s="3273">
        <v>758200</v>
      </c>
      <c r="U904" s="3267">
        <v>6480</v>
      </c>
      <c r="V904" s="3289">
        <v>0.3</v>
      </c>
      <c r="W904" s="3272">
        <v>53.07</v>
      </c>
      <c r="X904" s="3275">
        <v>530700</v>
      </c>
      <c r="Y904" s="3276">
        <v>2006</v>
      </c>
      <c r="Z904" s="3276">
        <v>11</v>
      </c>
      <c r="AA904" s="3276">
        <v>27</v>
      </c>
      <c r="AB904" s="3267">
        <v>1500</v>
      </c>
      <c r="AC904" s="3267" t="s">
        <v>2980</v>
      </c>
      <c r="AD904" s="3366">
        <v>91302006111327</v>
      </c>
      <c r="AE904" s="3279" t="s">
        <v>2991</v>
      </c>
      <c r="AF904" s="3268"/>
      <c r="AG904" s="3279" t="s">
        <v>2967</v>
      </c>
      <c r="AH904" s="3267"/>
      <c r="AI904" s="3279" t="s">
        <v>2992</v>
      </c>
      <c r="AJ904" s="3284"/>
      <c r="AK904" s="3278" t="s">
        <v>3137</v>
      </c>
      <c r="AL904" s="3276">
        <v>57</v>
      </c>
      <c r="AM904" s="3276"/>
      <c r="AN904" s="3279" t="s">
        <v>3099</v>
      </c>
      <c r="AO904" s="3267"/>
      <c r="AP904" s="3279" t="s">
        <v>2991</v>
      </c>
      <c r="AQ904" s="3276" t="s">
        <v>2996</v>
      </c>
      <c r="AR904" s="3276"/>
      <c r="AS904" s="3276"/>
      <c r="AT904" s="3276"/>
      <c r="AU904" s="3276"/>
      <c r="AV904" s="3276"/>
      <c r="AW904" s="3276" t="s">
        <v>2997</v>
      </c>
      <c r="AX904" s="3276"/>
      <c r="AY904" s="3291"/>
      <c r="AZ904" s="3267" t="s">
        <v>9310</v>
      </c>
      <c r="BA904" s="3296"/>
      <c r="BB904" s="3297"/>
      <c r="BC904" s="3296"/>
      <c r="BD904" s="3298"/>
      <c r="BE904" s="3276"/>
      <c r="BF904" s="3281"/>
      <c r="BG904" s="3293">
        <v>39042</v>
      </c>
      <c r="BH904" s="3267"/>
      <c r="BI904" s="3267" t="s">
        <v>2991</v>
      </c>
      <c r="BJ904" s="3299">
        <v>39044</v>
      </c>
      <c r="BK904" s="3283" t="s">
        <v>2968</v>
      </c>
      <c r="BL904" s="3267" t="s">
        <v>2998</v>
      </c>
      <c r="BM904" s="3276" t="s">
        <v>2879</v>
      </c>
      <c r="BN904" s="3276" t="s">
        <v>2999</v>
      </c>
      <c r="BO904" s="3276" t="s">
        <v>3146</v>
      </c>
      <c r="BP904" s="3276"/>
      <c r="BQ904" s="3276" t="e">
        <v>#DIV/0!</v>
      </c>
      <c r="BR904" s="3276" t="e">
        <v>#DIV/0!</v>
      </c>
      <c r="BS904" s="3285"/>
      <c r="BT904" s="3285"/>
      <c r="BU904" s="3285"/>
      <c r="BY904" s="3262" t="s">
        <v>3262</v>
      </c>
      <c r="BZ904" s="3262" t="s">
        <v>3262</v>
      </c>
      <c r="CA904" s="3262" t="s">
        <v>3262</v>
      </c>
      <c r="CB904" s="3262" t="s">
        <v>3262</v>
      </c>
      <c r="CC904" s="3262" t="s">
        <v>3262</v>
      </c>
      <c r="CD904" s="3262" t="s">
        <v>3262</v>
      </c>
      <c r="CE904" s="3262" t="s">
        <v>3262</v>
      </c>
      <c r="CF904" s="3262" t="s">
        <v>3262</v>
      </c>
      <c r="CG904" s="3262" t="s">
        <v>3262</v>
      </c>
      <c r="CH904" s="3262" t="s">
        <v>3262</v>
      </c>
      <c r="CI904" s="3262" t="s">
        <v>3262</v>
      </c>
      <c r="CJ904" s="3262" t="s">
        <v>3262</v>
      </c>
      <c r="CK904" s="3262" t="s">
        <v>3262</v>
      </c>
      <c r="CL904" s="3262" t="s">
        <v>3262</v>
      </c>
      <c r="CM904" s="3262" t="s">
        <v>3262</v>
      </c>
      <c r="CN904" s="3262" t="s">
        <v>3262</v>
      </c>
      <c r="CO904" s="3262" t="s">
        <v>3262</v>
      </c>
      <c r="CP904" s="3262" t="s">
        <v>3262</v>
      </c>
      <c r="CQ904" s="3262" t="s">
        <v>3262</v>
      </c>
      <c r="CR904" s="3262" t="s">
        <v>3262</v>
      </c>
      <c r="CS904" s="3262" t="s">
        <v>3262</v>
      </c>
      <c r="CT904" s="3262" t="s">
        <v>3262</v>
      </c>
      <c r="CU904" s="3262" t="s">
        <v>3262</v>
      </c>
      <c r="CV904" s="3262" t="s">
        <v>3262</v>
      </c>
      <c r="CW904" s="3262" t="s">
        <v>3262</v>
      </c>
      <c r="CX904" s="3262" t="s">
        <v>3262</v>
      </c>
      <c r="CY904" s="3262" t="s">
        <v>3262</v>
      </c>
      <c r="CZ904" s="3262" t="s">
        <v>3262</v>
      </c>
      <c r="DA904" s="3262" t="s">
        <v>3262</v>
      </c>
      <c r="DB904" s="3262" t="s">
        <v>3262</v>
      </c>
      <c r="DC904" s="3262" t="s">
        <v>3262</v>
      </c>
      <c r="DD904" s="3262" t="s">
        <v>3262</v>
      </c>
      <c r="DE904" s="3262" t="s">
        <v>3262</v>
      </c>
      <c r="DF904" s="3262" t="s">
        <v>3262</v>
      </c>
      <c r="DG904" s="3262" t="s">
        <v>3262</v>
      </c>
      <c r="DH904" s="3262" t="s">
        <v>3262</v>
      </c>
      <c r="DI904" s="3262" t="s">
        <v>3262</v>
      </c>
      <c r="DJ904" s="3262" t="s">
        <v>3262</v>
      </c>
      <c r="DK904" s="3262" t="s">
        <v>3262</v>
      </c>
      <c r="DL904" s="3262" t="s">
        <v>3262</v>
      </c>
      <c r="DM904" s="3262" t="s">
        <v>3262</v>
      </c>
      <c r="DN904" s="3262" t="s">
        <v>3262</v>
      </c>
      <c r="DO904" s="3262" t="s">
        <v>3262</v>
      </c>
      <c r="DP904" s="3262" t="s">
        <v>3262</v>
      </c>
      <c r="DQ904" s="3262" t="s">
        <v>3262</v>
      </c>
      <c r="DR904" s="3262" t="s">
        <v>3262</v>
      </c>
      <c r="DS904" s="3262" t="s">
        <v>3262</v>
      </c>
      <c r="DT904" s="3262" t="s">
        <v>3262</v>
      </c>
      <c r="DU904" s="3262" t="s">
        <v>3262</v>
      </c>
      <c r="DV904" s="3262" t="s">
        <v>3262</v>
      </c>
      <c r="DW904" s="3262" t="s">
        <v>3262</v>
      </c>
      <c r="DX904" s="3262" t="s">
        <v>3262</v>
      </c>
      <c r="DY904" s="3262" t="s">
        <v>3262</v>
      </c>
      <c r="DZ904" s="3262" t="s">
        <v>3262</v>
      </c>
      <c r="EA904" s="3262" t="s">
        <v>3262</v>
      </c>
      <c r="EB904" s="3262" t="s">
        <v>3262</v>
      </c>
      <c r="EC904" s="3262" t="s">
        <v>3262</v>
      </c>
      <c r="ED904" s="3262" t="s">
        <v>3262</v>
      </c>
      <c r="EE904" s="3262" t="s">
        <v>3262</v>
      </c>
      <c r="EF904" s="3262" t="s">
        <v>3262</v>
      </c>
      <c r="EG904" s="3262" t="s">
        <v>3262</v>
      </c>
      <c r="EH904" s="3262" t="s">
        <v>3262</v>
      </c>
      <c r="EI904" s="3262" t="s">
        <v>3262</v>
      </c>
      <c r="EJ904" s="3262" t="s">
        <v>3262</v>
      </c>
      <c r="EK904" s="3262" t="s">
        <v>3262</v>
      </c>
      <c r="EL904" s="3262" t="s">
        <v>3262</v>
      </c>
      <c r="EM904" s="3262" t="s">
        <v>3262</v>
      </c>
      <c r="EN904" s="3262" t="s">
        <v>3262</v>
      </c>
      <c r="EO904" s="3262" t="s">
        <v>3262</v>
      </c>
      <c r="EP904" s="3262" t="s">
        <v>3262</v>
      </c>
      <c r="EQ904" s="3262" t="s">
        <v>3262</v>
      </c>
      <c r="ER904" s="3262" t="s">
        <v>3262</v>
      </c>
      <c r="ES904" s="3262" t="s">
        <v>3262</v>
      </c>
      <c r="ET904" s="3262" t="s">
        <v>3262</v>
      </c>
      <c r="EU904" s="3262" t="s">
        <v>3262</v>
      </c>
      <c r="EV904" s="3262" t="s">
        <v>3262</v>
      </c>
      <c r="EW904" s="3262" t="s">
        <v>3262</v>
      </c>
      <c r="EX904" s="3262" t="s">
        <v>3262</v>
      </c>
      <c r="EY904" s="3262" t="s">
        <v>3262</v>
      </c>
      <c r="EZ904" s="3262" t="s">
        <v>3262</v>
      </c>
      <c r="FA904" s="3262" t="s">
        <v>3262</v>
      </c>
      <c r="FB904" s="3262" t="s">
        <v>3262</v>
      </c>
      <c r="FC904" s="3262" t="s">
        <v>3262</v>
      </c>
      <c r="FD904" s="3262" t="s">
        <v>3262</v>
      </c>
      <c r="FE904" s="3262" t="s">
        <v>3262</v>
      </c>
      <c r="FF904" s="3262" t="s">
        <v>3262</v>
      </c>
      <c r="FG904" s="3262" t="s">
        <v>3262</v>
      </c>
      <c r="FH904" s="3262" t="s">
        <v>3262</v>
      </c>
      <c r="FI904" s="3262" t="s">
        <v>3262</v>
      </c>
      <c r="FJ904" s="3262" t="s">
        <v>3262</v>
      </c>
      <c r="FK904" s="3262" t="s">
        <v>3262</v>
      </c>
      <c r="FL904" s="3262" t="s">
        <v>3262</v>
      </c>
      <c r="FM904" s="3262" t="s">
        <v>3262</v>
      </c>
      <c r="FN904" s="3262" t="s">
        <v>3262</v>
      </c>
      <c r="FO904" s="3262" t="s">
        <v>3262</v>
      </c>
      <c r="FP904" s="3262" t="s">
        <v>3262</v>
      </c>
      <c r="FQ904" s="3262" t="s">
        <v>3262</v>
      </c>
      <c r="FR904" s="3262" t="s">
        <v>3262</v>
      </c>
      <c r="FS904" s="3262" t="s">
        <v>3262</v>
      </c>
      <c r="FT904" s="3262" t="s">
        <v>3262</v>
      </c>
      <c r="FU904" s="3262" t="s">
        <v>3262</v>
      </c>
      <c r="FV904" s="3262" t="s">
        <v>3262</v>
      </c>
      <c r="FW904" s="3262" t="s">
        <v>3262</v>
      </c>
      <c r="FX904" s="3262" t="s">
        <v>3262</v>
      </c>
      <c r="FY904" s="3262" t="s">
        <v>3262</v>
      </c>
      <c r="FZ904" s="3262" t="s">
        <v>3262</v>
      </c>
      <c r="GA904" s="3262" t="s">
        <v>3262</v>
      </c>
      <c r="GB904" s="3262" t="s">
        <v>3262</v>
      </c>
      <c r="GC904" s="3262" t="s">
        <v>3262</v>
      </c>
      <c r="GD904" s="3262" t="s">
        <v>3262</v>
      </c>
      <c r="GE904" s="3262" t="s">
        <v>3262</v>
      </c>
      <c r="GF904" s="3262" t="s">
        <v>3262</v>
      </c>
      <c r="GG904" s="3262" t="s">
        <v>3262</v>
      </c>
      <c r="GH904" s="3262" t="s">
        <v>3262</v>
      </c>
      <c r="GI904" s="3262" t="s">
        <v>3262</v>
      </c>
      <c r="GJ904" s="3262" t="s">
        <v>3262</v>
      </c>
      <c r="GK904" s="3262" t="s">
        <v>3262</v>
      </c>
      <c r="GL904" s="3262" t="s">
        <v>3262</v>
      </c>
      <c r="GM904" s="3262" t="s">
        <v>3262</v>
      </c>
      <c r="GN904" s="3262" t="s">
        <v>3262</v>
      </c>
      <c r="GO904" s="3262" t="s">
        <v>3262</v>
      </c>
      <c r="GP904" s="3262" t="s">
        <v>3262</v>
      </c>
      <c r="GQ904" s="3262" t="s">
        <v>3262</v>
      </c>
      <c r="GR904" s="3262" t="s">
        <v>3262</v>
      </c>
      <c r="GS904" s="3262" t="s">
        <v>3262</v>
      </c>
      <c r="GT904" s="3262" t="s">
        <v>3262</v>
      </c>
      <c r="GU904" s="3262" t="s">
        <v>3262</v>
      </c>
      <c r="GV904" s="3262" t="s">
        <v>3262</v>
      </c>
      <c r="GW904" s="3262" t="s">
        <v>3262</v>
      </c>
      <c r="GX904" s="3262" t="s">
        <v>3262</v>
      </c>
      <c r="GY904" s="3262" t="s">
        <v>3262</v>
      </c>
      <c r="GZ904" s="3262" t="s">
        <v>3262</v>
      </c>
      <c r="HA904" s="3262" t="s">
        <v>3262</v>
      </c>
      <c r="HB904" s="3262" t="s">
        <v>3262</v>
      </c>
      <c r="HC904" s="3262" t="s">
        <v>3262</v>
      </c>
      <c r="HD904" s="3262" t="s">
        <v>3262</v>
      </c>
      <c r="HE904" s="3262" t="s">
        <v>3262</v>
      </c>
      <c r="HF904" s="3262" t="s">
        <v>3262</v>
      </c>
      <c r="HG904" s="3262" t="s">
        <v>3262</v>
      </c>
      <c r="HH904" s="3262" t="s">
        <v>3262</v>
      </c>
      <c r="HI904" s="3262" t="s">
        <v>3262</v>
      </c>
      <c r="HJ904" s="3262" t="s">
        <v>3262</v>
      </c>
      <c r="HK904" s="3262" t="s">
        <v>3262</v>
      </c>
      <c r="HL904" s="3262" t="s">
        <v>3262</v>
      </c>
      <c r="HM904" s="3262" t="s">
        <v>3262</v>
      </c>
      <c r="HN904" s="3262" t="s">
        <v>3262</v>
      </c>
      <c r="HO904" s="3262" t="s">
        <v>3262</v>
      </c>
      <c r="HP904" s="3262" t="s">
        <v>3262</v>
      </c>
      <c r="HQ904" s="3262" t="s">
        <v>3262</v>
      </c>
      <c r="HR904" s="3262" t="s">
        <v>3262</v>
      </c>
      <c r="HS904" s="3262" t="s">
        <v>3262</v>
      </c>
      <c r="HT904" s="3262" t="s">
        <v>3262</v>
      </c>
      <c r="HU904" s="3262" t="s">
        <v>3262</v>
      </c>
      <c r="HV904" s="3262" t="s">
        <v>3262</v>
      </c>
      <c r="HW904" s="3262" t="s">
        <v>3262</v>
      </c>
      <c r="HX904" s="3262" t="s">
        <v>3262</v>
      </c>
      <c r="HY904" s="3262" t="s">
        <v>3262</v>
      </c>
      <c r="HZ904" s="3262" t="s">
        <v>3262</v>
      </c>
      <c r="IA904" s="3262" t="s">
        <v>3262</v>
      </c>
      <c r="IB904" s="3262" t="s">
        <v>3262</v>
      </c>
      <c r="IC904" s="3262" t="s">
        <v>3262</v>
      </c>
      <c r="ID904" s="3262" t="s">
        <v>3262</v>
      </c>
      <c r="IE904" s="3262" t="s">
        <v>3262</v>
      </c>
      <c r="IF904" s="3262" t="s">
        <v>3262</v>
      </c>
      <c r="IG904" s="3262" t="s">
        <v>3262</v>
      </c>
      <c r="IH904" s="3262" t="s">
        <v>3262</v>
      </c>
      <c r="II904" s="3262" t="s">
        <v>3262</v>
      </c>
      <c r="IJ904" s="3262" t="s">
        <v>3262</v>
      </c>
    </row>
    <row r="905" spans="1:244" hidden="1">
      <c r="A905" s="3267" t="s">
        <v>9311</v>
      </c>
      <c r="B905" s="3267" t="s">
        <v>9312</v>
      </c>
      <c r="C905" s="3269" t="s">
        <v>9313</v>
      </c>
      <c r="D905" s="3269" t="s">
        <v>9314</v>
      </c>
      <c r="E905" s="3268" t="s">
        <v>2985</v>
      </c>
      <c r="F905" s="3268" t="s">
        <v>3813</v>
      </c>
      <c r="G905" s="3267" t="s">
        <v>3262</v>
      </c>
      <c r="H905" s="3267" t="s">
        <v>9315</v>
      </c>
      <c r="I905" s="3268" t="s">
        <v>4054</v>
      </c>
      <c r="J905" s="3267" t="s">
        <v>3173</v>
      </c>
      <c r="K905" s="3267" t="s">
        <v>9316</v>
      </c>
      <c r="L905" s="3267">
        <v>55.02</v>
      </c>
      <c r="M905" s="3267">
        <v>2</v>
      </c>
      <c r="N905" s="3267" t="s">
        <v>3122</v>
      </c>
      <c r="O905" s="3267">
        <v>46.56</v>
      </c>
      <c r="P905" s="3267" t="s">
        <v>2963</v>
      </c>
      <c r="Q905" s="3271">
        <v>388000</v>
      </c>
      <c r="R905" s="3267">
        <v>7052</v>
      </c>
      <c r="S905" s="3272">
        <v>36.31</v>
      </c>
      <c r="T905" s="3273">
        <v>363100</v>
      </c>
      <c r="U905" s="3267">
        <v>6600</v>
      </c>
      <c r="V905" s="3289">
        <v>0.2</v>
      </c>
      <c r="W905" s="3272">
        <v>29.04</v>
      </c>
      <c r="X905" s="3275">
        <v>290400</v>
      </c>
      <c r="Y905" s="3276">
        <v>2006</v>
      </c>
      <c r="Z905" s="3276">
        <v>11</v>
      </c>
      <c r="AA905" s="3276">
        <v>27</v>
      </c>
      <c r="AB905" s="3267">
        <v>1085</v>
      </c>
      <c r="AC905" s="3267" t="s">
        <v>2980</v>
      </c>
      <c r="AD905" s="3269" t="s">
        <v>9317</v>
      </c>
      <c r="AE905" s="3279" t="s">
        <v>3245</v>
      </c>
      <c r="AF905" s="3267" t="s">
        <v>2966</v>
      </c>
      <c r="AG905" s="3279" t="s">
        <v>2967</v>
      </c>
      <c r="AH905" s="3267" t="s">
        <v>3262</v>
      </c>
      <c r="AI905" s="3279" t="s">
        <v>2992</v>
      </c>
      <c r="AJ905" s="3284" t="s">
        <v>3262</v>
      </c>
      <c r="AK905" s="3278" t="s">
        <v>3137</v>
      </c>
      <c r="AL905" s="3276">
        <v>42</v>
      </c>
      <c r="AM905" s="3267"/>
      <c r="AN905" s="3279" t="s">
        <v>3099</v>
      </c>
      <c r="AO905" s="3267"/>
      <c r="AP905" s="3279" t="s">
        <v>3305</v>
      </c>
      <c r="AQ905" s="3276" t="s">
        <v>3113</v>
      </c>
      <c r="AR905" s="3276"/>
      <c r="AS905" s="3276"/>
      <c r="AT905" s="3276"/>
      <c r="AU905" s="3276" t="s">
        <v>3262</v>
      </c>
      <c r="AV905" s="3276" t="s">
        <v>3262</v>
      </c>
      <c r="AW905" s="3276" t="s">
        <v>2997</v>
      </c>
      <c r="AX905" s="3276" t="s">
        <v>3262</v>
      </c>
      <c r="AY905" s="3291" t="s">
        <v>3262</v>
      </c>
      <c r="AZ905" s="3267" t="s">
        <v>9316</v>
      </c>
      <c r="BA905" s="3296" t="s">
        <v>3262</v>
      </c>
      <c r="BB905" s="3297" t="s">
        <v>3262</v>
      </c>
      <c r="BC905" s="3296" t="s">
        <v>3262</v>
      </c>
      <c r="BD905" s="3298" t="s">
        <v>3262</v>
      </c>
      <c r="BE905" s="3276">
        <v>13911152205</v>
      </c>
      <c r="BF905" s="3281" t="s">
        <v>3262</v>
      </c>
      <c r="BG905" s="3293">
        <v>39038</v>
      </c>
      <c r="BH905" s="3267" t="s">
        <v>2998</v>
      </c>
      <c r="BI905" s="3314" t="s">
        <v>3305</v>
      </c>
      <c r="BJ905" s="3283">
        <v>39044</v>
      </c>
      <c r="BK905" s="3283" t="s">
        <v>3262</v>
      </c>
      <c r="BL905" s="3267" t="s">
        <v>3249</v>
      </c>
      <c r="BM905" s="3276" t="s">
        <v>2879</v>
      </c>
      <c r="BN905" s="3276" t="s">
        <v>2999</v>
      </c>
      <c r="BO905" s="3276" t="s">
        <v>3146</v>
      </c>
      <c r="BP905" s="3276"/>
      <c r="BQ905" s="3276">
        <v>7799</v>
      </c>
      <c r="BR905" s="3276">
        <v>8333</v>
      </c>
      <c r="BS905" s="3285"/>
      <c r="BT905" s="3285"/>
      <c r="BU905" s="3285"/>
    </row>
    <row r="906" spans="1:244" hidden="1">
      <c r="A906" s="3267" t="s">
        <v>9318</v>
      </c>
      <c r="B906" s="3267" t="s">
        <v>9319</v>
      </c>
      <c r="C906" s="3269" t="s">
        <v>9320</v>
      </c>
      <c r="D906" s="3269" t="s">
        <v>9321</v>
      </c>
      <c r="E906" s="3267" t="s">
        <v>2985</v>
      </c>
      <c r="F906" s="3308" t="s">
        <v>4786</v>
      </c>
      <c r="G906" s="3267"/>
      <c r="H906" s="3268" t="s">
        <v>3964</v>
      </c>
      <c r="I906" s="3268" t="s">
        <v>3141</v>
      </c>
      <c r="J906" s="3269" t="s">
        <v>3126</v>
      </c>
      <c r="K906" s="3267" t="s">
        <v>9319</v>
      </c>
      <c r="L906" s="3267">
        <v>93.43</v>
      </c>
      <c r="M906" s="3267">
        <v>6</v>
      </c>
      <c r="N906" s="3267" t="s">
        <v>2989</v>
      </c>
      <c r="O906" s="3267">
        <v>83.79</v>
      </c>
      <c r="P906" s="3267" t="s">
        <v>2963</v>
      </c>
      <c r="Q906" s="3271">
        <v>540000</v>
      </c>
      <c r="R906" s="3267">
        <v>5780</v>
      </c>
      <c r="S906" s="3272">
        <v>62.64</v>
      </c>
      <c r="T906" s="3273">
        <v>626400</v>
      </c>
      <c r="U906" s="3267">
        <v>6705</v>
      </c>
      <c r="V906" s="3289">
        <v>0.3</v>
      </c>
      <c r="W906" s="3272">
        <v>43.84</v>
      </c>
      <c r="X906" s="3275">
        <v>438400</v>
      </c>
      <c r="Y906" s="3276">
        <v>2006</v>
      </c>
      <c r="Z906" s="3276">
        <v>12</v>
      </c>
      <c r="AA906" s="3276">
        <v>26</v>
      </c>
      <c r="AB906" s="3267">
        <v>1500</v>
      </c>
      <c r="AC906" s="3267" t="s">
        <v>2980</v>
      </c>
      <c r="AD906" s="3269" t="s">
        <v>9322</v>
      </c>
      <c r="AE906" s="3276" t="s">
        <v>3245</v>
      </c>
      <c r="AF906" s="3267" t="s">
        <v>2966</v>
      </c>
      <c r="AG906" s="3279" t="s">
        <v>2967</v>
      </c>
      <c r="AH906" s="3267"/>
      <c r="AI906" s="3279" t="s">
        <v>2992</v>
      </c>
      <c r="AJ906" s="3284"/>
      <c r="AK906" s="3278" t="s">
        <v>3120</v>
      </c>
      <c r="AL906" s="3276">
        <v>43</v>
      </c>
      <c r="AM906" s="3267" t="s">
        <v>9323</v>
      </c>
      <c r="AN906" s="3279" t="s">
        <v>3099</v>
      </c>
      <c r="AO906" s="3267"/>
      <c r="AP906" s="3279" t="s">
        <v>3305</v>
      </c>
      <c r="AQ906" s="3267" t="s">
        <v>3228</v>
      </c>
      <c r="AR906" s="3276"/>
      <c r="AS906" s="3276"/>
      <c r="AT906" s="3276"/>
      <c r="AU906" s="3276"/>
      <c r="AV906" s="3276"/>
      <c r="AW906" s="3276" t="s">
        <v>3119</v>
      </c>
      <c r="AX906" s="3276"/>
      <c r="AY906" s="3291"/>
      <c r="AZ906" s="3267" t="s">
        <v>9324</v>
      </c>
      <c r="BA906" s="3276"/>
      <c r="BB906" s="3291"/>
      <c r="BC906" s="3276"/>
      <c r="BD906" s="3292"/>
      <c r="BE906" s="3276">
        <v>13901013538</v>
      </c>
      <c r="BF906" s="3281"/>
      <c r="BG906" s="3299">
        <v>39044</v>
      </c>
      <c r="BH906" s="3276" t="s">
        <v>2998</v>
      </c>
      <c r="BI906" s="3314" t="s">
        <v>3305</v>
      </c>
      <c r="BJ906" s="3283">
        <v>39044</v>
      </c>
      <c r="BK906" s="3299"/>
      <c r="BL906" s="3267" t="s">
        <v>3249</v>
      </c>
      <c r="BM906" s="3276" t="s">
        <v>2879</v>
      </c>
      <c r="BN906" s="3276" t="s">
        <v>3111</v>
      </c>
      <c r="BO906" s="3276" t="s">
        <v>3146</v>
      </c>
      <c r="BP906" s="3276"/>
      <c r="BQ906" s="3276">
        <v>7476</v>
      </c>
      <c r="BR906" s="3276">
        <v>6445</v>
      </c>
      <c r="BS906" s="3285"/>
      <c r="BT906" s="3285"/>
      <c r="BU906" s="3285"/>
    </row>
    <row r="907" spans="1:244" hidden="1">
      <c r="A907" s="3267" t="s">
        <v>9325</v>
      </c>
      <c r="B907" s="3267" t="s">
        <v>9326</v>
      </c>
      <c r="C907" s="3269" t="s">
        <v>9327</v>
      </c>
      <c r="D907" s="3269" t="s">
        <v>9328</v>
      </c>
      <c r="E907" s="3268" t="s">
        <v>2985</v>
      </c>
      <c r="F907" s="3268" t="s">
        <v>3309</v>
      </c>
      <c r="G907" s="3267"/>
      <c r="H907" s="3267" t="s">
        <v>4614</v>
      </c>
      <c r="I907" s="3268"/>
      <c r="J907" s="3267" t="s">
        <v>5021</v>
      </c>
      <c r="K907" s="3267" t="s">
        <v>9329</v>
      </c>
      <c r="L907" s="3267">
        <v>78.459999999999994</v>
      </c>
      <c r="M907" s="3267">
        <v>2</v>
      </c>
      <c r="N907" s="3267" t="s">
        <v>3122</v>
      </c>
      <c r="O907" s="3267"/>
      <c r="P907" s="3267" t="s">
        <v>2963</v>
      </c>
      <c r="Q907" s="3271">
        <v>520000</v>
      </c>
      <c r="R907" s="3267">
        <v>6628</v>
      </c>
      <c r="S907" s="3272">
        <v>50.42</v>
      </c>
      <c r="T907" s="3273">
        <v>504200</v>
      </c>
      <c r="U907" s="3267">
        <v>6427</v>
      </c>
      <c r="V907" s="3289">
        <v>0.2</v>
      </c>
      <c r="W907" s="3272">
        <v>40.33</v>
      </c>
      <c r="X907" s="3275">
        <v>403300</v>
      </c>
      <c r="Y907" s="3276">
        <v>2006</v>
      </c>
      <c r="Z907" s="3276">
        <v>12</v>
      </c>
      <c r="AA907" s="3276">
        <v>5</v>
      </c>
      <c r="AB907" s="3267">
        <v>1500</v>
      </c>
      <c r="AC907" s="3267" t="s">
        <v>2980</v>
      </c>
      <c r="AD907" s="3269" t="s">
        <v>9330</v>
      </c>
      <c r="AE907" s="3279" t="s">
        <v>3344</v>
      </c>
      <c r="AF907" s="3267" t="s">
        <v>2966</v>
      </c>
      <c r="AG907" s="3279" t="s">
        <v>2967</v>
      </c>
      <c r="AH907" s="3267"/>
      <c r="AI907" s="3279" t="s">
        <v>2992</v>
      </c>
      <c r="AJ907" s="3284"/>
      <c r="AK907" s="3278" t="s">
        <v>3120</v>
      </c>
      <c r="AL907" s="3276">
        <v>52</v>
      </c>
      <c r="AM907" s="3267"/>
      <c r="AN907" s="3279" t="s">
        <v>3140</v>
      </c>
      <c r="AO907" s="3267"/>
      <c r="AP907" s="3279" t="s">
        <v>3305</v>
      </c>
      <c r="AQ907" s="3267" t="s">
        <v>3228</v>
      </c>
      <c r="AR907" s="3276"/>
      <c r="AS907" s="3276"/>
      <c r="AT907" s="3276"/>
      <c r="AU907" s="3276"/>
      <c r="AV907" s="3276" t="s">
        <v>2968</v>
      </c>
      <c r="AW907" s="3276" t="s">
        <v>3171</v>
      </c>
      <c r="AX907" s="3276"/>
      <c r="AY907" s="3291"/>
      <c r="AZ907" s="3267" t="s">
        <v>9329</v>
      </c>
      <c r="BA907" s="3296"/>
      <c r="BB907" s="3297"/>
      <c r="BC907" s="3296"/>
      <c r="BD907" s="3298"/>
      <c r="BE907" s="3276">
        <v>13601069915</v>
      </c>
      <c r="BF907" s="3281" t="s">
        <v>2968</v>
      </c>
      <c r="BG907" s="3293">
        <v>39038</v>
      </c>
      <c r="BH907" s="3267" t="s">
        <v>2998</v>
      </c>
      <c r="BI907" s="3314" t="s">
        <v>3305</v>
      </c>
      <c r="BJ907" s="3283">
        <v>39044</v>
      </c>
      <c r="BK907" s="3283"/>
      <c r="BL907" s="3267" t="s">
        <v>3249</v>
      </c>
      <c r="BM907" s="3276" t="s">
        <v>2879</v>
      </c>
      <c r="BN907" s="3276" t="s">
        <v>2999</v>
      </c>
      <c r="BO907" s="3276" t="s">
        <v>3146</v>
      </c>
      <c r="BP907" s="3276"/>
      <c r="BQ907" s="3276" t="e">
        <v>#DIV/0!</v>
      </c>
      <c r="BR907" s="3276" t="e">
        <v>#DIV/0!</v>
      </c>
      <c r="BS907" s="3285"/>
      <c r="BT907" s="3285"/>
      <c r="BU907" s="3285"/>
    </row>
    <row r="908" spans="1:244" hidden="1">
      <c r="A908" s="3267" t="s">
        <v>9331</v>
      </c>
      <c r="B908" s="3267" t="s">
        <v>9332</v>
      </c>
      <c r="C908" s="3269" t="s">
        <v>9333</v>
      </c>
      <c r="D908" s="3269" t="s">
        <v>9334</v>
      </c>
      <c r="E908" s="3268" t="s">
        <v>2985</v>
      </c>
      <c r="F908" s="3268" t="s">
        <v>9335</v>
      </c>
      <c r="G908" s="3267"/>
      <c r="H908" s="3267" t="s">
        <v>9336</v>
      </c>
      <c r="I908" s="3268"/>
      <c r="J908" s="3268" t="s">
        <v>9337</v>
      </c>
      <c r="K908" s="3267" t="s">
        <v>9338</v>
      </c>
      <c r="L908" s="3267">
        <v>46.51</v>
      </c>
      <c r="M908" s="3267">
        <v>11</v>
      </c>
      <c r="N908" s="3267" t="s">
        <v>3535</v>
      </c>
      <c r="O908" s="3267"/>
      <c r="P908" s="3267" t="s">
        <v>2963</v>
      </c>
      <c r="Q908" s="3271">
        <v>560000</v>
      </c>
      <c r="R908" s="3267">
        <v>12040</v>
      </c>
      <c r="S908" s="3272">
        <v>50.23</v>
      </c>
      <c r="T908" s="3273">
        <v>502299.99999999994</v>
      </c>
      <c r="U908" s="3267">
        <v>10800</v>
      </c>
      <c r="V908" s="3289">
        <v>0.2</v>
      </c>
      <c r="W908" s="3272">
        <v>40.18</v>
      </c>
      <c r="X908" s="3275">
        <v>401800</v>
      </c>
      <c r="Y908" s="3276">
        <v>2006</v>
      </c>
      <c r="Z908" s="3276">
        <v>11</v>
      </c>
      <c r="AA908" s="3276">
        <v>30</v>
      </c>
      <c r="AB908" s="3267">
        <v>1500</v>
      </c>
      <c r="AC908" s="3267" t="s">
        <v>2980</v>
      </c>
      <c r="AD908" s="3366">
        <v>91302006111341</v>
      </c>
      <c r="AE908" s="3279" t="s">
        <v>2991</v>
      </c>
      <c r="AF908" s="3268"/>
      <c r="AG908" s="3279" t="s">
        <v>2967</v>
      </c>
      <c r="AH908" s="3267"/>
      <c r="AI908" s="3279" t="s">
        <v>2992</v>
      </c>
      <c r="AJ908" s="3284"/>
      <c r="AK908" s="3278" t="s">
        <v>3137</v>
      </c>
      <c r="AL908" s="3276">
        <v>57</v>
      </c>
      <c r="AM908" s="3276"/>
      <c r="AN908" s="3279" t="s">
        <v>3099</v>
      </c>
      <c r="AO908" s="3267"/>
      <c r="AP908" s="3279" t="s">
        <v>2991</v>
      </c>
      <c r="AQ908" s="3276" t="s">
        <v>3113</v>
      </c>
      <c r="AR908" s="3276">
        <v>2006</v>
      </c>
      <c r="AS908" s="3276">
        <v>11</v>
      </c>
      <c r="AT908" s="3276">
        <v>30</v>
      </c>
      <c r="AU908" s="3276"/>
      <c r="AV908" s="3276"/>
      <c r="AW908" s="3276" t="s">
        <v>2997</v>
      </c>
      <c r="AX908" s="3276"/>
      <c r="AY908" s="3291"/>
      <c r="AZ908" s="3267" t="s">
        <v>9338</v>
      </c>
      <c r="BA908" s="3296"/>
      <c r="BB908" s="3297"/>
      <c r="BC908" s="3296"/>
      <c r="BD908" s="3298"/>
      <c r="BE908" s="3276"/>
      <c r="BF908" s="3281"/>
      <c r="BG908" s="3293">
        <v>39044</v>
      </c>
      <c r="BH908" s="3267"/>
      <c r="BI908" s="3267" t="s">
        <v>2991</v>
      </c>
      <c r="BJ908" s="3299">
        <v>39044</v>
      </c>
      <c r="BK908" s="3283" t="s">
        <v>2968</v>
      </c>
      <c r="BL908" s="3267" t="s">
        <v>2998</v>
      </c>
      <c r="BM908" s="3276" t="s">
        <v>2879</v>
      </c>
      <c r="BN908" s="3276" t="s">
        <v>2999</v>
      </c>
      <c r="BO908" s="3276" t="s">
        <v>3146</v>
      </c>
      <c r="BP908" s="3276"/>
      <c r="BQ908" s="3276" t="e">
        <v>#DIV/0!</v>
      </c>
      <c r="BR908" s="3276" t="e">
        <v>#DIV/0!</v>
      </c>
      <c r="BS908" s="3285"/>
      <c r="BT908" s="3285"/>
      <c r="BU908" s="3285"/>
      <c r="BY908" s="3262" t="s">
        <v>3262</v>
      </c>
      <c r="BZ908" s="3262" t="s">
        <v>3262</v>
      </c>
      <c r="CA908" s="3262" t="s">
        <v>3262</v>
      </c>
      <c r="CB908" s="3262" t="s">
        <v>3262</v>
      </c>
      <c r="CC908" s="3262" t="s">
        <v>3262</v>
      </c>
      <c r="CD908" s="3262" t="s">
        <v>3262</v>
      </c>
      <c r="CE908" s="3262" t="s">
        <v>3262</v>
      </c>
      <c r="CF908" s="3262" t="s">
        <v>3262</v>
      </c>
      <c r="CG908" s="3262" t="s">
        <v>3262</v>
      </c>
      <c r="CH908" s="3262" t="s">
        <v>3262</v>
      </c>
      <c r="CI908" s="3262" t="s">
        <v>3262</v>
      </c>
      <c r="CJ908" s="3262" t="s">
        <v>3262</v>
      </c>
      <c r="CK908" s="3262" t="s">
        <v>3262</v>
      </c>
      <c r="CL908" s="3262" t="s">
        <v>3262</v>
      </c>
      <c r="CM908" s="3262" t="s">
        <v>3262</v>
      </c>
      <c r="CN908" s="3262" t="s">
        <v>3262</v>
      </c>
      <c r="CO908" s="3262" t="s">
        <v>3262</v>
      </c>
      <c r="CP908" s="3262" t="s">
        <v>3262</v>
      </c>
      <c r="CQ908" s="3262" t="s">
        <v>3262</v>
      </c>
      <c r="CR908" s="3262" t="s">
        <v>3262</v>
      </c>
      <c r="CS908" s="3262" t="s">
        <v>3262</v>
      </c>
      <c r="CT908" s="3262" t="s">
        <v>3262</v>
      </c>
      <c r="CU908" s="3262" t="s">
        <v>3262</v>
      </c>
      <c r="CV908" s="3262" t="s">
        <v>3262</v>
      </c>
      <c r="CW908" s="3262" t="s">
        <v>3262</v>
      </c>
      <c r="CX908" s="3262" t="s">
        <v>3262</v>
      </c>
      <c r="CY908" s="3262" t="s">
        <v>3262</v>
      </c>
      <c r="CZ908" s="3262" t="s">
        <v>3262</v>
      </c>
      <c r="DA908" s="3262" t="s">
        <v>3262</v>
      </c>
      <c r="DB908" s="3262" t="s">
        <v>3262</v>
      </c>
      <c r="DC908" s="3262" t="s">
        <v>3262</v>
      </c>
      <c r="DD908" s="3262" t="s">
        <v>3262</v>
      </c>
      <c r="DE908" s="3262" t="s">
        <v>3262</v>
      </c>
      <c r="DF908" s="3262" t="s">
        <v>3262</v>
      </c>
      <c r="DG908" s="3262" t="s">
        <v>3262</v>
      </c>
      <c r="DH908" s="3262" t="s">
        <v>3262</v>
      </c>
      <c r="DI908" s="3262" t="s">
        <v>3262</v>
      </c>
      <c r="DJ908" s="3262" t="s">
        <v>3262</v>
      </c>
      <c r="DK908" s="3262" t="s">
        <v>3262</v>
      </c>
      <c r="DL908" s="3262" t="s">
        <v>3262</v>
      </c>
      <c r="DM908" s="3262" t="s">
        <v>3262</v>
      </c>
      <c r="DN908" s="3262" t="s">
        <v>3262</v>
      </c>
      <c r="DO908" s="3262" t="s">
        <v>3262</v>
      </c>
      <c r="DP908" s="3262" t="s">
        <v>3262</v>
      </c>
      <c r="DQ908" s="3262" t="s">
        <v>3262</v>
      </c>
      <c r="DR908" s="3262" t="s">
        <v>3262</v>
      </c>
      <c r="DS908" s="3262" t="s">
        <v>3262</v>
      </c>
      <c r="DT908" s="3262" t="s">
        <v>3262</v>
      </c>
      <c r="DU908" s="3262" t="s">
        <v>3262</v>
      </c>
      <c r="DV908" s="3262" t="s">
        <v>3262</v>
      </c>
      <c r="DW908" s="3262" t="s">
        <v>3262</v>
      </c>
      <c r="DX908" s="3262" t="s">
        <v>3262</v>
      </c>
      <c r="DY908" s="3262" t="s">
        <v>3262</v>
      </c>
      <c r="DZ908" s="3262" t="s">
        <v>3262</v>
      </c>
      <c r="EA908" s="3262" t="s">
        <v>3262</v>
      </c>
      <c r="EB908" s="3262" t="s">
        <v>3262</v>
      </c>
      <c r="EC908" s="3262" t="s">
        <v>3262</v>
      </c>
      <c r="ED908" s="3262" t="s">
        <v>3262</v>
      </c>
      <c r="EE908" s="3262" t="s">
        <v>3262</v>
      </c>
      <c r="EF908" s="3262" t="s">
        <v>3262</v>
      </c>
      <c r="EG908" s="3262" t="s">
        <v>3262</v>
      </c>
      <c r="EH908" s="3262" t="s">
        <v>3262</v>
      </c>
      <c r="EI908" s="3262" t="s">
        <v>3262</v>
      </c>
      <c r="EJ908" s="3262" t="s">
        <v>3262</v>
      </c>
      <c r="EK908" s="3262" t="s">
        <v>3262</v>
      </c>
      <c r="EL908" s="3262" t="s">
        <v>3262</v>
      </c>
      <c r="EM908" s="3262" t="s">
        <v>3262</v>
      </c>
      <c r="EN908" s="3262" t="s">
        <v>3262</v>
      </c>
      <c r="EO908" s="3262" t="s">
        <v>3262</v>
      </c>
      <c r="EP908" s="3262" t="s">
        <v>3262</v>
      </c>
      <c r="EQ908" s="3262" t="s">
        <v>3262</v>
      </c>
      <c r="ER908" s="3262" t="s">
        <v>3262</v>
      </c>
      <c r="ES908" s="3262" t="s">
        <v>3262</v>
      </c>
      <c r="ET908" s="3262" t="s">
        <v>3262</v>
      </c>
      <c r="EU908" s="3262" t="s">
        <v>3262</v>
      </c>
      <c r="EV908" s="3262" t="s">
        <v>3262</v>
      </c>
      <c r="EW908" s="3262" t="s">
        <v>3262</v>
      </c>
      <c r="EX908" s="3262" t="s">
        <v>3262</v>
      </c>
      <c r="EY908" s="3262" t="s">
        <v>3262</v>
      </c>
      <c r="EZ908" s="3262" t="s">
        <v>3262</v>
      </c>
      <c r="FA908" s="3262" t="s">
        <v>3262</v>
      </c>
      <c r="FB908" s="3262" t="s">
        <v>3262</v>
      </c>
      <c r="FC908" s="3262" t="s">
        <v>3262</v>
      </c>
      <c r="FD908" s="3262" t="s">
        <v>3262</v>
      </c>
      <c r="FE908" s="3262" t="s">
        <v>3262</v>
      </c>
      <c r="FF908" s="3262" t="s">
        <v>3262</v>
      </c>
      <c r="FG908" s="3262" t="s">
        <v>3262</v>
      </c>
      <c r="FH908" s="3262" t="s">
        <v>3262</v>
      </c>
      <c r="FI908" s="3262" t="s">
        <v>3262</v>
      </c>
      <c r="FJ908" s="3262" t="s">
        <v>3262</v>
      </c>
      <c r="FK908" s="3262" t="s">
        <v>3262</v>
      </c>
      <c r="FL908" s="3262" t="s">
        <v>3262</v>
      </c>
      <c r="FM908" s="3262" t="s">
        <v>3262</v>
      </c>
      <c r="FN908" s="3262" t="s">
        <v>3262</v>
      </c>
      <c r="FO908" s="3262" t="s">
        <v>3262</v>
      </c>
      <c r="FP908" s="3262" t="s">
        <v>3262</v>
      </c>
      <c r="FQ908" s="3262" t="s">
        <v>3262</v>
      </c>
      <c r="FR908" s="3262" t="s">
        <v>3262</v>
      </c>
      <c r="FS908" s="3262" t="s">
        <v>3262</v>
      </c>
      <c r="FT908" s="3262" t="s">
        <v>3262</v>
      </c>
      <c r="FU908" s="3262" t="s">
        <v>3262</v>
      </c>
      <c r="FV908" s="3262" t="s">
        <v>3262</v>
      </c>
      <c r="FW908" s="3262" t="s">
        <v>3262</v>
      </c>
      <c r="FX908" s="3262" t="s">
        <v>3262</v>
      </c>
      <c r="FY908" s="3262" t="s">
        <v>3262</v>
      </c>
      <c r="FZ908" s="3262" t="s">
        <v>3262</v>
      </c>
      <c r="GA908" s="3262" t="s">
        <v>3262</v>
      </c>
      <c r="GB908" s="3262" t="s">
        <v>3262</v>
      </c>
      <c r="GC908" s="3262" t="s">
        <v>3262</v>
      </c>
      <c r="GD908" s="3262" t="s">
        <v>3262</v>
      </c>
      <c r="GE908" s="3262" t="s">
        <v>3262</v>
      </c>
      <c r="GF908" s="3262" t="s">
        <v>3262</v>
      </c>
      <c r="GG908" s="3262" t="s">
        <v>3262</v>
      </c>
      <c r="GH908" s="3262" t="s">
        <v>3262</v>
      </c>
      <c r="GI908" s="3262" t="s">
        <v>3262</v>
      </c>
      <c r="GJ908" s="3262" t="s">
        <v>3262</v>
      </c>
      <c r="GK908" s="3262" t="s">
        <v>3262</v>
      </c>
      <c r="GL908" s="3262" t="s">
        <v>3262</v>
      </c>
      <c r="GM908" s="3262" t="s">
        <v>3262</v>
      </c>
      <c r="GN908" s="3262" t="s">
        <v>3262</v>
      </c>
      <c r="GO908" s="3262" t="s">
        <v>3262</v>
      </c>
      <c r="GP908" s="3262" t="s">
        <v>3262</v>
      </c>
      <c r="GQ908" s="3262" t="s">
        <v>3262</v>
      </c>
      <c r="GR908" s="3262" t="s">
        <v>3262</v>
      </c>
      <c r="GS908" s="3262" t="s">
        <v>3262</v>
      </c>
      <c r="GT908" s="3262" t="s">
        <v>3262</v>
      </c>
      <c r="GU908" s="3262" t="s">
        <v>3262</v>
      </c>
      <c r="GV908" s="3262" t="s">
        <v>3262</v>
      </c>
      <c r="GW908" s="3262" t="s">
        <v>3262</v>
      </c>
      <c r="GX908" s="3262" t="s">
        <v>3262</v>
      </c>
      <c r="GY908" s="3262" t="s">
        <v>3262</v>
      </c>
      <c r="GZ908" s="3262" t="s">
        <v>3262</v>
      </c>
      <c r="HA908" s="3262" t="s">
        <v>3262</v>
      </c>
      <c r="HB908" s="3262" t="s">
        <v>3262</v>
      </c>
      <c r="HC908" s="3262" t="s">
        <v>3262</v>
      </c>
      <c r="HD908" s="3262" t="s">
        <v>3262</v>
      </c>
      <c r="HE908" s="3262" t="s">
        <v>3262</v>
      </c>
      <c r="HF908" s="3262" t="s">
        <v>3262</v>
      </c>
      <c r="HG908" s="3262" t="s">
        <v>3262</v>
      </c>
      <c r="HH908" s="3262" t="s">
        <v>3262</v>
      </c>
      <c r="HI908" s="3262" t="s">
        <v>3262</v>
      </c>
      <c r="HJ908" s="3262" t="s">
        <v>3262</v>
      </c>
      <c r="HK908" s="3262" t="s">
        <v>3262</v>
      </c>
      <c r="HL908" s="3262" t="s">
        <v>3262</v>
      </c>
      <c r="HM908" s="3262" t="s">
        <v>3262</v>
      </c>
      <c r="HN908" s="3262" t="s">
        <v>3262</v>
      </c>
      <c r="HO908" s="3262" t="s">
        <v>3262</v>
      </c>
      <c r="HP908" s="3262" t="s">
        <v>3262</v>
      </c>
      <c r="HQ908" s="3262" t="s">
        <v>3262</v>
      </c>
      <c r="HR908" s="3262" t="s">
        <v>3262</v>
      </c>
      <c r="HS908" s="3262" t="s">
        <v>3262</v>
      </c>
      <c r="HT908" s="3262" t="s">
        <v>3262</v>
      </c>
      <c r="HU908" s="3262" t="s">
        <v>3262</v>
      </c>
      <c r="HV908" s="3262" t="s">
        <v>3262</v>
      </c>
      <c r="HW908" s="3262" t="s">
        <v>3262</v>
      </c>
      <c r="HX908" s="3262" t="s">
        <v>3262</v>
      </c>
      <c r="HY908" s="3262" t="s">
        <v>3262</v>
      </c>
      <c r="HZ908" s="3262" t="s">
        <v>3262</v>
      </c>
      <c r="IA908" s="3262" t="s">
        <v>3262</v>
      </c>
      <c r="IB908" s="3262" t="s">
        <v>3262</v>
      </c>
      <c r="IC908" s="3262" t="s">
        <v>3262</v>
      </c>
      <c r="ID908" s="3262" t="s">
        <v>3262</v>
      </c>
      <c r="IE908" s="3262" t="s">
        <v>3262</v>
      </c>
      <c r="IF908" s="3262" t="s">
        <v>3262</v>
      </c>
      <c r="IG908" s="3262" t="s">
        <v>3262</v>
      </c>
      <c r="IH908" s="3262" t="s">
        <v>3262</v>
      </c>
      <c r="II908" s="3262" t="s">
        <v>3262</v>
      </c>
      <c r="IJ908" s="3262" t="s">
        <v>3262</v>
      </c>
    </row>
    <row r="909" spans="1:244" hidden="1">
      <c r="A909" s="3268" t="s">
        <v>9339</v>
      </c>
      <c r="B909" s="3267" t="s">
        <v>9340</v>
      </c>
      <c r="C909" s="3269" t="s">
        <v>9341</v>
      </c>
      <c r="D909" s="3267">
        <v>13611075171</v>
      </c>
      <c r="E909" s="3267" t="s">
        <v>2985</v>
      </c>
      <c r="F909" s="3267" t="s">
        <v>3533</v>
      </c>
      <c r="G909" s="3267"/>
      <c r="H909" s="3267" t="s">
        <v>3130</v>
      </c>
      <c r="I909" s="3267" t="s">
        <v>8876</v>
      </c>
      <c r="J909" s="3267" t="s">
        <v>7579</v>
      </c>
      <c r="K909" s="3267" t="s">
        <v>9342</v>
      </c>
      <c r="L909" s="3267">
        <v>47.72</v>
      </c>
      <c r="M909" s="3267">
        <v>10</v>
      </c>
      <c r="N909" s="3267" t="s">
        <v>3535</v>
      </c>
      <c r="O909" s="3267"/>
      <c r="P909" s="3267" t="s">
        <v>2963</v>
      </c>
      <c r="Q909" s="3267">
        <v>440000</v>
      </c>
      <c r="R909" s="3288">
        <v>9220</v>
      </c>
      <c r="S909" s="3272">
        <v>37.799999999999997</v>
      </c>
      <c r="T909" s="3273">
        <v>378000</v>
      </c>
      <c r="U909" s="3267">
        <v>7922</v>
      </c>
      <c r="V909" s="3289">
        <v>0.2</v>
      </c>
      <c r="W909" s="3272">
        <v>30.24</v>
      </c>
      <c r="X909" s="3273">
        <v>302400</v>
      </c>
      <c r="Y909" s="3267">
        <v>2006</v>
      </c>
      <c r="Z909" s="3276">
        <v>11</v>
      </c>
      <c r="AA909" s="3267">
        <v>28</v>
      </c>
      <c r="AB909" s="3267">
        <v>1130</v>
      </c>
      <c r="AC909" s="3267" t="s">
        <v>2980</v>
      </c>
      <c r="AD909" s="3364">
        <v>91302006111405</v>
      </c>
      <c r="AE909" s="3267" t="s">
        <v>3304</v>
      </c>
      <c r="AF909" s="3267" t="s">
        <v>2966</v>
      </c>
      <c r="AG909" s="3267" t="s">
        <v>2967</v>
      </c>
      <c r="AH909" s="3267"/>
      <c r="AI909" s="3267" t="s">
        <v>2992</v>
      </c>
      <c r="AJ909" s="3267"/>
      <c r="AK909" s="3267" t="s">
        <v>3137</v>
      </c>
      <c r="AL909" s="3267">
        <v>57</v>
      </c>
      <c r="AM909" s="3267"/>
      <c r="AN909" s="3279" t="s">
        <v>3099</v>
      </c>
      <c r="AO909" s="3267"/>
      <c r="AP909" s="3276" t="s">
        <v>3537</v>
      </c>
      <c r="AQ909" s="3276" t="s">
        <v>2996</v>
      </c>
      <c r="AR909" s="3267"/>
      <c r="AS909" s="3267"/>
      <c r="AT909" s="3267"/>
      <c r="AU909" s="3267"/>
      <c r="AV909" s="3267"/>
      <c r="AW909" s="3267" t="s">
        <v>3119</v>
      </c>
      <c r="AX909" s="3267"/>
      <c r="AY909" s="3267"/>
      <c r="AZ909" s="3267" t="s">
        <v>9342</v>
      </c>
      <c r="BA909" s="3267"/>
      <c r="BB909" s="3267"/>
      <c r="BC909" s="3267"/>
      <c r="BD909" s="3267"/>
      <c r="BE909" s="3267">
        <v>13311110089</v>
      </c>
      <c r="BF909" s="3267"/>
      <c r="BG909" s="3293">
        <v>39044</v>
      </c>
      <c r="BH909" s="3267"/>
      <c r="BI909" s="3267" t="s">
        <v>3537</v>
      </c>
      <c r="BJ909" s="3293">
        <v>39045</v>
      </c>
      <c r="BK909" s="3267"/>
      <c r="BL909" s="3267" t="s">
        <v>2998</v>
      </c>
      <c r="BM909" s="3267" t="s">
        <v>2879</v>
      </c>
      <c r="BN909" s="3267" t="s">
        <v>2999</v>
      </c>
      <c r="BO909" s="3267" t="s">
        <v>3538</v>
      </c>
      <c r="BP909" s="3267"/>
      <c r="BQ909" s="3276" t="e">
        <v>#DIV/0!</v>
      </c>
      <c r="BR909" s="3276" t="e">
        <v>#DIV/0!</v>
      </c>
      <c r="BS909" s="3285"/>
      <c r="BT909" s="3285"/>
      <c r="BU909" s="3285"/>
    </row>
    <row r="910" spans="1:244" hidden="1">
      <c r="A910" s="3267" t="s">
        <v>9343</v>
      </c>
      <c r="B910" s="3267" t="s">
        <v>9344</v>
      </c>
      <c r="C910" s="3269" t="s">
        <v>9345</v>
      </c>
      <c r="D910" s="3269" t="s">
        <v>9346</v>
      </c>
      <c r="E910" s="3267" t="s">
        <v>2985</v>
      </c>
      <c r="F910" s="3268" t="s">
        <v>3741</v>
      </c>
      <c r="G910" s="3267"/>
      <c r="H910" s="3267" t="s">
        <v>9347</v>
      </c>
      <c r="I910" s="3267" t="s">
        <v>3318</v>
      </c>
      <c r="J910" s="3269" t="s">
        <v>3512</v>
      </c>
      <c r="K910" s="3268" t="s">
        <v>9348</v>
      </c>
      <c r="L910" s="3267">
        <v>57.22</v>
      </c>
      <c r="M910" s="3267">
        <v>5</v>
      </c>
      <c r="N910" s="3267" t="s">
        <v>3122</v>
      </c>
      <c r="O910" s="3267"/>
      <c r="P910" s="3267" t="s">
        <v>2963</v>
      </c>
      <c r="Q910" s="3271">
        <v>510000</v>
      </c>
      <c r="R910" s="3267">
        <v>8913</v>
      </c>
      <c r="S910" s="3272">
        <v>42.97</v>
      </c>
      <c r="T910" s="3273">
        <v>429700</v>
      </c>
      <c r="U910" s="3267">
        <v>7511</v>
      </c>
      <c r="V910" s="3274">
        <v>0.2</v>
      </c>
      <c r="W910" s="3272">
        <v>34.369999999999997</v>
      </c>
      <c r="X910" s="3275">
        <v>343700</v>
      </c>
      <c r="Y910" s="3276">
        <v>2006</v>
      </c>
      <c r="Z910" s="3276">
        <v>11</v>
      </c>
      <c r="AA910" s="3276">
        <v>29</v>
      </c>
      <c r="AB910" s="3267">
        <v>1285</v>
      </c>
      <c r="AC910" s="3267" t="s">
        <v>2980</v>
      </c>
      <c r="AD910" s="3269" t="s">
        <v>9349</v>
      </c>
      <c r="AE910" s="3279" t="s">
        <v>3304</v>
      </c>
      <c r="AF910" s="3267" t="s">
        <v>2966</v>
      </c>
      <c r="AG910" s="3267" t="s">
        <v>2967</v>
      </c>
      <c r="AH910" s="3267"/>
      <c r="AI910" s="3279" t="s">
        <v>3295</v>
      </c>
      <c r="AJ910" s="3284"/>
      <c r="AK910" s="3316" t="s">
        <v>3137</v>
      </c>
      <c r="AL910" s="3276">
        <v>32</v>
      </c>
      <c r="AM910" s="3276"/>
      <c r="AN910" s="3279" t="s">
        <v>3099</v>
      </c>
      <c r="AO910" s="3276"/>
      <c r="AP910" s="3267" t="s">
        <v>3537</v>
      </c>
      <c r="AQ910" s="3276" t="s">
        <v>2996</v>
      </c>
      <c r="AR910" s="3276"/>
      <c r="AS910" s="3276"/>
      <c r="AT910" s="3276"/>
      <c r="AU910" s="3276"/>
      <c r="AV910" s="3276"/>
      <c r="AW910" s="3276" t="s">
        <v>3112</v>
      </c>
      <c r="AX910" s="3276"/>
      <c r="AY910" s="3291"/>
      <c r="AZ910" s="3276" t="s">
        <v>9348</v>
      </c>
      <c r="BA910" s="3276"/>
      <c r="BB910" s="3291"/>
      <c r="BC910" s="3276"/>
      <c r="BD910" s="3292"/>
      <c r="BE910" s="3276">
        <v>13001120588</v>
      </c>
      <c r="BF910" s="3281"/>
      <c r="BG910" s="3299">
        <v>39045</v>
      </c>
      <c r="BH910" s="3276"/>
      <c r="BI910" s="3276" t="s">
        <v>3537</v>
      </c>
      <c r="BJ910" s="3283">
        <v>39048</v>
      </c>
      <c r="BK910" s="3283"/>
      <c r="BL910" s="3276" t="s">
        <v>2998</v>
      </c>
      <c r="BM910" s="3276" t="s">
        <v>2879</v>
      </c>
      <c r="BN910" s="3276" t="s">
        <v>2999</v>
      </c>
      <c r="BO910" s="3276" t="s">
        <v>3146</v>
      </c>
      <c r="BP910" s="3276"/>
      <c r="BQ910" s="3276" t="e">
        <v>#DIV/0!</v>
      </c>
      <c r="BR910" s="3276" t="e">
        <v>#DIV/0!</v>
      </c>
      <c r="BS910" s="3285"/>
      <c r="BT910" s="3285"/>
      <c r="BU910" s="3285"/>
    </row>
    <row r="911" spans="1:244" hidden="1">
      <c r="A911" s="3267" t="s">
        <v>9350</v>
      </c>
      <c r="B911" s="3267" t="s">
        <v>9351</v>
      </c>
      <c r="C911" s="3269" t="s">
        <v>9352</v>
      </c>
      <c r="D911" s="3267">
        <v>13522672612</v>
      </c>
      <c r="E911" s="3267" t="s">
        <v>2985</v>
      </c>
      <c r="F911" s="3267" t="s">
        <v>3359</v>
      </c>
      <c r="G911" s="3267"/>
      <c r="H911" s="3267" t="s">
        <v>3194</v>
      </c>
      <c r="I911" s="3267"/>
      <c r="J911" s="3267" t="s">
        <v>9353</v>
      </c>
      <c r="K911" s="3267" t="s">
        <v>9354</v>
      </c>
      <c r="L911" s="3267">
        <v>59.71</v>
      </c>
      <c r="M911" s="3267">
        <v>1</v>
      </c>
      <c r="N911" s="3267" t="s">
        <v>3122</v>
      </c>
      <c r="O911" s="3267"/>
      <c r="P911" s="3267" t="s">
        <v>2963</v>
      </c>
      <c r="Q911" s="3267">
        <v>530000</v>
      </c>
      <c r="R911" s="3288">
        <v>8876</v>
      </c>
      <c r="S911" s="3272">
        <v>36.25</v>
      </c>
      <c r="T911" s="3273">
        <v>362500</v>
      </c>
      <c r="U911" s="3267">
        <v>6072</v>
      </c>
      <c r="V911" s="3274">
        <v>0.2</v>
      </c>
      <c r="W911" s="3272">
        <v>29</v>
      </c>
      <c r="X911" s="3273">
        <v>290000</v>
      </c>
      <c r="Y911" s="3267">
        <v>2006</v>
      </c>
      <c r="Z911" s="3267">
        <v>12</v>
      </c>
      <c r="AA911" s="3276">
        <v>14</v>
      </c>
      <c r="AB911" s="3267">
        <v>1085</v>
      </c>
      <c r="AC911" s="3267" t="s">
        <v>2980</v>
      </c>
      <c r="AD911" s="3269" t="s">
        <v>9355</v>
      </c>
      <c r="AE911" s="3267" t="s">
        <v>3245</v>
      </c>
      <c r="AF911" s="3267" t="s">
        <v>2966</v>
      </c>
      <c r="AG911" s="3267" t="s">
        <v>2967</v>
      </c>
      <c r="AH911" s="3267"/>
      <c r="AI911" s="3267" t="s">
        <v>3176</v>
      </c>
      <c r="AJ911" s="3267"/>
      <c r="AK911" s="3278" t="s">
        <v>3120</v>
      </c>
      <c r="AL911" s="3267">
        <v>46</v>
      </c>
      <c r="AM911" s="3267"/>
      <c r="AN911" s="3279" t="s">
        <v>3114</v>
      </c>
      <c r="AO911" s="3267"/>
      <c r="AP911" s="3267" t="s">
        <v>3537</v>
      </c>
      <c r="AQ911" s="3267" t="s">
        <v>3228</v>
      </c>
      <c r="AR911" s="3267"/>
      <c r="AS911" s="3267"/>
      <c r="AT911" s="3267"/>
      <c r="AU911" s="3267"/>
      <c r="AV911" s="3267"/>
      <c r="AW911" s="3267" t="s">
        <v>3119</v>
      </c>
      <c r="AX911" s="3267"/>
      <c r="AY911" s="3267"/>
      <c r="AZ911" s="3267" t="s">
        <v>9354</v>
      </c>
      <c r="BA911" s="3267"/>
      <c r="BB911" s="3267"/>
      <c r="BC911" s="3267"/>
      <c r="BD911" s="3267"/>
      <c r="BE911" s="3267">
        <v>13466503390</v>
      </c>
      <c r="BF911" s="3267"/>
      <c r="BG911" s="3299">
        <v>39048</v>
      </c>
      <c r="BH911" s="3267"/>
      <c r="BI911" s="3276" t="s">
        <v>3537</v>
      </c>
      <c r="BJ911" s="3283">
        <v>39048</v>
      </c>
      <c r="BK911" s="3267"/>
      <c r="BL911" s="3267" t="s">
        <v>2998</v>
      </c>
      <c r="BM911" s="3267" t="s">
        <v>2879</v>
      </c>
      <c r="BN911" s="3267" t="s">
        <v>3111</v>
      </c>
      <c r="BO911" s="3267" t="s">
        <v>3146</v>
      </c>
      <c r="BP911" s="3267"/>
      <c r="BQ911" s="3276" t="e">
        <v>#DIV/0!</v>
      </c>
      <c r="BR911" s="3276" t="e">
        <v>#DIV/0!</v>
      </c>
      <c r="BS911" s="3285"/>
      <c r="BT911" s="3285"/>
      <c r="BU911" s="3285"/>
    </row>
    <row r="912" spans="1:244" hidden="1">
      <c r="A912" s="3267" t="s">
        <v>9356</v>
      </c>
      <c r="B912" s="3267" t="s">
        <v>9357</v>
      </c>
      <c r="C912" s="3269" t="s">
        <v>9358</v>
      </c>
      <c r="D912" s="3267">
        <v>13371739391</v>
      </c>
      <c r="E912" s="3267" t="s">
        <v>2985</v>
      </c>
      <c r="F912" s="3267" t="s">
        <v>9359</v>
      </c>
      <c r="G912" s="3267"/>
      <c r="H912" s="3267"/>
      <c r="I912" s="3267"/>
      <c r="J912" s="3267" t="s">
        <v>9360</v>
      </c>
      <c r="K912" s="3268" t="s">
        <v>9361</v>
      </c>
      <c r="L912" s="3267">
        <v>56.13</v>
      </c>
      <c r="M912" s="3267">
        <v>6</v>
      </c>
      <c r="N912" s="3267" t="s">
        <v>3152</v>
      </c>
      <c r="O912" s="3267"/>
      <c r="P912" s="3267" t="s">
        <v>2963</v>
      </c>
      <c r="Q912" s="3267">
        <v>430000</v>
      </c>
      <c r="R912" s="3267">
        <v>7661</v>
      </c>
      <c r="S912" s="3272">
        <v>39.93</v>
      </c>
      <c r="T912" s="3273">
        <v>399300</v>
      </c>
      <c r="U912" s="3267">
        <v>7115</v>
      </c>
      <c r="V912" s="3274">
        <v>0.2</v>
      </c>
      <c r="W912" s="3272">
        <v>31.94</v>
      </c>
      <c r="X912" s="3275">
        <v>319400</v>
      </c>
      <c r="Y912" s="3267">
        <v>2006</v>
      </c>
      <c r="Z912" s="3267">
        <v>12</v>
      </c>
      <c r="AA912" s="3276">
        <v>1</v>
      </c>
      <c r="AB912" s="3267">
        <v>1195</v>
      </c>
      <c r="AC912" s="3267" t="s">
        <v>2980</v>
      </c>
      <c r="AD912" s="3269" t="s">
        <v>9362</v>
      </c>
      <c r="AE912" s="3267" t="s">
        <v>3069</v>
      </c>
      <c r="AF912" s="3267" t="s">
        <v>2966</v>
      </c>
      <c r="AG912" s="3267" t="s">
        <v>2967</v>
      </c>
      <c r="AH912" s="3267"/>
      <c r="AI912" s="3267" t="s">
        <v>2992</v>
      </c>
      <c r="AJ912" s="3284"/>
      <c r="AK912" s="3267" t="s">
        <v>3120</v>
      </c>
      <c r="AL912" s="3267" t="s">
        <v>5672</v>
      </c>
      <c r="AM912" s="3267"/>
      <c r="AN912" s="3267" t="s">
        <v>3131</v>
      </c>
      <c r="AO912" s="3267"/>
      <c r="AP912" s="3267" t="s">
        <v>3069</v>
      </c>
      <c r="AQ912" s="3276" t="s">
        <v>2996</v>
      </c>
      <c r="AR912" s="3267"/>
      <c r="AS912" s="3267"/>
      <c r="AT912" s="3267"/>
      <c r="AU912" s="3267"/>
      <c r="AV912" s="3267"/>
      <c r="AW912" s="3267" t="s">
        <v>3171</v>
      </c>
      <c r="AX912" s="3267"/>
      <c r="AY912" s="3269"/>
      <c r="AZ912" s="3268" t="s">
        <v>9361</v>
      </c>
      <c r="BA912" s="3267"/>
      <c r="BB912" s="3267"/>
      <c r="BC912" s="3267"/>
      <c r="BD912" s="3267"/>
      <c r="BE912" s="3267"/>
      <c r="BF912" s="3267"/>
      <c r="BG912" s="3307">
        <v>39044</v>
      </c>
      <c r="BH912" s="3267"/>
      <c r="BI912" s="3267" t="s">
        <v>3069</v>
      </c>
      <c r="BJ912" s="3307">
        <v>39050</v>
      </c>
      <c r="BK912" s="3283"/>
      <c r="BL912" s="3267" t="s">
        <v>2998</v>
      </c>
      <c r="BM912" s="3267" t="s">
        <v>2879</v>
      </c>
      <c r="BN912" s="3267" t="s">
        <v>2999</v>
      </c>
      <c r="BO912" s="3267" t="s">
        <v>3000</v>
      </c>
      <c r="BP912" s="3267"/>
      <c r="BQ912" s="3276" t="e">
        <v>#DIV/0!</v>
      </c>
      <c r="BR912" s="3276" t="e">
        <v>#DIV/0!</v>
      </c>
      <c r="BS912" s="3285"/>
      <c r="BT912" s="3285"/>
      <c r="BU912" s="3285"/>
    </row>
    <row r="913" spans="1:245" hidden="1">
      <c r="A913" s="3267" t="s">
        <v>9363</v>
      </c>
      <c r="B913" s="3267" t="s">
        <v>9364</v>
      </c>
      <c r="C913" s="3269" t="s">
        <v>9365</v>
      </c>
      <c r="D913" s="3269" t="s">
        <v>9366</v>
      </c>
      <c r="E913" s="3268" t="s">
        <v>2985</v>
      </c>
      <c r="F913" s="3268" t="s">
        <v>4634</v>
      </c>
      <c r="G913" s="3267"/>
      <c r="H913" s="3267" t="s">
        <v>3138</v>
      </c>
      <c r="I913" s="3268" t="s">
        <v>3436</v>
      </c>
      <c r="J913" s="3268" t="s">
        <v>3163</v>
      </c>
      <c r="K913" s="3267" t="s">
        <v>9367</v>
      </c>
      <c r="L913" s="3267">
        <v>78.819999999999993</v>
      </c>
      <c r="M913" s="3267">
        <v>3</v>
      </c>
      <c r="N913" s="3267" t="s">
        <v>3122</v>
      </c>
      <c r="O913" s="3267"/>
      <c r="P913" s="3267" t="s">
        <v>2963</v>
      </c>
      <c r="Q913" s="3271">
        <v>600000</v>
      </c>
      <c r="R913" s="3267">
        <v>7612</v>
      </c>
      <c r="S913" s="3272">
        <v>59.98</v>
      </c>
      <c r="T913" s="3273">
        <v>599800</v>
      </c>
      <c r="U913" s="3267">
        <v>7610</v>
      </c>
      <c r="V913" s="3289">
        <v>0.2</v>
      </c>
      <c r="W913" s="3272">
        <v>47.98</v>
      </c>
      <c r="X913" s="3275">
        <v>479799.99999999994</v>
      </c>
      <c r="Y913" s="3276">
        <v>2006</v>
      </c>
      <c r="Z913" s="3276">
        <v>12</v>
      </c>
      <c r="AA913" s="3276">
        <v>13</v>
      </c>
      <c r="AB913" s="3267">
        <v>1500</v>
      </c>
      <c r="AC913" s="3267" t="s">
        <v>2980</v>
      </c>
      <c r="AD913" s="3366">
        <v>91302006111674</v>
      </c>
      <c r="AE913" s="3279" t="s">
        <v>2991</v>
      </c>
      <c r="AF913" s="3268"/>
      <c r="AG913" s="3279" t="s">
        <v>2967</v>
      </c>
      <c r="AH913" s="3267"/>
      <c r="AI913" s="3279" t="s">
        <v>2992</v>
      </c>
      <c r="AJ913" s="3284"/>
      <c r="AK913" s="3278" t="s">
        <v>3120</v>
      </c>
      <c r="AL913" s="3276">
        <v>42</v>
      </c>
      <c r="AM913" s="3276"/>
      <c r="AN913" s="3279" t="s">
        <v>3114</v>
      </c>
      <c r="AO913" s="3267"/>
      <c r="AP913" s="3279" t="s">
        <v>2991</v>
      </c>
      <c r="AQ913" s="3276" t="s">
        <v>3113</v>
      </c>
      <c r="AR913" s="3276">
        <v>2006</v>
      </c>
      <c r="AS913" s="3276">
        <v>12</v>
      </c>
      <c r="AT913" s="3276">
        <v>13</v>
      </c>
      <c r="AU913" s="3276"/>
      <c r="AV913" s="3276"/>
      <c r="AW913" s="3276" t="s">
        <v>2997</v>
      </c>
      <c r="AX913" s="3276"/>
      <c r="AY913" s="3291"/>
      <c r="AZ913" s="3267" t="s">
        <v>9367</v>
      </c>
      <c r="BA913" s="3296"/>
      <c r="BB913" s="3297"/>
      <c r="BC913" s="3296"/>
      <c r="BD913" s="3298"/>
      <c r="BE913" s="3276"/>
      <c r="BF913" s="3281"/>
      <c r="BG913" s="3293">
        <v>39049</v>
      </c>
      <c r="BH913" s="3267"/>
      <c r="BI913" s="3279" t="s">
        <v>2991</v>
      </c>
      <c r="BJ913" s="3299">
        <v>39050</v>
      </c>
      <c r="BK913" s="3283" t="s">
        <v>2968</v>
      </c>
      <c r="BL913" s="3267" t="s">
        <v>2998</v>
      </c>
      <c r="BM913" s="3276" t="s">
        <v>2879</v>
      </c>
      <c r="BN913" s="3276" t="s">
        <v>2999</v>
      </c>
      <c r="BO913" s="3276" t="s">
        <v>3146</v>
      </c>
      <c r="BP913" s="3276"/>
      <c r="BQ913" s="3276" t="e">
        <v>#DIV/0!</v>
      </c>
      <c r="BR913" s="3276" t="e">
        <v>#DIV/0!</v>
      </c>
      <c r="BS913" s="3285"/>
      <c r="BT913" s="3285"/>
      <c r="BU913" s="3285"/>
      <c r="BW913" s="3262" t="s">
        <v>3262</v>
      </c>
      <c r="BX913" s="3262" t="s">
        <v>3262</v>
      </c>
      <c r="BY913" s="3262" t="s">
        <v>3262</v>
      </c>
      <c r="BZ913" s="3262" t="s">
        <v>3262</v>
      </c>
      <c r="CA913" s="3262" t="s">
        <v>3262</v>
      </c>
      <c r="CB913" s="3262" t="s">
        <v>3262</v>
      </c>
      <c r="CC913" s="3262" t="s">
        <v>3262</v>
      </c>
      <c r="CD913" s="3262" t="s">
        <v>3262</v>
      </c>
      <c r="CE913" s="3262" t="s">
        <v>3262</v>
      </c>
      <c r="CF913" s="3262" t="s">
        <v>3262</v>
      </c>
      <c r="CG913" s="3262" t="s">
        <v>3262</v>
      </c>
      <c r="CH913" s="3262" t="s">
        <v>3262</v>
      </c>
      <c r="CI913" s="3262" t="s">
        <v>3262</v>
      </c>
      <c r="CJ913" s="3262" t="s">
        <v>3262</v>
      </c>
      <c r="CK913" s="3262" t="s">
        <v>3262</v>
      </c>
      <c r="CL913" s="3262" t="s">
        <v>3262</v>
      </c>
      <c r="CM913" s="3262" t="s">
        <v>3262</v>
      </c>
      <c r="CN913" s="3262" t="s">
        <v>3262</v>
      </c>
      <c r="CO913" s="3262" t="s">
        <v>3262</v>
      </c>
      <c r="CP913" s="3262" t="s">
        <v>3262</v>
      </c>
      <c r="CQ913" s="3262" t="s">
        <v>3262</v>
      </c>
      <c r="CR913" s="3262" t="s">
        <v>3262</v>
      </c>
      <c r="CS913" s="3262" t="s">
        <v>3262</v>
      </c>
      <c r="CT913" s="3262" t="s">
        <v>3262</v>
      </c>
      <c r="CU913" s="3262" t="s">
        <v>3262</v>
      </c>
      <c r="CV913" s="3262" t="s">
        <v>3262</v>
      </c>
      <c r="CW913" s="3262" t="s">
        <v>3262</v>
      </c>
      <c r="CX913" s="3262" t="s">
        <v>3262</v>
      </c>
      <c r="CY913" s="3262" t="s">
        <v>3262</v>
      </c>
      <c r="CZ913" s="3262" t="s">
        <v>3262</v>
      </c>
      <c r="DA913" s="3262" t="s">
        <v>3262</v>
      </c>
      <c r="DB913" s="3262" t="s">
        <v>3262</v>
      </c>
      <c r="DC913" s="3262" t="s">
        <v>3262</v>
      </c>
      <c r="DD913" s="3262" t="s">
        <v>3262</v>
      </c>
      <c r="DE913" s="3262" t="s">
        <v>3262</v>
      </c>
      <c r="DF913" s="3262" t="s">
        <v>3262</v>
      </c>
      <c r="DG913" s="3262" t="s">
        <v>3262</v>
      </c>
      <c r="DH913" s="3262" t="s">
        <v>3262</v>
      </c>
      <c r="DI913" s="3262" t="s">
        <v>3262</v>
      </c>
      <c r="DJ913" s="3262" t="s">
        <v>3262</v>
      </c>
      <c r="DK913" s="3262" t="s">
        <v>3262</v>
      </c>
      <c r="DL913" s="3262" t="s">
        <v>3262</v>
      </c>
      <c r="DM913" s="3262" t="s">
        <v>3262</v>
      </c>
      <c r="DN913" s="3262" t="s">
        <v>3262</v>
      </c>
      <c r="DO913" s="3262" t="s">
        <v>3262</v>
      </c>
      <c r="DP913" s="3262" t="s">
        <v>3262</v>
      </c>
      <c r="DQ913" s="3262" t="s">
        <v>3262</v>
      </c>
      <c r="DR913" s="3262" t="s">
        <v>3262</v>
      </c>
      <c r="DS913" s="3262" t="s">
        <v>3262</v>
      </c>
      <c r="DT913" s="3262" t="s">
        <v>3262</v>
      </c>
      <c r="DU913" s="3262" t="s">
        <v>3262</v>
      </c>
      <c r="DV913" s="3262" t="s">
        <v>3262</v>
      </c>
      <c r="DW913" s="3262" t="s">
        <v>3262</v>
      </c>
      <c r="DX913" s="3262" t="s">
        <v>3262</v>
      </c>
      <c r="DY913" s="3262" t="s">
        <v>3262</v>
      </c>
      <c r="DZ913" s="3262" t="s">
        <v>3262</v>
      </c>
      <c r="EA913" s="3262" t="s">
        <v>3262</v>
      </c>
      <c r="EB913" s="3262" t="s">
        <v>3262</v>
      </c>
      <c r="EC913" s="3262" t="s">
        <v>3262</v>
      </c>
      <c r="ED913" s="3262" t="s">
        <v>3262</v>
      </c>
      <c r="EE913" s="3262" t="s">
        <v>3262</v>
      </c>
      <c r="EF913" s="3262" t="s">
        <v>3262</v>
      </c>
      <c r="EG913" s="3262" t="s">
        <v>3262</v>
      </c>
      <c r="EH913" s="3262" t="s">
        <v>3262</v>
      </c>
      <c r="EI913" s="3262" t="s">
        <v>3262</v>
      </c>
      <c r="EJ913" s="3262" t="s">
        <v>3262</v>
      </c>
      <c r="EK913" s="3262" t="s">
        <v>3262</v>
      </c>
      <c r="EL913" s="3262" t="s">
        <v>3262</v>
      </c>
      <c r="EM913" s="3262" t="s">
        <v>3262</v>
      </c>
      <c r="EN913" s="3262" t="s">
        <v>3262</v>
      </c>
      <c r="EO913" s="3262" t="s">
        <v>3262</v>
      </c>
      <c r="EP913" s="3262" t="s">
        <v>3262</v>
      </c>
      <c r="EQ913" s="3262" t="s">
        <v>3262</v>
      </c>
      <c r="ER913" s="3262" t="s">
        <v>3262</v>
      </c>
      <c r="ES913" s="3262" t="s">
        <v>3262</v>
      </c>
      <c r="ET913" s="3262" t="s">
        <v>3262</v>
      </c>
      <c r="EU913" s="3262" t="s">
        <v>3262</v>
      </c>
      <c r="EV913" s="3262" t="s">
        <v>3262</v>
      </c>
      <c r="EW913" s="3262" t="s">
        <v>3262</v>
      </c>
      <c r="EX913" s="3262" t="s">
        <v>3262</v>
      </c>
      <c r="EY913" s="3262" t="s">
        <v>3262</v>
      </c>
      <c r="EZ913" s="3262" t="s">
        <v>3262</v>
      </c>
      <c r="FA913" s="3262" t="s">
        <v>3262</v>
      </c>
      <c r="FB913" s="3262" t="s">
        <v>3262</v>
      </c>
      <c r="FC913" s="3262" t="s">
        <v>3262</v>
      </c>
      <c r="FD913" s="3262" t="s">
        <v>3262</v>
      </c>
      <c r="FE913" s="3262" t="s">
        <v>3262</v>
      </c>
      <c r="FF913" s="3262" t="s">
        <v>3262</v>
      </c>
      <c r="FG913" s="3262" t="s">
        <v>3262</v>
      </c>
      <c r="FH913" s="3262" t="s">
        <v>3262</v>
      </c>
      <c r="FI913" s="3262" t="s">
        <v>3262</v>
      </c>
      <c r="FJ913" s="3262" t="s">
        <v>3262</v>
      </c>
      <c r="FK913" s="3262" t="s">
        <v>3262</v>
      </c>
      <c r="FL913" s="3262" t="s">
        <v>3262</v>
      </c>
      <c r="FM913" s="3262" t="s">
        <v>3262</v>
      </c>
      <c r="FN913" s="3262" t="s">
        <v>3262</v>
      </c>
      <c r="FO913" s="3262" t="s">
        <v>3262</v>
      </c>
      <c r="FP913" s="3262" t="s">
        <v>3262</v>
      </c>
      <c r="FQ913" s="3262" t="s">
        <v>3262</v>
      </c>
      <c r="FR913" s="3262" t="s">
        <v>3262</v>
      </c>
      <c r="FS913" s="3262" t="s">
        <v>3262</v>
      </c>
      <c r="FT913" s="3262" t="s">
        <v>3262</v>
      </c>
      <c r="FU913" s="3262" t="s">
        <v>3262</v>
      </c>
      <c r="FV913" s="3262" t="s">
        <v>3262</v>
      </c>
      <c r="FW913" s="3262" t="s">
        <v>3262</v>
      </c>
      <c r="FX913" s="3262" t="s">
        <v>3262</v>
      </c>
      <c r="FY913" s="3262" t="s">
        <v>3262</v>
      </c>
      <c r="FZ913" s="3262" t="s">
        <v>3262</v>
      </c>
      <c r="GA913" s="3262" t="s">
        <v>3262</v>
      </c>
      <c r="GB913" s="3262" t="s">
        <v>3262</v>
      </c>
      <c r="GC913" s="3262" t="s">
        <v>3262</v>
      </c>
      <c r="GD913" s="3262" t="s">
        <v>3262</v>
      </c>
      <c r="GE913" s="3262" t="s">
        <v>3262</v>
      </c>
      <c r="GF913" s="3262" t="s">
        <v>3262</v>
      </c>
      <c r="GG913" s="3262" t="s">
        <v>3262</v>
      </c>
      <c r="GH913" s="3262" t="s">
        <v>3262</v>
      </c>
      <c r="GI913" s="3262" t="s">
        <v>3262</v>
      </c>
      <c r="GJ913" s="3262" t="s">
        <v>3262</v>
      </c>
      <c r="GK913" s="3262" t="s">
        <v>3262</v>
      </c>
      <c r="GL913" s="3262" t="s">
        <v>3262</v>
      </c>
      <c r="GM913" s="3262" t="s">
        <v>3262</v>
      </c>
      <c r="GN913" s="3262" t="s">
        <v>3262</v>
      </c>
      <c r="GO913" s="3262" t="s">
        <v>3262</v>
      </c>
      <c r="GP913" s="3262" t="s">
        <v>3262</v>
      </c>
      <c r="GQ913" s="3262" t="s">
        <v>3262</v>
      </c>
      <c r="GR913" s="3262" t="s">
        <v>3262</v>
      </c>
      <c r="GS913" s="3262" t="s">
        <v>3262</v>
      </c>
      <c r="GT913" s="3262" t="s">
        <v>3262</v>
      </c>
      <c r="GU913" s="3262" t="s">
        <v>3262</v>
      </c>
      <c r="GV913" s="3262" t="s">
        <v>3262</v>
      </c>
      <c r="GW913" s="3262" t="s">
        <v>3262</v>
      </c>
      <c r="GX913" s="3262" t="s">
        <v>3262</v>
      </c>
      <c r="GY913" s="3262" t="s">
        <v>3262</v>
      </c>
      <c r="GZ913" s="3262" t="s">
        <v>3262</v>
      </c>
      <c r="HA913" s="3262" t="s">
        <v>3262</v>
      </c>
      <c r="HB913" s="3262" t="s">
        <v>3262</v>
      </c>
      <c r="HC913" s="3262" t="s">
        <v>3262</v>
      </c>
      <c r="HD913" s="3262" t="s">
        <v>3262</v>
      </c>
      <c r="HE913" s="3262" t="s">
        <v>3262</v>
      </c>
      <c r="HF913" s="3262" t="s">
        <v>3262</v>
      </c>
      <c r="HG913" s="3262" t="s">
        <v>3262</v>
      </c>
      <c r="HH913" s="3262" t="s">
        <v>3262</v>
      </c>
      <c r="HI913" s="3262" t="s">
        <v>3262</v>
      </c>
      <c r="HJ913" s="3262" t="s">
        <v>3262</v>
      </c>
      <c r="HK913" s="3262" t="s">
        <v>3262</v>
      </c>
      <c r="HL913" s="3262" t="s">
        <v>3262</v>
      </c>
      <c r="HM913" s="3262" t="s">
        <v>3262</v>
      </c>
      <c r="HN913" s="3262" t="s">
        <v>3262</v>
      </c>
      <c r="HO913" s="3262" t="s">
        <v>3262</v>
      </c>
      <c r="HP913" s="3262" t="s">
        <v>3262</v>
      </c>
      <c r="HQ913" s="3262" t="s">
        <v>3262</v>
      </c>
      <c r="HR913" s="3262" t="s">
        <v>3262</v>
      </c>
      <c r="HS913" s="3262" t="s">
        <v>3262</v>
      </c>
      <c r="HT913" s="3262" t="s">
        <v>3262</v>
      </c>
      <c r="HU913" s="3262" t="s">
        <v>3262</v>
      </c>
      <c r="HV913" s="3262" t="s">
        <v>3262</v>
      </c>
      <c r="HW913" s="3262" t="s">
        <v>3262</v>
      </c>
      <c r="HX913" s="3262" t="s">
        <v>3262</v>
      </c>
      <c r="HY913" s="3262" t="s">
        <v>3262</v>
      </c>
      <c r="HZ913" s="3262" t="s">
        <v>3262</v>
      </c>
      <c r="IA913" s="3262" t="s">
        <v>3262</v>
      </c>
      <c r="IB913" s="3262" t="s">
        <v>3262</v>
      </c>
      <c r="IC913" s="3262" t="s">
        <v>3262</v>
      </c>
      <c r="ID913" s="3262" t="s">
        <v>3262</v>
      </c>
      <c r="IE913" s="3262" t="s">
        <v>3262</v>
      </c>
      <c r="IF913" s="3262" t="s">
        <v>3262</v>
      </c>
      <c r="IG913" s="3262" t="s">
        <v>3262</v>
      </c>
      <c r="IH913" s="3262" t="s">
        <v>3262</v>
      </c>
      <c r="II913" s="3262" t="s">
        <v>3262</v>
      </c>
      <c r="IJ913" s="3262" t="s">
        <v>3262</v>
      </c>
      <c r="IK913" s="3262" t="s">
        <v>3262</v>
      </c>
    </row>
    <row r="914" spans="1:245" hidden="1">
      <c r="A914" s="3267" t="s">
        <v>9368</v>
      </c>
      <c r="B914" s="3267" t="s">
        <v>9369</v>
      </c>
      <c r="C914" s="3269" t="s">
        <v>9370</v>
      </c>
      <c r="D914" s="3269" t="s">
        <v>9371</v>
      </c>
      <c r="E914" s="3268" t="s">
        <v>2985</v>
      </c>
      <c r="F914" s="3268" t="s">
        <v>3484</v>
      </c>
      <c r="G914" s="3267"/>
      <c r="H914" s="3267" t="s">
        <v>9372</v>
      </c>
      <c r="I914" s="3268"/>
      <c r="J914" s="3268" t="s">
        <v>9373</v>
      </c>
      <c r="K914" s="3267" t="s">
        <v>9374</v>
      </c>
      <c r="L914" s="3267">
        <v>63.36</v>
      </c>
      <c r="M914" s="3267">
        <v>15</v>
      </c>
      <c r="N914" s="3267" t="s">
        <v>3122</v>
      </c>
      <c r="O914" s="3267"/>
      <c r="P914" s="3267" t="s">
        <v>2963</v>
      </c>
      <c r="Q914" s="3271">
        <v>510000</v>
      </c>
      <c r="R914" s="3267">
        <v>8049</v>
      </c>
      <c r="S914" s="3272">
        <v>46.7</v>
      </c>
      <c r="T914" s="3273">
        <v>467000</v>
      </c>
      <c r="U914" s="3267">
        <v>7372</v>
      </c>
      <c r="V914" s="3289">
        <v>0.2</v>
      </c>
      <c r="W914" s="3272">
        <v>37.36</v>
      </c>
      <c r="X914" s="3275">
        <v>373600</v>
      </c>
      <c r="Y914" s="3276">
        <v>2006</v>
      </c>
      <c r="Z914" s="3276">
        <v>12</v>
      </c>
      <c r="AA914" s="3276">
        <v>1</v>
      </c>
      <c r="AB914" s="3267">
        <v>1400</v>
      </c>
      <c r="AC914" s="3267" t="s">
        <v>2980</v>
      </c>
      <c r="AD914" s="3366">
        <v>91302006111705</v>
      </c>
      <c r="AE914" s="3279" t="s">
        <v>2991</v>
      </c>
      <c r="AF914" s="3268"/>
      <c r="AG914" s="3279" t="s">
        <v>2967</v>
      </c>
      <c r="AH914" s="3267"/>
      <c r="AI914" s="3279" t="s">
        <v>2992</v>
      </c>
      <c r="AJ914" s="3284"/>
      <c r="AK914" s="3278" t="s">
        <v>3120</v>
      </c>
      <c r="AL914" s="3276">
        <v>50</v>
      </c>
      <c r="AM914" s="3276"/>
      <c r="AN914" s="3279" t="s">
        <v>3131</v>
      </c>
      <c r="AO914" s="3267"/>
      <c r="AP914" s="3279" t="s">
        <v>2991</v>
      </c>
      <c r="AQ914" s="3276" t="s">
        <v>2996</v>
      </c>
      <c r="AR914" s="3276"/>
      <c r="AS914" s="3276"/>
      <c r="AT914" s="3276"/>
      <c r="AU914" s="3276"/>
      <c r="AV914" s="3276"/>
      <c r="AW914" s="3276" t="s">
        <v>2997</v>
      </c>
      <c r="AX914" s="3276"/>
      <c r="AY914" s="3291"/>
      <c r="AZ914" s="3267" t="s">
        <v>9374</v>
      </c>
      <c r="BA914" s="3296"/>
      <c r="BB914" s="3297"/>
      <c r="BC914" s="3296"/>
      <c r="BD914" s="3298"/>
      <c r="BE914" s="3276"/>
      <c r="BF914" s="3281"/>
      <c r="BG914" s="3293">
        <v>39041</v>
      </c>
      <c r="BH914" s="3267"/>
      <c r="BI914" s="3279" t="s">
        <v>2991</v>
      </c>
      <c r="BJ914" s="3299">
        <v>39050</v>
      </c>
      <c r="BK914" s="3283" t="s">
        <v>2968</v>
      </c>
      <c r="BL914" s="3267" t="s">
        <v>2998</v>
      </c>
      <c r="BM914" s="3276" t="s">
        <v>2879</v>
      </c>
      <c r="BN914" s="3276" t="s">
        <v>2999</v>
      </c>
      <c r="BO914" s="3276" t="s">
        <v>3146</v>
      </c>
      <c r="BP914" s="3276"/>
      <c r="BQ914" s="3276" t="e">
        <v>#DIV/0!</v>
      </c>
      <c r="BR914" s="3276" t="e">
        <v>#DIV/0!</v>
      </c>
      <c r="BS914" s="3285"/>
      <c r="BT914" s="3285"/>
      <c r="BU914" s="3285"/>
      <c r="BW914" s="3262" t="s">
        <v>3262</v>
      </c>
      <c r="BX914" s="3262" t="s">
        <v>3262</v>
      </c>
      <c r="BY914" s="3262" t="s">
        <v>3262</v>
      </c>
      <c r="BZ914" s="3262" t="s">
        <v>3262</v>
      </c>
      <c r="CA914" s="3262" t="s">
        <v>3262</v>
      </c>
      <c r="CB914" s="3262" t="s">
        <v>3262</v>
      </c>
      <c r="CC914" s="3262" t="s">
        <v>3262</v>
      </c>
      <c r="CD914" s="3262" t="s">
        <v>3262</v>
      </c>
      <c r="CE914" s="3262" t="s">
        <v>3262</v>
      </c>
      <c r="CF914" s="3262" t="s">
        <v>3262</v>
      </c>
      <c r="CG914" s="3262" t="s">
        <v>3262</v>
      </c>
      <c r="CH914" s="3262" t="s">
        <v>3262</v>
      </c>
      <c r="CI914" s="3262" t="s">
        <v>3262</v>
      </c>
      <c r="CJ914" s="3262" t="s">
        <v>3262</v>
      </c>
      <c r="CK914" s="3262" t="s">
        <v>3262</v>
      </c>
      <c r="CL914" s="3262" t="s">
        <v>3262</v>
      </c>
      <c r="CM914" s="3262" t="s">
        <v>3262</v>
      </c>
      <c r="CN914" s="3262" t="s">
        <v>3262</v>
      </c>
      <c r="CO914" s="3262" t="s">
        <v>3262</v>
      </c>
      <c r="CP914" s="3262" t="s">
        <v>3262</v>
      </c>
      <c r="CQ914" s="3262" t="s">
        <v>3262</v>
      </c>
      <c r="CR914" s="3262" t="s">
        <v>3262</v>
      </c>
      <c r="CS914" s="3262" t="s">
        <v>3262</v>
      </c>
      <c r="CT914" s="3262" t="s">
        <v>3262</v>
      </c>
      <c r="CU914" s="3262" t="s">
        <v>3262</v>
      </c>
      <c r="CV914" s="3262" t="s">
        <v>3262</v>
      </c>
      <c r="CW914" s="3262" t="s">
        <v>3262</v>
      </c>
      <c r="CX914" s="3262" t="s">
        <v>3262</v>
      </c>
      <c r="CY914" s="3262" t="s">
        <v>3262</v>
      </c>
      <c r="CZ914" s="3262" t="s">
        <v>3262</v>
      </c>
      <c r="DA914" s="3262" t="s">
        <v>3262</v>
      </c>
      <c r="DB914" s="3262" t="s">
        <v>3262</v>
      </c>
      <c r="DC914" s="3262" t="s">
        <v>3262</v>
      </c>
      <c r="DD914" s="3262" t="s">
        <v>3262</v>
      </c>
      <c r="DE914" s="3262" t="s">
        <v>3262</v>
      </c>
      <c r="DF914" s="3262" t="s">
        <v>3262</v>
      </c>
      <c r="DG914" s="3262" t="s">
        <v>3262</v>
      </c>
      <c r="DH914" s="3262" t="s">
        <v>3262</v>
      </c>
      <c r="DI914" s="3262" t="s">
        <v>3262</v>
      </c>
      <c r="DJ914" s="3262" t="s">
        <v>3262</v>
      </c>
      <c r="DK914" s="3262" t="s">
        <v>3262</v>
      </c>
      <c r="DL914" s="3262" t="s">
        <v>3262</v>
      </c>
      <c r="DM914" s="3262" t="s">
        <v>3262</v>
      </c>
      <c r="DN914" s="3262" t="s">
        <v>3262</v>
      </c>
      <c r="DO914" s="3262" t="s">
        <v>3262</v>
      </c>
      <c r="DP914" s="3262" t="s">
        <v>3262</v>
      </c>
      <c r="DQ914" s="3262" t="s">
        <v>3262</v>
      </c>
      <c r="DR914" s="3262" t="s">
        <v>3262</v>
      </c>
      <c r="DS914" s="3262" t="s">
        <v>3262</v>
      </c>
      <c r="DT914" s="3262" t="s">
        <v>3262</v>
      </c>
      <c r="DU914" s="3262" t="s">
        <v>3262</v>
      </c>
      <c r="DV914" s="3262" t="s">
        <v>3262</v>
      </c>
      <c r="DW914" s="3262" t="s">
        <v>3262</v>
      </c>
      <c r="DX914" s="3262" t="s">
        <v>3262</v>
      </c>
      <c r="DY914" s="3262" t="s">
        <v>3262</v>
      </c>
      <c r="DZ914" s="3262" t="s">
        <v>3262</v>
      </c>
      <c r="EA914" s="3262" t="s">
        <v>3262</v>
      </c>
      <c r="EB914" s="3262" t="s">
        <v>3262</v>
      </c>
      <c r="EC914" s="3262" t="s">
        <v>3262</v>
      </c>
      <c r="ED914" s="3262" t="s">
        <v>3262</v>
      </c>
      <c r="EE914" s="3262" t="s">
        <v>3262</v>
      </c>
      <c r="EF914" s="3262" t="s">
        <v>3262</v>
      </c>
      <c r="EG914" s="3262" t="s">
        <v>3262</v>
      </c>
      <c r="EH914" s="3262" t="s">
        <v>3262</v>
      </c>
      <c r="EI914" s="3262" t="s">
        <v>3262</v>
      </c>
      <c r="EJ914" s="3262" t="s">
        <v>3262</v>
      </c>
      <c r="EK914" s="3262" t="s">
        <v>3262</v>
      </c>
      <c r="EL914" s="3262" t="s">
        <v>3262</v>
      </c>
      <c r="EM914" s="3262" t="s">
        <v>3262</v>
      </c>
      <c r="EN914" s="3262" t="s">
        <v>3262</v>
      </c>
      <c r="EO914" s="3262" t="s">
        <v>3262</v>
      </c>
      <c r="EP914" s="3262" t="s">
        <v>3262</v>
      </c>
      <c r="EQ914" s="3262" t="s">
        <v>3262</v>
      </c>
      <c r="ER914" s="3262" t="s">
        <v>3262</v>
      </c>
      <c r="ES914" s="3262" t="s">
        <v>3262</v>
      </c>
      <c r="ET914" s="3262" t="s">
        <v>3262</v>
      </c>
      <c r="EU914" s="3262" t="s">
        <v>3262</v>
      </c>
      <c r="EV914" s="3262" t="s">
        <v>3262</v>
      </c>
      <c r="EW914" s="3262" t="s">
        <v>3262</v>
      </c>
      <c r="EX914" s="3262" t="s">
        <v>3262</v>
      </c>
      <c r="EY914" s="3262" t="s">
        <v>3262</v>
      </c>
      <c r="EZ914" s="3262" t="s">
        <v>3262</v>
      </c>
      <c r="FA914" s="3262" t="s">
        <v>3262</v>
      </c>
      <c r="FB914" s="3262" t="s">
        <v>3262</v>
      </c>
      <c r="FC914" s="3262" t="s">
        <v>3262</v>
      </c>
      <c r="FD914" s="3262" t="s">
        <v>3262</v>
      </c>
      <c r="FE914" s="3262" t="s">
        <v>3262</v>
      </c>
      <c r="FF914" s="3262" t="s">
        <v>3262</v>
      </c>
      <c r="FG914" s="3262" t="s">
        <v>3262</v>
      </c>
      <c r="FH914" s="3262" t="s">
        <v>3262</v>
      </c>
      <c r="FI914" s="3262" t="s">
        <v>3262</v>
      </c>
      <c r="FJ914" s="3262" t="s">
        <v>3262</v>
      </c>
      <c r="FK914" s="3262" t="s">
        <v>3262</v>
      </c>
      <c r="FL914" s="3262" t="s">
        <v>3262</v>
      </c>
      <c r="FM914" s="3262" t="s">
        <v>3262</v>
      </c>
      <c r="FN914" s="3262" t="s">
        <v>3262</v>
      </c>
      <c r="FO914" s="3262" t="s">
        <v>3262</v>
      </c>
      <c r="FP914" s="3262" t="s">
        <v>3262</v>
      </c>
      <c r="FQ914" s="3262" t="s">
        <v>3262</v>
      </c>
      <c r="FR914" s="3262" t="s">
        <v>3262</v>
      </c>
      <c r="FS914" s="3262" t="s">
        <v>3262</v>
      </c>
      <c r="FT914" s="3262" t="s">
        <v>3262</v>
      </c>
      <c r="FU914" s="3262" t="s">
        <v>3262</v>
      </c>
      <c r="FV914" s="3262" t="s">
        <v>3262</v>
      </c>
      <c r="FW914" s="3262" t="s">
        <v>3262</v>
      </c>
      <c r="FX914" s="3262" t="s">
        <v>3262</v>
      </c>
      <c r="FY914" s="3262" t="s">
        <v>3262</v>
      </c>
      <c r="FZ914" s="3262" t="s">
        <v>3262</v>
      </c>
      <c r="GA914" s="3262" t="s">
        <v>3262</v>
      </c>
      <c r="GB914" s="3262" t="s">
        <v>3262</v>
      </c>
      <c r="GC914" s="3262" t="s">
        <v>3262</v>
      </c>
      <c r="GD914" s="3262" t="s">
        <v>3262</v>
      </c>
      <c r="GE914" s="3262" t="s">
        <v>3262</v>
      </c>
      <c r="GF914" s="3262" t="s">
        <v>3262</v>
      </c>
      <c r="GG914" s="3262" t="s">
        <v>3262</v>
      </c>
      <c r="GH914" s="3262" t="s">
        <v>3262</v>
      </c>
      <c r="GI914" s="3262" t="s">
        <v>3262</v>
      </c>
      <c r="GJ914" s="3262" t="s">
        <v>3262</v>
      </c>
      <c r="GK914" s="3262" t="s">
        <v>3262</v>
      </c>
      <c r="GL914" s="3262" t="s">
        <v>3262</v>
      </c>
      <c r="GM914" s="3262" t="s">
        <v>3262</v>
      </c>
      <c r="GN914" s="3262" t="s">
        <v>3262</v>
      </c>
      <c r="GO914" s="3262" t="s">
        <v>3262</v>
      </c>
      <c r="GP914" s="3262" t="s">
        <v>3262</v>
      </c>
      <c r="GQ914" s="3262" t="s">
        <v>3262</v>
      </c>
      <c r="GR914" s="3262" t="s">
        <v>3262</v>
      </c>
      <c r="GS914" s="3262" t="s">
        <v>3262</v>
      </c>
      <c r="GT914" s="3262" t="s">
        <v>3262</v>
      </c>
      <c r="GU914" s="3262" t="s">
        <v>3262</v>
      </c>
      <c r="GV914" s="3262" t="s">
        <v>3262</v>
      </c>
      <c r="GW914" s="3262" t="s">
        <v>3262</v>
      </c>
      <c r="GX914" s="3262" t="s">
        <v>3262</v>
      </c>
      <c r="GY914" s="3262" t="s">
        <v>3262</v>
      </c>
      <c r="GZ914" s="3262" t="s">
        <v>3262</v>
      </c>
      <c r="HA914" s="3262" t="s">
        <v>3262</v>
      </c>
      <c r="HB914" s="3262" t="s">
        <v>3262</v>
      </c>
      <c r="HC914" s="3262" t="s">
        <v>3262</v>
      </c>
      <c r="HD914" s="3262" t="s">
        <v>3262</v>
      </c>
      <c r="HE914" s="3262" t="s">
        <v>3262</v>
      </c>
      <c r="HF914" s="3262" t="s">
        <v>3262</v>
      </c>
      <c r="HG914" s="3262" t="s">
        <v>3262</v>
      </c>
      <c r="HH914" s="3262" t="s">
        <v>3262</v>
      </c>
      <c r="HI914" s="3262" t="s">
        <v>3262</v>
      </c>
      <c r="HJ914" s="3262" t="s">
        <v>3262</v>
      </c>
      <c r="HK914" s="3262" t="s">
        <v>3262</v>
      </c>
      <c r="HL914" s="3262" t="s">
        <v>3262</v>
      </c>
      <c r="HM914" s="3262" t="s">
        <v>3262</v>
      </c>
      <c r="HN914" s="3262" t="s">
        <v>3262</v>
      </c>
      <c r="HO914" s="3262" t="s">
        <v>3262</v>
      </c>
      <c r="HP914" s="3262" t="s">
        <v>3262</v>
      </c>
      <c r="HQ914" s="3262" t="s">
        <v>3262</v>
      </c>
      <c r="HR914" s="3262" t="s">
        <v>3262</v>
      </c>
      <c r="HS914" s="3262" t="s">
        <v>3262</v>
      </c>
      <c r="HT914" s="3262" t="s">
        <v>3262</v>
      </c>
      <c r="HU914" s="3262" t="s">
        <v>3262</v>
      </c>
      <c r="HV914" s="3262" t="s">
        <v>3262</v>
      </c>
      <c r="HW914" s="3262" t="s">
        <v>3262</v>
      </c>
      <c r="HX914" s="3262" t="s">
        <v>3262</v>
      </c>
      <c r="HY914" s="3262" t="s">
        <v>3262</v>
      </c>
      <c r="HZ914" s="3262" t="s">
        <v>3262</v>
      </c>
      <c r="IA914" s="3262" t="s">
        <v>3262</v>
      </c>
      <c r="IB914" s="3262" t="s">
        <v>3262</v>
      </c>
      <c r="IC914" s="3262" t="s">
        <v>3262</v>
      </c>
      <c r="ID914" s="3262" t="s">
        <v>3262</v>
      </c>
      <c r="IE914" s="3262" t="s">
        <v>3262</v>
      </c>
      <c r="IF914" s="3262" t="s">
        <v>3262</v>
      </c>
      <c r="IG914" s="3262" t="s">
        <v>3262</v>
      </c>
      <c r="IH914" s="3262" t="s">
        <v>3262</v>
      </c>
      <c r="II914" s="3262" t="s">
        <v>3262</v>
      </c>
      <c r="IJ914" s="3262" t="s">
        <v>3262</v>
      </c>
      <c r="IK914" s="3262" t="s">
        <v>3262</v>
      </c>
    </row>
    <row r="915" spans="1:245" hidden="1">
      <c r="A915" s="3267" t="s">
        <v>9375</v>
      </c>
      <c r="B915" s="3267" t="s">
        <v>9376</v>
      </c>
      <c r="C915" s="3269" t="s">
        <v>9377</v>
      </c>
      <c r="D915" s="3269" t="s">
        <v>9378</v>
      </c>
      <c r="E915" s="3268" t="s">
        <v>2985</v>
      </c>
      <c r="F915" s="3268" t="s">
        <v>5774</v>
      </c>
      <c r="G915" s="3267"/>
      <c r="H915" s="3267" t="s">
        <v>3182</v>
      </c>
      <c r="I915" s="3268" t="s">
        <v>3586</v>
      </c>
      <c r="J915" s="3267" t="s">
        <v>3437</v>
      </c>
      <c r="K915" s="3267" t="s">
        <v>9379</v>
      </c>
      <c r="L915" s="3267">
        <v>118</v>
      </c>
      <c r="M915" s="3267">
        <v>4</v>
      </c>
      <c r="N915" s="3267" t="s">
        <v>3122</v>
      </c>
      <c r="O915" s="3267">
        <v>91.37</v>
      </c>
      <c r="P915" s="3267" t="s">
        <v>2963</v>
      </c>
      <c r="Q915" s="3271">
        <v>650000</v>
      </c>
      <c r="R915" s="3288">
        <v>5508</v>
      </c>
      <c r="S915" s="3272">
        <v>88.31</v>
      </c>
      <c r="T915" s="3273">
        <v>883100</v>
      </c>
      <c r="U915" s="3267">
        <v>7484</v>
      </c>
      <c r="V915" s="3289">
        <v>0.3</v>
      </c>
      <c r="W915" s="3272">
        <v>61.81</v>
      </c>
      <c r="X915" s="3273">
        <v>618100</v>
      </c>
      <c r="Y915" s="3267">
        <v>2006</v>
      </c>
      <c r="Z915" s="3276">
        <v>12</v>
      </c>
      <c r="AA915" s="3276">
        <v>7</v>
      </c>
      <c r="AB915" s="3267">
        <v>1500</v>
      </c>
      <c r="AC915" s="3267" t="s">
        <v>2980</v>
      </c>
      <c r="AD915" s="3280" t="s">
        <v>9380</v>
      </c>
      <c r="AE915" s="3279" t="s">
        <v>3344</v>
      </c>
      <c r="AF915" s="3268" t="s">
        <v>2966</v>
      </c>
      <c r="AG915" s="3279" t="s">
        <v>2967</v>
      </c>
      <c r="AH915" s="3267" t="s">
        <v>9381</v>
      </c>
      <c r="AI915" s="3279" t="s">
        <v>2992</v>
      </c>
      <c r="AJ915" s="3284"/>
      <c r="AK915" s="3278" t="s">
        <v>3120</v>
      </c>
      <c r="AL915" s="3276">
        <v>55</v>
      </c>
      <c r="AM915" s="3267"/>
      <c r="AN915" s="3279" t="s">
        <v>3140</v>
      </c>
      <c r="AO915" s="3267"/>
      <c r="AP915" s="3279" t="s">
        <v>3305</v>
      </c>
      <c r="AQ915" s="3267" t="s">
        <v>3228</v>
      </c>
      <c r="AR915" s="3276"/>
      <c r="AS915" s="3276"/>
      <c r="AT915" s="3276"/>
      <c r="AU915" s="3276"/>
      <c r="AV915" s="3276" t="s">
        <v>2968</v>
      </c>
      <c r="AW915" s="3276" t="s">
        <v>3171</v>
      </c>
      <c r="AX915" s="3276"/>
      <c r="AY915" s="3291"/>
      <c r="AZ915" s="3267" t="s">
        <v>9379</v>
      </c>
      <c r="BA915" s="3296"/>
      <c r="BB915" s="3297"/>
      <c r="BC915" s="3296"/>
      <c r="BD915" s="3298"/>
      <c r="BE915" s="3276">
        <v>13488867603</v>
      </c>
      <c r="BF915" s="3281" t="s">
        <v>2968</v>
      </c>
      <c r="BG915" s="3293">
        <v>39048</v>
      </c>
      <c r="BH915" s="3354" t="s">
        <v>2998</v>
      </c>
      <c r="BI915" s="3314" t="s">
        <v>3305</v>
      </c>
      <c r="BJ915" s="3283">
        <v>39050</v>
      </c>
      <c r="BK915" s="3283"/>
      <c r="BL915" s="3267" t="s">
        <v>3249</v>
      </c>
      <c r="BM915" s="3276" t="s">
        <v>2879</v>
      </c>
      <c r="BN915" s="3276" t="s">
        <v>2999</v>
      </c>
      <c r="BO915" s="3276" t="s">
        <v>3146</v>
      </c>
      <c r="BP915" s="3276"/>
      <c r="BQ915" s="3276">
        <v>9665</v>
      </c>
      <c r="BR915" s="3276">
        <v>7114</v>
      </c>
      <c r="BS915" s="3285"/>
      <c r="BT915" s="3285"/>
      <c r="BU915" s="3285"/>
    </row>
    <row r="916" spans="1:245" hidden="1">
      <c r="A916" s="3267" t="s">
        <v>9382</v>
      </c>
      <c r="B916" s="3267" t="s">
        <v>9383</v>
      </c>
      <c r="C916" s="3269" t="s">
        <v>9384</v>
      </c>
      <c r="D916" s="3267" t="s">
        <v>9385</v>
      </c>
      <c r="E916" s="3267" t="s">
        <v>2985</v>
      </c>
      <c r="F916" s="3267" t="s">
        <v>5117</v>
      </c>
      <c r="G916" s="3267"/>
      <c r="H916" s="3267" t="s">
        <v>3225</v>
      </c>
      <c r="I916" s="3267"/>
      <c r="J916" s="3267">
        <v>807</v>
      </c>
      <c r="K916" s="3268" t="s">
        <v>9386</v>
      </c>
      <c r="L916" s="3267">
        <v>65.09</v>
      </c>
      <c r="M916" s="3267">
        <v>8</v>
      </c>
      <c r="N916" s="3267" t="s">
        <v>3152</v>
      </c>
      <c r="O916" s="3267"/>
      <c r="P916" s="3267" t="s">
        <v>2963</v>
      </c>
      <c r="Q916" s="3267">
        <v>550000</v>
      </c>
      <c r="R916" s="3267">
        <v>8450</v>
      </c>
      <c r="S916" s="3272">
        <v>45.76</v>
      </c>
      <c r="T916" s="3273">
        <v>457600</v>
      </c>
      <c r="U916" s="3267">
        <v>7031</v>
      </c>
      <c r="V916" s="3274">
        <v>0.2</v>
      </c>
      <c r="W916" s="3272">
        <v>36.6</v>
      </c>
      <c r="X916" s="3275">
        <v>366000</v>
      </c>
      <c r="Y916" s="3267">
        <v>2006</v>
      </c>
      <c r="Z916" s="3267">
        <v>11</v>
      </c>
      <c r="AA916" s="3276">
        <v>30</v>
      </c>
      <c r="AB916" s="3267">
        <v>1370</v>
      </c>
      <c r="AC916" s="3267" t="s">
        <v>2980</v>
      </c>
      <c r="AD916" s="3269" t="s">
        <v>9387</v>
      </c>
      <c r="AE916" s="3267" t="s">
        <v>2979</v>
      </c>
      <c r="AF916" s="3267" t="s">
        <v>2966</v>
      </c>
      <c r="AG916" s="3267" t="s">
        <v>2967</v>
      </c>
      <c r="AH916" s="3267"/>
      <c r="AI916" s="3267" t="s">
        <v>2992</v>
      </c>
      <c r="AJ916" s="3284"/>
      <c r="AK916" s="3267" t="s">
        <v>3137</v>
      </c>
      <c r="AL916" s="3267">
        <v>58</v>
      </c>
      <c r="AM916" s="3267"/>
      <c r="AN916" s="3267" t="s">
        <v>3099</v>
      </c>
      <c r="AO916" s="3267" t="s">
        <v>2968</v>
      </c>
      <c r="AP916" s="3267" t="s">
        <v>2979</v>
      </c>
      <c r="AQ916" s="3276" t="s">
        <v>2996</v>
      </c>
      <c r="AR916" s="3267"/>
      <c r="AS916" s="3267"/>
      <c r="AT916" s="3267"/>
      <c r="AU916" s="3267"/>
      <c r="AV916" s="3267"/>
      <c r="AW916" s="3267" t="s">
        <v>3112</v>
      </c>
      <c r="AX916" s="3267"/>
      <c r="AY916" s="3269"/>
      <c r="AZ916" s="3276" t="s">
        <v>9386</v>
      </c>
      <c r="BA916" s="3267"/>
      <c r="BB916" s="3267"/>
      <c r="BC916" s="3267"/>
      <c r="BD916" s="3267"/>
      <c r="BE916" s="3267"/>
      <c r="BF916" s="3267"/>
      <c r="BG916" s="3307">
        <v>39042</v>
      </c>
      <c r="BH916" s="3267"/>
      <c r="BI916" s="3267" t="s">
        <v>2979</v>
      </c>
      <c r="BJ916" s="3283">
        <v>39050</v>
      </c>
      <c r="BK916" s="3283"/>
      <c r="BL916" s="3267" t="s">
        <v>2998</v>
      </c>
      <c r="BM916" s="3267" t="s">
        <v>2879</v>
      </c>
      <c r="BN916" s="3267" t="s">
        <v>2999</v>
      </c>
      <c r="BO916" s="3267" t="s">
        <v>3000</v>
      </c>
      <c r="BP916" s="3267"/>
      <c r="BQ916" s="3276" t="e">
        <v>#DIV/0!</v>
      </c>
      <c r="BR916" s="3276" t="e">
        <v>#DIV/0!</v>
      </c>
      <c r="BS916" s="3285"/>
      <c r="BT916" s="3285"/>
      <c r="BU916" s="3285"/>
    </row>
    <row r="917" spans="1:245" hidden="1">
      <c r="A917" s="3267" t="s">
        <v>9388</v>
      </c>
      <c r="B917" s="3267" t="s">
        <v>9389</v>
      </c>
      <c r="C917" s="3269" t="s">
        <v>9390</v>
      </c>
      <c r="D917" s="3269" t="s">
        <v>9391</v>
      </c>
      <c r="E917" s="3268" t="s">
        <v>2985</v>
      </c>
      <c r="F917" s="3268" t="s">
        <v>3533</v>
      </c>
      <c r="G917" s="3267"/>
      <c r="H917" s="3267" t="s">
        <v>3182</v>
      </c>
      <c r="I917" s="3268" t="s">
        <v>9392</v>
      </c>
      <c r="J917" s="3268" t="s">
        <v>9114</v>
      </c>
      <c r="K917" s="3267" t="s">
        <v>9393</v>
      </c>
      <c r="L917" s="3267">
        <v>61.28</v>
      </c>
      <c r="M917" s="3267">
        <v>6</v>
      </c>
      <c r="N917" s="3267" t="s">
        <v>3152</v>
      </c>
      <c r="O917" s="3267"/>
      <c r="P917" s="3267" t="s">
        <v>2963</v>
      </c>
      <c r="Q917" s="3271">
        <v>500000</v>
      </c>
      <c r="R917" s="3267">
        <v>8159</v>
      </c>
      <c r="S917" s="3272">
        <v>46.36</v>
      </c>
      <c r="T917" s="3273">
        <v>463600</v>
      </c>
      <c r="U917" s="3267">
        <v>7566</v>
      </c>
      <c r="V917" s="3289">
        <v>0.2</v>
      </c>
      <c r="W917" s="3272">
        <v>37.08</v>
      </c>
      <c r="X917" s="3275">
        <v>370800</v>
      </c>
      <c r="Y917" s="3276">
        <v>2006</v>
      </c>
      <c r="Z917" s="3276">
        <v>12</v>
      </c>
      <c r="AA917" s="3276">
        <v>19</v>
      </c>
      <c r="AB917" s="3267">
        <v>1390</v>
      </c>
      <c r="AC917" s="3267" t="s">
        <v>2980</v>
      </c>
      <c r="AD917" s="3366">
        <v>91302006111793</v>
      </c>
      <c r="AE917" s="3279" t="s">
        <v>2991</v>
      </c>
      <c r="AF917" s="3268"/>
      <c r="AG917" s="3279" t="s">
        <v>2967</v>
      </c>
      <c r="AH917" s="3267"/>
      <c r="AI917" s="3279" t="s">
        <v>2992</v>
      </c>
      <c r="AJ917" s="3284"/>
      <c r="AK917" s="3278" t="s">
        <v>3120</v>
      </c>
      <c r="AL917" s="3276">
        <v>58</v>
      </c>
      <c r="AM917" s="3276"/>
      <c r="AN917" s="3279" t="s">
        <v>2994</v>
      </c>
      <c r="AO917" s="3267"/>
      <c r="AP917" s="3279" t="s">
        <v>2991</v>
      </c>
      <c r="AQ917" s="3276" t="s">
        <v>3113</v>
      </c>
      <c r="AR917" s="3276">
        <v>2006</v>
      </c>
      <c r="AS917" s="3276">
        <v>12</v>
      </c>
      <c r="AT917" s="3276">
        <v>19</v>
      </c>
      <c r="AU917" s="3276"/>
      <c r="AV917" s="3276"/>
      <c r="AW917" s="3276" t="s">
        <v>2997</v>
      </c>
      <c r="AX917" s="3276"/>
      <c r="AY917" s="3291"/>
      <c r="AZ917" s="3267" t="s">
        <v>9393</v>
      </c>
      <c r="BA917" s="3296"/>
      <c r="BB917" s="3297"/>
      <c r="BC917" s="3296"/>
      <c r="BD917" s="3298"/>
      <c r="BE917" s="3276"/>
      <c r="BF917" s="3281"/>
      <c r="BG917" s="3293">
        <v>39043</v>
      </c>
      <c r="BH917" s="3267"/>
      <c r="BI917" s="3279" t="s">
        <v>2991</v>
      </c>
      <c r="BJ917" s="3299">
        <v>39051</v>
      </c>
      <c r="BK917" s="3283" t="s">
        <v>2968</v>
      </c>
      <c r="BL917" s="3267" t="s">
        <v>2998</v>
      </c>
      <c r="BM917" s="3276" t="s">
        <v>2879</v>
      </c>
      <c r="BN917" s="3276" t="s">
        <v>2999</v>
      </c>
      <c r="BO917" s="3276" t="s">
        <v>3146</v>
      </c>
      <c r="BP917" s="3276"/>
      <c r="BQ917" s="3276" t="e">
        <v>#DIV/0!</v>
      </c>
      <c r="BR917" s="3276" t="e">
        <v>#DIV/0!</v>
      </c>
      <c r="BS917" s="3285"/>
      <c r="BT917" s="3285"/>
      <c r="BU917" s="3285"/>
      <c r="BW917" s="3262" t="s">
        <v>3262</v>
      </c>
      <c r="BX917" s="3262" t="s">
        <v>3262</v>
      </c>
      <c r="BY917" s="3262" t="s">
        <v>3262</v>
      </c>
      <c r="BZ917" s="3262" t="s">
        <v>3262</v>
      </c>
      <c r="CA917" s="3262" t="s">
        <v>3262</v>
      </c>
      <c r="CB917" s="3262" t="s">
        <v>3262</v>
      </c>
      <c r="CC917" s="3262" t="s">
        <v>3262</v>
      </c>
      <c r="CD917" s="3262" t="s">
        <v>3262</v>
      </c>
      <c r="CE917" s="3262" t="s">
        <v>3262</v>
      </c>
      <c r="CF917" s="3262" t="s">
        <v>3262</v>
      </c>
      <c r="CG917" s="3262" t="s">
        <v>3262</v>
      </c>
      <c r="CH917" s="3262" t="s">
        <v>3262</v>
      </c>
      <c r="CI917" s="3262" t="s">
        <v>3262</v>
      </c>
      <c r="CJ917" s="3262" t="s">
        <v>3262</v>
      </c>
      <c r="CK917" s="3262" t="s">
        <v>3262</v>
      </c>
      <c r="CL917" s="3262" t="s">
        <v>3262</v>
      </c>
      <c r="CM917" s="3262" t="s">
        <v>3262</v>
      </c>
      <c r="CN917" s="3262" t="s">
        <v>3262</v>
      </c>
      <c r="CO917" s="3262" t="s">
        <v>3262</v>
      </c>
      <c r="CP917" s="3262" t="s">
        <v>3262</v>
      </c>
      <c r="CQ917" s="3262" t="s">
        <v>3262</v>
      </c>
      <c r="CR917" s="3262" t="s">
        <v>3262</v>
      </c>
      <c r="CS917" s="3262" t="s">
        <v>3262</v>
      </c>
      <c r="CT917" s="3262" t="s">
        <v>3262</v>
      </c>
      <c r="CU917" s="3262" t="s">
        <v>3262</v>
      </c>
      <c r="CV917" s="3262" t="s">
        <v>3262</v>
      </c>
      <c r="CW917" s="3262" t="s">
        <v>3262</v>
      </c>
      <c r="CX917" s="3262" t="s">
        <v>3262</v>
      </c>
      <c r="CY917" s="3262" t="s">
        <v>3262</v>
      </c>
      <c r="CZ917" s="3262" t="s">
        <v>3262</v>
      </c>
      <c r="DA917" s="3262" t="s">
        <v>3262</v>
      </c>
      <c r="DB917" s="3262" t="s">
        <v>3262</v>
      </c>
      <c r="DC917" s="3262" t="s">
        <v>3262</v>
      </c>
      <c r="DD917" s="3262" t="s">
        <v>3262</v>
      </c>
      <c r="DE917" s="3262" t="s">
        <v>3262</v>
      </c>
      <c r="DF917" s="3262" t="s">
        <v>3262</v>
      </c>
      <c r="DG917" s="3262" t="s">
        <v>3262</v>
      </c>
      <c r="DH917" s="3262" t="s">
        <v>3262</v>
      </c>
      <c r="DI917" s="3262" t="s">
        <v>3262</v>
      </c>
      <c r="DJ917" s="3262" t="s">
        <v>3262</v>
      </c>
      <c r="DK917" s="3262" t="s">
        <v>3262</v>
      </c>
      <c r="DL917" s="3262" t="s">
        <v>3262</v>
      </c>
      <c r="DM917" s="3262" t="s">
        <v>3262</v>
      </c>
      <c r="DN917" s="3262" t="s">
        <v>3262</v>
      </c>
      <c r="DO917" s="3262" t="s">
        <v>3262</v>
      </c>
      <c r="DP917" s="3262" t="s">
        <v>3262</v>
      </c>
      <c r="DQ917" s="3262" t="s">
        <v>3262</v>
      </c>
      <c r="DR917" s="3262" t="s">
        <v>3262</v>
      </c>
      <c r="DS917" s="3262" t="s">
        <v>3262</v>
      </c>
      <c r="DT917" s="3262" t="s">
        <v>3262</v>
      </c>
      <c r="DU917" s="3262" t="s">
        <v>3262</v>
      </c>
      <c r="DV917" s="3262" t="s">
        <v>3262</v>
      </c>
      <c r="DW917" s="3262" t="s">
        <v>3262</v>
      </c>
      <c r="DX917" s="3262" t="s">
        <v>3262</v>
      </c>
      <c r="DY917" s="3262" t="s">
        <v>3262</v>
      </c>
      <c r="DZ917" s="3262" t="s">
        <v>3262</v>
      </c>
      <c r="EA917" s="3262" t="s">
        <v>3262</v>
      </c>
      <c r="EB917" s="3262" t="s">
        <v>3262</v>
      </c>
      <c r="EC917" s="3262" t="s">
        <v>3262</v>
      </c>
      <c r="ED917" s="3262" t="s">
        <v>3262</v>
      </c>
      <c r="EE917" s="3262" t="s">
        <v>3262</v>
      </c>
      <c r="EF917" s="3262" t="s">
        <v>3262</v>
      </c>
      <c r="EG917" s="3262" t="s">
        <v>3262</v>
      </c>
      <c r="EH917" s="3262" t="s">
        <v>3262</v>
      </c>
      <c r="EI917" s="3262" t="s">
        <v>3262</v>
      </c>
      <c r="EJ917" s="3262" t="s">
        <v>3262</v>
      </c>
      <c r="EK917" s="3262" t="s">
        <v>3262</v>
      </c>
      <c r="EL917" s="3262" t="s">
        <v>3262</v>
      </c>
      <c r="EM917" s="3262" t="s">
        <v>3262</v>
      </c>
      <c r="EN917" s="3262" t="s">
        <v>3262</v>
      </c>
      <c r="EO917" s="3262" t="s">
        <v>3262</v>
      </c>
      <c r="EP917" s="3262" t="s">
        <v>3262</v>
      </c>
      <c r="EQ917" s="3262" t="s">
        <v>3262</v>
      </c>
      <c r="ER917" s="3262" t="s">
        <v>3262</v>
      </c>
      <c r="ES917" s="3262" t="s">
        <v>3262</v>
      </c>
      <c r="ET917" s="3262" t="s">
        <v>3262</v>
      </c>
      <c r="EU917" s="3262" t="s">
        <v>3262</v>
      </c>
      <c r="EV917" s="3262" t="s">
        <v>3262</v>
      </c>
      <c r="EW917" s="3262" t="s">
        <v>3262</v>
      </c>
      <c r="EX917" s="3262" t="s">
        <v>3262</v>
      </c>
      <c r="EY917" s="3262" t="s">
        <v>3262</v>
      </c>
      <c r="EZ917" s="3262" t="s">
        <v>3262</v>
      </c>
      <c r="FA917" s="3262" t="s">
        <v>3262</v>
      </c>
      <c r="FB917" s="3262" t="s">
        <v>3262</v>
      </c>
      <c r="FC917" s="3262" t="s">
        <v>3262</v>
      </c>
      <c r="FD917" s="3262" t="s">
        <v>3262</v>
      </c>
      <c r="FE917" s="3262" t="s">
        <v>3262</v>
      </c>
      <c r="FF917" s="3262" t="s">
        <v>3262</v>
      </c>
      <c r="FG917" s="3262" t="s">
        <v>3262</v>
      </c>
      <c r="FH917" s="3262" t="s">
        <v>3262</v>
      </c>
      <c r="FI917" s="3262" t="s">
        <v>3262</v>
      </c>
      <c r="FJ917" s="3262" t="s">
        <v>3262</v>
      </c>
      <c r="FK917" s="3262" t="s">
        <v>3262</v>
      </c>
      <c r="FL917" s="3262" t="s">
        <v>3262</v>
      </c>
      <c r="FM917" s="3262" t="s">
        <v>3262</v>
      </c>
      <c r="FN917" s="3262" t="s">
        <v>3262</v>
      </c>
      <c r="FO917" s="3262" t="s">
        <v>3262</v>
      </c>
      <c r="FP917" s="3262" t="s">
        <v>3262</v>
      </c>
      <c r="FQ917" s="3262" t="s">
        <v>3262</v>
      </c>
      <c r="FR917" s="3262" t="s">
        <v>3262</v>
      </c>
      <c r="FS917" s="3262" t="s">
        <v>3262</v>
      </c>
      <c r="FT917" s="3262" t="s">
        <v>3262</v>
      </c>
      <c r="FU917" s="3262" t="s">
        <v>3262</v>
      </c>
      <c r="FV917" s="3262" t="s">
        <v>3262</v>
      </c>
      <c r="FW917" s="3262" t="s">
        <v>3262</v>
      </c>
      <c r="FX917" s="3262" t="s">
        <v>3262</v>
      </c>
      <c r="FY917" s="3262" t="s">
        <v>3262</v>
      </c>
      <c r="FZ917" s="3262" t="s">
        <v>3262</v>
      </c>
      <c r="GA917" s="3262" t="s">
        <v>3262</v>
      </c>
      <c r="GB917" s="3262" t="s">
        <v>3262</v>
      </c>
      <c r="GC917" s="3262" t="s">
        <v>3262</v>
      </c>
      <c r="GD917" s="3262" t="s">
        <v>3262</v>
      </c>
      <c r="GE917" s="3262" t="s">
        <v>3262</v>
      </c>
      <c r="GF917" s="3262" t="s">
        <v>3262</v>
      </c>
      <c r="GG917" s="3262" t="s">
        <v>3262</v>
      </c>
      <c r="GH917" s="3262" t="s">
        <v>3262</v>
      </c>
      <c r="GI917" s="3262" t="s">
        <v>3262</v>
      </c>
      <c r="GJ917" s="3262" t="s">
        <v>3262</v>
      </c>
      <c r="GK917" s="3262" t="s">
        <v>3262</v>
      </c>
      <c r="GL917" s="3262" t="s">
        <v>3262</v>
      </c>
      <c r="GM917" s="3262" t="s">
        <v>3262</v>
      </c>
      <c r="GN917" s="3262" t="s">
        <v>3262</v>
      </c>
      <c r="GO917" s="3262" t="s">
        <v>3262</v>
      </c>
      <c r="GP917" s="3262" t="s">
        <v>3262</v>
      </c>
      <c r="GQ917" s="3262" t="s">
        <v>3262</v>
      </c>
      <c r="GR917" s="3262" t="s">
        <v>3262</v>
      </c>
      <c r="GS917" s="3262" t="s">
        <v>3262</v>
      </c>
      <c r="GT917" s="3262" t="s">
        <v>3262</v>
      </c>
      <c r="GU917" s="3262" t="s">
        <v>3262</v>
      </c>
      <c r="GV917" s="3262" t="s">
        <v>3262</v>
      </c>
      <c r="GW917" s="3262" t="s">
        <v>3262</v>
      </c>
      <c r="GX917" s="3262" t="s">
        <v>3262</v>
      </c>
      <c r="GY917" s="3262" t="s">
        <v>3262</v>
      </c>
      <c r="GZ917" s="3262" t="s">
        <v>3262</v>
      </c>
      <c r="HA917" s="3262" t="s">
        <v>3262</v>
      </c>
      <c r="HB917" s="3262" t="s">
        <v>3262</v>
      </c>
      <c r="HC917" s="3262" t="s">
        <v>3262</v>
      </c>
      <c r="HD917" s="3262" t="s">
        <v>3262</v>
      </c>
      <c r="HE917" s="3262" t="s">
        <v>3262</v>
      </c>
      <c r="HF917" s="3262" t="s">
        <v>3262</v>
      </c>
      <c r="HG917" s="3262" t="s">
        <v>3262</v>
      </c>
      <c r="HH917" s="3262" t="s">
        <v>3262</v>
      </c>
      <c r="HI917" s="3262" t="s">
        <v>3262</v>
      </c>
      <c r="HJ917" s="3262" t="s">
        <v>3262</v>
      </c>
      <c r="HK917" s="3262" t="s">
        <v>3262</v>
      </c>
      <c r="HL917" s="3262" t="s">
        <v>3262</v>
      </c>
      <c r="HM917" s="3262" t="s">
        <v>3262</v>
      </c>
      <c r="HN917" s="3262" t="s">
        <v>3262</v>
      </c>
      <c r="HO917" s="3262" t="s">
        <v>3262</v>
      </c>
      <c r="HP917" s="3262" t="s">
        <v>3262</v>
      </c>
      <c r="HQ917" s="3262" t="s">
        <v>3262</v>
      </c>
      <c r="HR917" s="3262" t="s">
        <v>3262</v>
      </c>
      <c r="HS917" s="3262" t="s">
        <v>3262</v>
      </c>
      <c r="HT917" s="3262" t="s">
        <v>3262</v>
      </c>
      <c r="HU917" s="3262" t="s">
        <v>3262</v>
      </c>
      <c r="HV917" s="3262" t="s">
        <v>3262</v>
      </c>
      <c r="HW917" s="3262" t="s">
        <v>3262</v>
      </c>
      <c r="HX917" s="3262" t="s">
        <v>3262</v>
      </c>
      <c r="HY917" s="3262" t="s">
        <v>3262</v>
      </c>
      <c r="HZ917" s="3262" t="s">
        <v>3262</v>
      </c>
      <c r="IA917" s="3262" t="s">
        <v>3262</v>
      </c>
      <c r="IB917" s="3262" t="s">
        <v>3262</v>
      </c>
      <c r="IC917" s="3262" t="s">
        <v>3262</v>
      </c>
      <c r="ID917" s="3262" t="s">
        <v>3262</v>
      </c>
      <c r="IE917" s="3262" t="s">
        <v>3262</v>
      </c>
      <c r="IF917" s="3262" t="s">
        <v>3262</v>
      </c>
      <c r="IG917" s="3262" t="s">
        <v>3262</v>
      </c>
      <c r="IH917" s="3262" t="s">
        <v>3262</v>
      </c>
      <c r="II917" s="3262" t="s">
        <v>3262</v>
      </c>
      <c r="IJ917" s="3262" t="s">
        <v>3262</v>
      </c>
      <c r="IK917" s="3262" t="s">
        <v>3262</v>
      </c>
    </row>
    <row r="918" spans="1:245" hidden="1">
      <c r="A918" s="3267" t="s">
        <v>9394</v>
      </c>
      <c r="B918" s="3267" t="s">
        <v>9395</v>
      </c>
      <c r="C918" s="3269" t="s">
        <v>9396</v>
      </c>
      <c r="D918" s="3269" t="s">
        <v>9397</v>
      </c>
      <c r="E918" s="3268" t="s">
        <v>2985</v>
      </c>
      <c r="F918" s="3268" t="s">
        <v>9398</v>
      </c>
      <c r="G918" s="3267"/>
      <c r="H918" s="3267" t="s">
        <v>3182</v>
      </c>
      <c r="I918" s="3268" t="s">
        <v>3318</v>
      </c>
      <c r="J918" s="3267" t="s">
        <v>3380</v>
      </c>
      <c r="K918" s="3267" t="s">
        <v>9399</v>
      </c>
      <c r="L918" s="3267">
        <v>52.48</v>
      </c>
      <c r="M918" s="3267">
        <v>3</v>
      </c>
      <c r="N918" s="3267" t="s">
        <v>3122</v>
      </c>
      <c r="O918" s="3267"/>
      <c r="P918" s="3267" t="s">
        <v>2963</v>
      </c>
      <c r="Q918" s="3271">
        <v>262400</v>
      </c>
      <c r="R918" s="3267">
        <v>5000</v>
      </c>
      <c r="S918" s="3272">
        <v>26.06</v>
      </c>
      <c r="T918" s="3273">
        <v>260600</v>
      </c>
      <c r="U918" s="3267">
        <v>4966</v>
      </c>
      <c r="V918" s="3289">
        <v>0.2</v>
      </c>
      <c r="W918" s="3272">
        <v>20.84</v>
      </c>
      <c r="X918" s="3275">
        <v>208400</v>
      </c>
      <c r="Y918" s="3276">
        <v>2006</v>
      </c>
      <c r="Z918" s="3276">
        <v>12</v>
      </c>
      <c r="AA918" s="3276">
        <v>22</v>
      </c>
      <c r="AB918" s="3267">
        <v>780</v>
      </c>
      <c r="AC918" s="3267" t="s">
        <v>2980</v>
      </c>
      <c r="AD918" s="3269" t="s">
        <v>9400</v>
      </c>
      <c r="AE918" s="3279" t="s">
        <v>3180</v>
      </c>
      <c r="AF918" s="3267" t="s">
        <v>2966</v>
      </c>
      <c r="AG918" s="3279" t="s">
        <v>2967</v>
      </c>
      <c r="AH918" s="3267" t="s">
        <v>2968</v>
      </c>
      <c r="AI918" s="3279" t="s">
        <v>2992</v>
      </c>
      <c r="AJ918" s="3284" t="s">
        <v>2968</v>
      </c>
      <c r="AK918" s="3278" t="s">
        <v>3120</v>
      </c>
      <c r="AL918" s="3276">
        <v>24</v>
      </c>
      <c r="AM918" s="3276"/>
      <c r="AN918" s="3279" t="s">
        <v>2994</v>
      </c>
      <c r="AO918" s="3267"/>
      <c r="AP918" s="3279" t="s">
        <v>3305</v>
      </c>
      <c r="AQ918" s="3276" t="s">
        <v>3113</v>
      </c>
      <c r="AR918" s="3276"/>
      <c r="AS918" s="3276"/>
      <c r="AT918" s="3276"/>
      <c r="AU918" s="3276"/>
      <c r="AV918" s="3276" t="s">
        <v>2968</v>
      </c>
      <c r="AW918" s="3276" t="s">
        <v>2997</v>
      </c>
      <c r="AX918" s="3276"/>
      <c r="AY918" s="3291"/>
      <c r="AZ918" s="3267" t="s">
        <v>9399</v>
      </c>
      <c r="BA918" s="3296"/>
      <c r="BB918" s="3297"/>
      <c r="BC918" s="3296"/>
      <c r="BD918" s="3298"/>
      <c r="BE918" s="3276"/>
      <c r="BF918" s="3281"/>
      <c r="BG918" s="3293">
        <v>39051</v>
      </c>
      <c r="BH918" s="3267" t="s">
        <v>2998</v>
      </c>
      <c r="BI918" s="3314" t="s">
        <v>3305</v>
      </c>
      <c r="BJ918" s="3283">
        <v>39051</v>
      </c>
      <c r="BK918" s="3283"/>
      <c r="BL918" s="3267" t="s">
        <v>3249</v>
      </c>
      <c r="BM918" s="3276" t="s">
        <v>2879</v>
      </c>
      <c r="BN918" s="3276" t="s">
        <v>2999</v>
      </c>
      <c r="BO918" s="3276" t="s">
        <v>3146</v>
      </c>
      <c r="BP918" s="3276"/>
      <c r="BQ918" s="3276" t="e">
        <v>#DIV/0!</v>
      </c>
      <c r="BR918" s="3276" t="e">
        <v>#DIV/0!</v>
      </c>
      <c r="BS918" s="3285"/>
      <c r="BT918" s="3285"/>
      <c r="BU918" s="3285"/>
    </row>
    <row r="919" spans="1:245" hidden="1">
      <c r="A919" s="3267" t="s">
        <v>9401</v>
      </c>
      <c r="B919" s="3267" t="s">
        <v>9402</v>
      </c>
      <c r="C919" s="3269" t="s">
        <v>9403</v>
      </c>
      <c r="D919" s="3267">
        <v>13661161831</v>
      </c>
      <c r="E919" s="3267" t="s">
        <v>2985</v>
      </c>
      <c r="F919" s="3267" t="s">
        <v>9404</v>
      </c>
      <c r="G919" s="3267"/>
      <c r="H919" s="3267"/>
      <c r="I919" s="3267"/>
      <c r="J919" s="3267"/>
      <c r="K919" s="3267" t="s">
        <v>9402</v>
      </c>
      <c r="L919" s="3267">
        <v>114.11</v>
      </c>
      <c r="M919" s="3267">
        <v>6</v>
      </c>
      <c r="N919" s="3267" t="s">
        <v>2989</v>
      </c>
      <c r="O919" s="3267"/>
      <c r="P919" s="3267" t="s">
        <v>2963</v>
      </c>
      <c r="Q919" s="3267">
        <v>700000</v>
      </c>
      <c r="R919" s="3267">
        <v>6134</v>
      </c>
      <c r="S919" s="3272">
        <v>86.81</v>
      </c>
      <c r="T919" s="3273">
        <v>868100</v>
      </c>
      <c r="U919" s="3267">
        <v>7608</v>
      </c>
      <c r="V919" s="3274">
        <v>0.3</v>
      </c>
      <c r="W919" s="3272">
        <v>60.76</v>
      </c>
      <c r="X919" s="3275">
        <v>607600</v>
      </c>
      <c r="Y919" s="3267">
        <v>2006</v>
      </c>
      <c r="Z919" s="3267">
        <v>12</v>
      </c>
      <c r="AA919" s="3276">
        <v>27</v>
      </c>
      <c r="AB919" s="3267">
        <v>1500</v>
      </c>
      <c r="AC919" s="3267" t="s">
        <v>2980</v>
      </c>
      <c r="AD919" s="3269" t="s">
        <v>9405</v>
      </c>
      <c r="AE919" s="3267" t="s">
        <v>3069</v>
      </c>
      <c r="AF919" s="3267" t="s">
        <v>2966</v>
      </c>
      <c r="AG919" s="3267" t="s">
        <v>2967</v>
      </c>
      <c r="AH919" s="3267"/>
      <c r="AI919" s="3267" t="s">
        <v>2992</v>
      </c>
      <c r="AJ919" s="3284"/>
      <c r="AK919" s="3267" t="s">
        <v>3120</v>
      </c>
      <c r="AL919" s="3267" t="s">
        <v>9406</v>
      </c>
      <c r="AM919" s="3267" t="s">
        <v>9407</v>
      </c>
      <c r="AN919" s="3267" t="s">
        <v>3099</v>
      </c>
      <c r="AO919" s="3267"/>
      <c r="AP919" s="3267" t="s">
        <v>3069</v>
      </c>
      <c r="AQ919" s="3276" t="s">
        <v>3113</v>
      </c>
      <c r="AR919" s="3267">
        <v>2006</v>
      </c>
      <c r="AS919" s="3267">
        <v>12</v>
      </c>
      <c r="AT919" s="3267">
        <v>27</v>
      </c>
      <c r="AU919" s="3267"/>
      <c r="AV919" s="3267"/>
      <c r="AW919" s="3267" t="s">
        <v>3171</v>
      </c>
      <c r="AX919" s="3267"/>
      <c r="AY919" s="3269"/>
      <c r="AZ919" s="3268" t="s">
        <v>9408</v>
      </c>
      <c r="BA919" s="3267"/>
      <c r="BB919" s="3267"/>
      <c r="BC919" s="3267"/>
      <c r="BD919" s="3267"/>
      <c r="BE919" s="3267"/>
      <c r="BF919" s="3267"/>
      <c r="BG919" s="3307">
        <v>39051</v>
      </c>
      <c r="BH919" s="3267"/>
      <c r="BI919" s="3279" t="s">
        <v>3069</v>
      </c>
      <c r="BJ919" s="3307">
        <v>39051</v>
      </c>
      <c r="BK919" s="3283"/>
      <c r="BL919" s="3267" t="s">
        <v>2998</v>
      </c>
      <c r="BM919" s="3267" t="s">
        <v>2879</v>
      </c>
      <c r="BN919" s="3267" t="s">
        <v>2999</v>
      </c>
      <c r="BO919" s="3267" t="s">
        <v>3000</v>
      </c>
      <c r="BP919" s="3267"/>
      <c r="BQ919" s="3276" t="e">
        <v>#DIV/0!</v>
      </c>
      <c r="BR919" s="3276" t="e">
        <v>#DIV/0!</v>
      </c>
      <c r="BS919" s="3285"/>
      <c r="BT919" s="3285"/>
      <c r="BU919" s="3285"/>
    </row>
    <row r="920" spans="1:245" hidden="1">
      <c r="A920" s="3267" t="s">
        <v>9409</v>
      </c>
      <c r="B920" s="3267" t="s">
        <v>9410</v>
      </c>
      <c r="C920" s="3269" t="s">
        <v>9411</v>
      </c>
      <c r="D920" s="3268">
        <v>13683082982</v>
      </c>
      <c r="E920" s="3267" t="s">
        <v>2985</v>
      </c>
      <c r="F920" s="3267" t="s">
        <v>7811</v>
      </c>
      <c r="G920" s="3267"/>
      <c r="H920" s="3270" t="s">
        <v>9412</v>
      </c>
      <c r="I920" s="3268" t="s">
        <v>3586</v>
      </c>
      <c r="J920" s="3270" t="s">
        <v>3149</v>
      </c>
      <c r="K920" s="3267" t="s">
        <v>9413</v>
      </c>
      <c r="L920" s="3286">
        <v>62.12</v>
      </c>
      <c r="M920" s="3270">
        <v>4</v>
      </c>
      <c r="N920" s="3267" t="s">
        <v>3122</v>
      </c>
      <c r="O920" s="3267"/>
      <c r="P920" s="3267" t="s">
        <v>2963</v>
      </c>
      <c r="Q920" s="3287">
        <v>405000</v>
      </c>
      <c r="R920" s="3267">
        <v>6520</v>
      </c>
      <c r="S920" s="3272">
        <v>40.549999999999997</v>
      </c>
      <c r="T920" s="3273">
        <v>405500</v>
      </c>
      <c r="U920" s="3287">
        <v>6528</v>
      </c>
      <c r="V920" s="3289">
        <v>0.2</v>
      </c>
      <c r="W920" s="3272">
        <v>32.44</v>
      </c>
      <c r="X920" s="3275">
        <v>324400</v>
      </c>
      <c r="Y920" s="3276">
        <v>2006</v>
      </c>
      <c r="Z920" s="3276">
        <v>12</v>
      </c>
      <c r="AA920" s="3276">
        <v>5</v>
      </c>
      <c r="AB920" s="3267">
        <v>1215</v>
      </c>
      <c r="AC920" s="3267" t="s">
        <v>2980</v>
      </c>
      <c r="AD920" s="3269" t="s">
        <v>9414</v>
      </c>
      <c r="AE920" s="3268" t="s">
        <v>3069</v>
      </c>
      <c r="AF920" s="3267" t="s">
        <v>2966</v>
      </c>
      <c r="AG920" s="3267" t="s">
        <v>2967</v>
      </c>
      <c r="AH920" s="3267"/>
      <c r="AI920" s="3267" t="s">
        <v>2992</v>
      </c>
      <c r="AJ920" s="3270"/>
      <c r="AK920" s="3278" t="s">
        <v>3120</v>
      </c>
      <c r="AL920" s="3276">
        <v>35</v>
      </c>
      <c r="AM920" s="3267"/>
      <c r="AN920" s="3279" t="s">
        <v>9415</v>
      </c>
      <c r="AO920" s="3267"/>
      <c r="AP920" s="3279" t="s">
        <v>3537</v>
      </c>
      <c r="AQ920" s="3276" t="s">
        <v>2996</v>
      </c>
      <c r="AR920" s="3267"/>
      <c r="AS920" s="3267"/>
      <c r="AT920" s="3267"/>
      <c r="AU920" s="3267"/>
      <c r="AV920" s="3267"/>
      <c r="AW920" s="3267" t="s">
        <v>3119</v>
      </c>
      <c r="AX920" s="3267"/>
      <c r="AY920" s="3279"/>
      <c r="AZ920" s="3267" t="s">
        <v>9413</v>
      </c>
      <c r="BA920" s="3267"/>
      <c r="BB920" s="3267"/>
      <c r="BC920" s="3267"/>
      <c r="BD920" s="3267"/>
      <c r="BE920" s="3267">
        <v>13141342466</v>
      </c>
      <c r="BF920" s="3281"/>
      <c r="BG920" s="3290">
        <v>39051</v>
      </c>
      <c r="BH920" s="3268"/>
      <c r="BI920" s="3314" t="s">
        <v>3537</v>
      </c>
      <c r="BJ920" s="3299">
        <v>39052</v>
      </c>
      <c r="BK920" s="3284"/>
      <c r="BL920" s="3267" t="s">
        <v>2998</v>
      </c>
      <c r="BM920" s="3267" t="s">
        <v>2879</v>
      </c>
      <c r="BN920" s="3267" t="s">
        <v>3111</v>
      </c>
      <c r="BO920" s="3267" t="s">
        <v>3146</v>
      </c>
      <c r="BP920" s="3267"/>
      <c r="BQ920" s="3276"/>
      <c r="BR920" s="3276"/>
      <c r="BS920" s="3285"/>
      <c r="BT920" s="3285"/>
      <c r="BU920" s="3285"/>
    </row>
    <row r="921" spans="1:245" hidden="1">
      <c r="A921" s="3267" t="s">
        <v>9416</v>
      </c>
      <c r="B921" s="3267" t="s">
        <v>9417</v>
      </c>
      <c r="C921" s="3269" t="s">
        <v>9418</v>
      </c>
      <c r="D921" s="3269" t="s">
        <v>9419</v>
      </c>
      <c r="E921" s="3268" t="s">
        <v>2985</v>
      </c>
      <c r="F921" s="3268" t="s">
        <v>3273</v>
      </c>
      <c r="G921" s="3267"/>
      <c r="H921" s="3267" t="s">
        <v>3668</v>
      </c>
      <c r="I921" s="3268"/>
      <c r="J921" s="3267" t="s">
        <v>3301</v>
      </c>
      <c r="K921" s="3267" t="s">
        <v>9420</v>
      </c>
      <c r="L921" s="3267">
        <v>83.92</v>
      </c>
      <c r="M921" s="3267">
        <v>5</v>
      </c>
      <c r="N921" s="3267" t="s">
        <v>3125</v>
      </c>
      <c r="O921" s="3267"/>
      <c r="P921" s="3267" t="s">
        <v>2963</v>
      </c>
      <c r="Q921" s="3271">
        <v>674000</v>
      </c>
      <c r="R921" s="3267">
        <v>8031</v>
      </c>
      <c r="S921" s="3272">
        <v>59.54</v>
      </c>
      <c r="T921" s="3273">
        <v>595400</v>
      </c>
      <c r="U921" s="3267">
        <v>7096</v>
      </c>
      <c r="V921" s="3289">
        <v>0.2</v>
      </c>
      <c r="W921" s="3272">
        <v>47.63</v>
      </c>
      <c r="X921" s="3275">
        <v>476300</v>
      </c>
      <c r="Y921" s="3276">
        <v>2006</v>
      </c>
      <c r="Z921" s="3276">
        <v>12</v>
      </c>
      <c r="AA921" s="3276">
        <v>20</v>
      </c>
      <c r="AB921" s="3267">
        <v>1500</v>
      </c>
      <c r="AC921" s="3267" t="s">
        <v>2980</v>
      </c>
      <c r="AD921" s="3269" t="s">
        <v>9421</v>
      </c>
      <c r="AE921" s="3279" t="s">
        <v>3344</v>
      </c>
      <c r="AF921" s="3268" t="s">
        <v>2966</v>
      </c>
      <c r="AG921" s="3279" t="s">
        <v>2967</v>
      </c>
      <c r="AH921" s="3267"/>
      <c r="AI921" s="3279" t="s">
        <v>2992</v>
      </c>
      <c r="AJ921" s="3284"/>
      <c r="AK921" s="3278" t="s">
        <v>3120</v>
      </c>
      <c r="AL921" s="3276">
        <v>45</v>
      </c>
      <c r="AM921" s="3267"/>
      <c r="AN921" s="3279" t="s">
        <v>2994</v>
      </c>
      <c r="AO921" s="3267"/>
      <c r="AP921" s="3279" t="s">
        <v>3305</v>
      </c>
      <c r="AQ921" s="3276" t="s">
        <v>3113</v>
      </c>
      <c r="AR921" s="3276"/>
      <c r="AS921" s="3276"/>
      <c r="AT921" s="3276"/>
      <c r="AU921" s="3276"/>
      <c r="AV921" s="3276" t="s">
        <v>2968</v>
      </c>
      <c r="AW921" s="3276" t="s">
        <v>3171</v>
      </c>
      <c r="AX921" s="3276"/>
      <c r="AY921" s="3291"/>
      <c r="AZ921" s="3267" t="s">
        <v>9420</v>
      </c>
      <c r="BA921" s="3296"/>
      <c r="BB921" s="3297"/>
      <c r="BC921" s="3296"/>
      <c r="BD921" s="3296"/>
      <c r="BE921" s="3276">
        <v>13641049363</v>
      </c>
      <c r="BF921" s="3281" t="s">
        <v>2968</v>
      </c>
      <c r="BG921" s="3293">
        <v>39007</v>
      </c>
      <c r="BH921" s="3267" t="s">
        <v>2998</v>
      </c>
      <c r="BI921" s="3314" t="s">
        <v>3305</v>
      </c>
      <c r="BJ921" s="3283">
        <v>39052</v>
      </c>
      <c r="BK921" s="3283"/>
      <c r="BL921" s="3267" t="s">
        <v>3249</v>
      </c>
      <c r="BM921" s="3276" t="s">
        <v>2879</v>
      </c>
      <c r="BN921" s="3276" t="s">
        <v>2999</v>
      </c>
      <c r="BO921" s="3276" t="s">
        <v>3146</v>
      </c>
      <c r="BP921" s="3276"/>
      <c r="BQ921" s="3276" t="e">
        <v>#DIV/0!</v>
      </c>
      <c r="BR921" s="3276" t="e">
        <v>#DIV/0!</v>
      </c>
      <c r="BS921" s="3285"/>
      <c r="BT921" s="3285"/>
      <c r="BU921" s="3285"/>
    </row>
    <row r="922" spans="1:245" hidden="1">
      <c r="A922" s="3267" t="s">
        <v>9422</v>
      </c>
      <c r="B922" s="3267" t="s">
        <v>9423</v>
      </c>
      <c r="C922" s="3269" t="s">
        <v>9424</v>
      </c>
      <c r="D922" s="3269" t="s">
        <v>9425</v>
      </c>
      <c r="E922" s="3268" t="s">
        <v>2985</v>
      </c>
      <c r="F922" s="3268" t="s">
        <v>8987</v>
      </c>
      <c r="G922" s="3267"/>
      <c r="H922" s="3267" t="s">
        <v>9426</v>
      </c>
      <c r="I922" s="3268" t="s">
        <v>4347</v>
      </c>
      <c r="J922" s="3267" t="s">
        <v>3123</v>
      </c>
      <c r="K922" s="3267" t="s">
        <v>9423</v>
      </c>
      <c r="L922" s="3267">
        <v>71.48</v>
      </c>
      <c r="M922" s="3267">
        <v>4</v>
      </c>
      <c r="N922" s="3267" t="s">
        <v>3122</v>
      </c>
      <c r="O922" s="3267"/>
      <c r="P922" s="3267" t="s">
        <v>2963</v>
      </c>
      <c r="Q922" s="3271">
        <v>350000</v>
      </c>
      <c r="R922" s="3267">
        <v>4896</v>
      </c>
      <c r="S922" s="3272">
        <v>35</v>
      </c>
      <c r="T922" s="3273">
        <v>350000</v>
      </c>
      <c r="U922" s="3267">
        <v>4897</v>
      </c>
      <c r="V922" s="3289">
        <v>0.2</v>
      </c>
      <c r="W922" s="3272">
        <v>28</v>
      </c>
      <c r="X922" s="3275">
        <v>280000</v>
      </c>
      <c r="Y922" s="3276">
        <v>2006</v>
      </c>
      <c r="Z922" s="3276">
        <v>12</v>
      </c>
      <c r="AA922" s="3276">
        <v>21</v>
      </c>
      <c r="AB922" s="3267">
        <v>1050</v>
      </c>
      <c r="AC922" s="3267" t="s">
        <v>2980</v>
      </c>
      <c r="AD922" s="3280" t="s">
        <v>9427</v>
      </c>
      <c r="AE922" s="3279" t="s">
        <v>3180</v>
      </c>
      <c r="AF922" s="3268" t="s">
        <v>2966</v>
      </c>
      <c r="AG922" s="3279" t="s">
        <v>2967</v>
      </c>
      <c r="AH922" s="3267" t="s">
        <v>2968</v>
      </c>
      <c r="AI922" s="3279" t="s">
        <v>2992</v>
      </c>
      <c r="AJ922" s="3284"/>
      <c r="AK922" s="3278" t="s">
        <v>3120</v>
      </c>
      <c r="AL922" s="3276">
        <v>40</v>
      </c>
      <c r="AM922" s="3267" t="s">
        <v>9428</v>
      </c>
      <c r="AN922" s="3279" t="s">
        <v>2994</v>
      </c>
      <c r="AO922" s="3267" t="s">
        <v>2968</v>
      </c>
      <c r="AP922" s="3279" t="s">
        <v>3305</v>
      </c>
      <c r="AQ922" s="3276" t="s">
        <v>3113</v>
      </c>
      <c r="AR922" s="3276"/>
      <c r="AS922" s="3276"/>
      <c r="AT922" s="3276"/>
      <c r="AU922" s="3276"/>
      <c r="AV922" s="3276" t="s">
        <v>2968</v>
      </c>
      <c r="AW922" s="3276" t="s">
        <v>3171</v>
      </c>
      <c r="AX922" s="3276"/>
      <c r="AY922" s="3291"/>
      <c r="AZ922" s="3267" t="s">
        <v>9429</v>
      </c>
      <c r="BA922" s="3296"/>
      <c r="BB922" s="3297"/>
      <c r="BC922" s="3296"/>
      <c r="BD922" s="3298"/>
      <c r="BE922" s="3276"/>
      <c r="BF922" s="3281"/>
      <c r="BG922" s="3293">
        <v>39051</v>
      </c>
      <c r="BH922" s="3267" t="s">
        <v>2998</v>
      </c>
      <c r="BI922" s="3314" t="s">
        <v>3305</v>
      </c>
      <c r="BJ922" s="3283">
        <v>39052</v>
      </c>
      <c r="BK922" s="3283"/>
      <c r="BL922" s="3267" t="s">
        <v>3249</v>
      </c>
      <c r="BM922" s="3276" t="s">
        <v>2879</v>
      </c>
      <c r="BN922" s="3276" t="s">
        <v>2999</v>
      </c>
      <c r="BO922" s="3276" t="s">
        <v>3146</v>
      </c>
      <c r="BP922" s="3276"/>
      <c r="BQ922" s="3276" t="e">
        <v>#DIV/0!</v>
      </c>
      <c r="BR922" s="3276" t="e">
        <v>#DIV/0!</v>
      </c>
      <c r="BS922" s="3285"/>
      <c r="BT922" s="3285"/>
      <c r="BU922" s="3285"/>
    </row>
    <row r="923" spans="1:245" hidden="1">
      <c r="A923" s="3267" t="s">
        <v>9430</v>
      </c>
      <c r="B923" s="3267" t="s">
        <v>9431</v>
      </c>
      <c r="C923" s="3269" t="s">
        <v>9432</v>
      </c>
      <c r="D923" s="3269" t="s">
        <v>9433</v>
      </c>
      <c r="E923" s="3268" t="s">
        <v>2985</v>
      </c>
      <c r="F923" s="3268" t="s">
        <v>7089</v>
      </c>
      <c r="G923" s="3267"/>
      <c r="H923" s="3267" t="s">
        <v>4253</v>
      </c>
      <c r="I923" s="3268"/>
      <c r="J923" s="3267" t="s">
        <v>3413</v>
      </c>
      <c r="K923" s="3267" t="s">
        <v>9434</v>
      </c>
      <c r="L923" s="3267">
        <v>44.71</v>
      </c>
      <c r="M923" s="3267">
        <v>16</v>
      </c>
      <c r="N923" s="3267" t="s">
        <v>3152</v>
      </c>
      <c r="O923" s="3267"/>
      <c r="P923" s="3267" t="s">
        <v>2963</v>
      </c>
      <c r="Q923" s="3271">
        <v>350000</v>
      </c>
      <c r="R923" s="3267">
        <v>7828</v>
      </c>
      <c r="S923" s="3272">
        <v>30.06</v>
      </c>
      <c r="T923" s="3273">
        <v>300600</v>
      </c>
      <c r="U923" s="3267">
        <v>6724</v>
      </c>
      <c r="V923" s="3289">
        <v>0.2</v>
      </c>
      <c r="W923" s="3272">
        <v>24.04</v>
      </c>
      <c r="X923" s="3275">
        <v>240400</v>
      </c>
      <c r="Y923" s="3276">
        <v>2006</v>
      </c>
      <c r="Z923" s="3276">
        <v>12</v>
      </c>
      <c r="AA923" s="3276">
        <v>5</v>
      </c>
      <c r="AB923" s="3267">
        <v>900</v>
      </c>
      <c r="AC923" s="3267" t="s">
        <v>2980</v>
      </c>
      <c r="AD923" s="3269" t="s">
        <v>9435</v>
      </c>
      <c r="AE923" s="3279" t="s">
        <v>3180</v>
      </c>
      <c r="AF923" s="3268" t="s">
        <v>2966</v>
      </c>
      <c r="AG923" s="3279" t="s">
        <v>2967</v>
      </c>
      <c r="AH923" s="3267"/>
      <c r="AI923" s="3279" t="s">
        <v>2992</v>
      </c>
      <c r="AJ923" s="3284"/>
      <c r="AK923" s="3278" t="s">
        <v>3120</v>
      </c>
      <c r="AL923" s="3276">
        <v>46</v>
      </c>
      <c r="AM923" s="3276"/>
      <c r="AN923" s="3279" t="s">
        <v>9415</v>
      </c>
      <c r="AO923" s="3267" t="s">
        <v>2968</v>
      </c>
      <c r="AP923" s="3279" t="s">
        <v>3537</v>
      </c>
      <c r="AQ923" s="3276" t="s">
        <v>2996</v>
      </c>
      <c r="AR923" s="3276"/>
      <c r="AS923" s="3276"/>
      <c r="AT923" s="3276"/>
      <c r="AU923" s="3276"/>
      <c r="AV923" s="3276"/>
      <c r="AW923" s="3267" t="s">
        <v>3119</v>
      </c>
      <c r="AX923" s="3276"/>
      <c r="AY923" s="3291"/>
      <c r="AZ923" s="3267" t="s">
        <v>9434</v>
      </c>
      <c r="BA923" s="3296"/>
      <c r="BB923" s="3297"/>
      <c r="BC923" s="3296"/>
      <c r="BD923" s="3298"/>
      <c r="BE923" s="3276">
        <v>13501064589</v>
      </c>
      <c r="BF923" s="3281"/>
      <c r="BG923" s="3290">
        <v>39049</v>
      </c>
      <c r="BH923" s="3267" t="s">
        <v>2998</v>
      </c>
      <c r="BI923" s="3314" t="s">
        <v>3537</v>
      </c>
      <c r="BJ923" s="3283">
        <v>39052</v>
      </c>
      <c r="BK923" s="3283"/>
      <c r="BL923" s="3267" t="s">
        <v>3249</v>
      </c>
      <c r="BM923" s="3276" t="s">
        <v>2879</v>
      </c>
      <c r="BN923" s="3276" t="s">
        <v>2999</v>
      </c>
      <c r="BO923" s="3276" t="s">
        <v>3146</v>
      </c>
      <c r="BP923" s="3276"/>
      <c r="BQ923" s="3276" t="e">
        <v>#DIV/0!</v>
      </c>
      <c r="BR923" s="3276" t="e">
        <v>#DIV/0!</v>
      </c>
      <c r="BS923" s="3285"/>
      <c r="BT923" s="3285"/>
      <c r="BU923" s="3285"/>
    </row>
    <row r="924" spans="1:245" hidden="1">
      <c r="A924" s="3267" t="s">
        <v>9436</v>
      </c>
      <c r="B924" s="3267" t="s">
        <v>9437</v>
      </c>
      <c r="C924" s="3269" t="s">
        <v>9438</v>
      </c>
      <c r="D924" s="3269" t="s">
        <v>9439</v>
      </c>
      <c r="E924" s="3268" t="s">
        <v>2985</v>
      </c>
      <c r="F924" s="3268" t="s">
        <v>3309</v>
      </c>
      <c r="G924" s="3267"/>
      <c r="H924" s="3267" t="s">
        <v>3280</v>
      </c>
      <c r="I924" s="3268"/>
      <c r="J924" s="3267" t="s">
        <v>9008</v>
      </c>
      <c r="K924" s="3267" t="s">
        <v>9440</v>
      </c>
      <c r="L924" s="3267">
        <v>102.83</v>
      </c>
      <c r="M924" s="3267">
        <v>1</v>
      </c>
      <c r="N924" s="3267" t="s">
        <v>3122</v>
      </c>
      <c r="O924" s="3267">
        <v>83.71</v>
      </c>
      <c r="P924" s="3267" t="s">
        <v>2963</v>
      </c>
      <c r="Q924" s="3271">
        <v>730000</v>
      </c>
      <c r="R924" s="3267">
        <v>7099</v>
      </c>
      <c r="S924" s="3272">
        <v>67.31</v>
      </c>
      <c r="T924" s="3273">
        <v>673100</v>
      </c>
      <c r="U924" s="3267">
        <v>6546</v>
      </c>
      <c r="V924" s="3289">
        <v>0.3</v>
      </c>
      <c r="W924" s="3272">
        <v>47.11</v>
      </c>
      <c r="X924" s="3275">
        <v>471100</v>
      </c>
      <c r="Y924" s="3276">
        <v>2006</v>
      </c>
      <c r="Z924" s="3276">
        <v>12</v>
      </c>
      <c r="AA924" s="3276">
        <v>5</v>
      </c>
      <c r="AB924" s="3267">
        <v>1500</v>
      </c>
      <c r="AC924" s="3267" t="s">
        <v>2980</v>
      </c>
      <c r="AD924" s="3280" t="s">
        <v>9441</v>
      </c>
      <c r="AE924" s="3279" t="s">
        <v>3344</v>
      </c>
      <c r="AF924" s="3268" t="s">
        <v>2966</v>
      </c>
      <c r="AG924" s="3279" t="s">
        <v>2967</v>
      </c>
      <c r="AH924" s="3267"/>
      <c r="AI924" s="3279" t="s">
        <v>2992</v>
      </c>
      <c r="AJ924" s="3284"/>
      <c r="AK924" s="3278" t="s">
        <v>3120</v>
      </c>
      <c r="AL924" s="3276">
        <v>55</v>
      </c>
      <c r="AM924" s="3267"/>
      <c r="AN924" s="3279" t="s">
        <v>3140</v>
      </c>
      <c r="AO924" s="3267"/>
      <c r="AP924" s="3279" t="s">
        <v>3305</v>
      </c>
      <c r="AQ924" s="3276" t="s">
        <v>2996</v>
      </c>
      <c r="AR924" s="3276"/>
      <c r="AS924" s="3276"/>
      <c r="AT924" s="3276"/>
      <c r="AU924" s="3276"/>
      <c r="AV924" s="3276" t="s">
        <v>2968</v>
      </c>
      <c r="AW924" s="3276" t="s">
        <v>3171</v>
      </c>
      <c r="AX924" s="3276"/>
      <c r="AY924" s="3291"/>
      <c r="AZ924" s="3267" t="s">
        <v>9440</v>
      </c>
      <c r="BA924" s="3296"/>
      <c r="BB924" s="3297"/>
      <c r="BC924" s="3296"/>
      <c r="BD924" s="3298"/>
      <c r="BE924" s="3276">
        <v>82025867</v>
      </c>
      <c r="BF924" s="3281" t="s">
        <v>2968</v>
      </c>
      <c r="BG924" s="3293">
        <v>38864</v>
      </c>
      <c r="BH924" s="3267" t="s">
        <v>2998</v>
      </c>
      <c r="BI924" s="3314" t="s">
        <v>3305</v>
      </c>
      <c r="BJ924" s="3283">
        <v>39052</v>
      </c>
      <c r="BK924" s="3283"/>
      <c r="BL924" s="3267" t="s">
        <v>3249</v>
      </c>
      <c r="BM924" s="3276" t="s">
        <v>2879</v>
      </c>
      <c r="BN924" s="3276" t="s">
        <v>2999</v>
      </c>
      <c r="BO924" s="3276" t="s">
        <v>3146</v>
      </c>
      <c r="BP924" s="3276"/>
      <c r="BQ924" s="3276">
        <v>8041</v>
      </c>
      <c r="BR924" s="3276">
        <v>8721</v>
      </c>
      <c r="BS924" s="3285"/>
      <c r="BT924" s="3285"/>
      <c r="BU924" s="3285"/>
    </row>
    <row r="925" spans="1:245" hidden="1">
      <c r="A925" s="3267" t="s">
        <v>9442</v>
      </c>
      <c r="B925" s="3267" t="s">
        <v>9443</v>
      </c>
      <c r="C925" s="3269" t="s">
        <v>9444</v>
      </c>
      <c r="D925" s="3269" t="s">
        <v>9445</v>
      </c>
      <c r="E925" s="3268" t="s">
        <v>2985</v>
      </c>
      <c r="F925" s="3268" t="s">
        <v>3261</v>
      </c>
      <c r="G925" s="3267"/>
      <c r="H925" s="3267" t="s">
        <v>3402</v>
      </c>
      <c r="I925" s="3268"/>
      <c r="J925" s="3267" t="s">
        <v>9446</v>
      </c>
      <c r="K925" s="3267" t="s">
        <v>9443</v>
      </c>
      <c r="L925" s="3267">
        <v>61.12</v>
      </c>
      <c r="M925" s="3267">
        <v>4</v>
      </c>
      <c r="N925" s="3267" t="s">
        <v>3122</v>
      </c>
      <c r="O925" s="3267"/>
      <c r="P925" s="3267" t="s">
        <v>2963</v>
      </c>
      <c r="Q925" s="3271">
        <v>520000</v>
      </c>
      <c r="R925" s="3267">
        <v>8508</v>
      </c>
      <c r="S925" s="3272">
        <v>47</v>
      </c>
      <c r="T925" s="3273">
        <v>470000</v>
      </c>
      <c r="U925" s="3267">
        <v>7690</v>
      </c>
      <c r="V925" s="3289">
        <v>0.2</v>
      </c>
      <c r="W925" s="3272">
        <v>37.6</v>
      </c>
      <c r="X925" s="3275">
        <v>376000</v>
      </c>
      <c r="Y925" s="3276">
        <v>2006</v>
      </c>
      <c r="Z925" s="3276">
        <v>12</v>
      </c>
      <c r="AA925" s="3276">
        <v>21</v>
      </c>
      <c r="AB925" s="3267">
        <v>1410</v>
      </c>
      <c r="AC925" s="3267" t="s">
        <v>2980</v>
      </c>
      <c r="AD925" s="3280" t="s">
        <v>9447</v>
      </c>
      <c r="AE925" s="3279" t="s">
        <v>3344</v>
      </c>
      <c r="AF925" s="3268" t="s">
        <v>2966</v>
      </c>
      <c r="AG925" s="3279" t="s">
        <v>2967</v>
      </c>
      <c r="AH925" s="3267"/>
      <c r="AI925" s="3279" t="s">
        <v>2992</v>
      </c>
      <c r="AJ925" s="3284"/>
      <c r="AK925" s="3278" t="s">
        <v>3120</v>
      </c>
      <c r="AL925" s="3276">
        <v>29</v>
      </c>
      <c r="AM925" s="3267" t="s">
        <v>9448</v>
      </c>
      <c r="AN925" s="3279" t="s">
        <v>2994</v>
      </c>
      <c r="AO925" s="3267"/>
      <c r="AP925" s="3279" t="s">
        <v>3305</v>
      </c>
      <c r="AQ925" s="3276" t="s">
        <v>3113</v>
      </c>
      <c r="AR925" s="3276"/>
      <c r="AS925" s="3276"/>
      <c r="AT925" s="3276"/>
      <c r="AU925" s="3276"/>
      <c r="AV925" s="3276" t="s">
        <v>2968</v>
      </c>
      <c r="AW925" s="3276" t="s">
        <v>3171</v>
      </c>
      <c r="AX925" s="3276"/>
      <c r="AY925" s="3291"/>
      <c r="AZ925" s="3267" t="s">
        <v>9449</v>
      </c>
      <c r="BA925" s="3296"/>
      <c r="BB925" s="3297"/>
      <c r="BC925" s="3296"/>
      <c r="BD925" s="3298"/>
      <c r="BE925" s="3276">
        <v>13601248961</v>
      </c>
      <c r="BF925" s="3281" t="s">
        <v>2968</v>
      </c>
      <c r="BG925" s="3293">
        <v>39051</v>
      </c>
      <c r="BH925" s="3267" t="s">
        <v>2998</v>
      </c>
      <c r="BI925" s="3314" t="s">
        <v>3305</v>
      </c>
      <c r="BJ925" s="3283">
        <v>39052</v>
      </c>
      <c r="BK925" s="3283"/>
      <c r="BL925" s="3267" t="s">
        <v>3249</v>
      </c>
      <c r="BM925" s="3276" t="s">
        <v>2879</v>
      </c>
      <c r="BN925" s="3276" t="s">
        <v>2999</v>
      </c>
      <c r="BO925" s="3276" t="s">
        <v>3146</v>
      </c>
      <c r="BP925" s="3276"/>
      <c r="BQ925" s="3276" t="e">
        <v>#DIV/0!</v>
      </c>
      <c r="BR925" s="3276" t="e">
        <v>#DIV/0!</v>
      </c>
      <c r="BS925" s="3285"/>
      <c r="BT925" s="3285"/>
      <c r="BU925" s="3285"/>
    </row>
    <row r="926" spans="1:245" hidden="1">
      <c r="A926" s="3267" t="s">
        <v>9450</v>
      </c>
      <c r="B926" s="3267" t="s">
        <v>9451</v>
      </c>
      <c r="C926" s="3269" t="s">
        <v>9452</v>
      </c>
      <c r="D926" s="3269" t="s">
        <v>9453</v>
      </c>
      <c r="E926" s="3268" t="s">
        <v>2985</v>
      </c>
      <c r="F926" s="3268" t="s">
        <v>5468</v>
      </c>
      <c r="G926" s="3267"/>
      <c r="H926" s="3267" t="s">
        <v>3097</v>
      </c>
      <c r="I926" s="3268"/>
      <c r="J926" s="3267" t="s">
        <v>4730</v>
      </c>
      <c r="K926" s="3267" t="s">
        <v>6986</v>
      </c>
      <c r="L926" s="3267">
        <v>74.81</v>
      </c>
      <c r="M926" s="3267">
        <v>10</v>
      </c>
      <c r="N926" s="3267" t="s">
        <v>3152</v>
      </c>
      <c r="O926" s="3267">
        <v>59.08</v>
      </c>
      <c r="P926" s="3267" t="s">
        <v>2963</v>
      </c>
      <c r="Q926" s="3271">
        <v>600000</v>
      </c>
      <c r="R926" s="3267">
        <v>8020</v>
      </c>
      <c r="S926" s="3272">
        <v>58.55</v>
      </c>
      <c r="T926" s="3273">
        <v>585500</v>
      </c>
      <c r="U926" s="3267">
        <v>7827</v>
      </c>
      <c r="V926" s="3289">
        <v>0.2</v>
      </c>
      <c r="W926" s="3272">
        <v>46.84</v>
      </c>
      <c r="X926" s="3275">
        <v>468400.00000000006</v>
      </c>
      <c r="Y926" s="3276">
        <v>2006</v>
      </c>
      <c r="Z926" s="3276">
        <v>12</v>
      </c>
      <c r="AA926" s="3276">
        <v>15</v>
      </c>
      <c r="AB926" s="3267">
        <v>1500</v>
      </c>
      <c r="AC926" s="3267" t="s">
        <v>2980</v>
      </c>
      <c r="AD926" s="3269" t="s">
        <v>9454</v>
      </c>
      <c r="AE926" s="3279" t="s">
        <v>3344</v>
      </c>
      <c r="AF926" s="3268" t="s">
        <v>2966</v>
      </c>
      <c r="AG926" s="3279" t="s">
        <v>2967</v>
      </c>
      <c r="AH926" s="3267" t="s">
        <v>9455</v>
      </c>
      <c r="AI926" s="3279" t="s">
        <v>2992</v>
      </c>
      <c r="AJ926" s="3284"/>
      <c r="AK926" s="3278" t="s">
        <v>3120</v>
      </c>
      <c r="AL926" s="3276">
        <v>57</v>
      </c>
      <c r="AM926" s="3267"/>
      <c r="AN926" s="3279" t="s">
        <v>3114</v>
      </c>
      <c r="AO926" s="3267"/>
      <c r="AP926" s="3279" t="s">
        <v>3305</v>
      </c>
      <c r="AQ926" s="3276" t="s">
        <v>3113</v>
      </c>
      <c r="AR926" s="3276"/>
      <c r="AS926" s="3276"/>
      <c r="AT926" s="3276"/>
      <c r="AU926" s="3276"/>
      <c r="AV926" s="3276" t="s">
        <v>2968</v>
      </c>
      <c r="AW926" s="3276" t="s">
        <v>3171</v>
      </c>
      <c r="AX926" s="3276"/>
      <c r="AY926" s="3291"/>
      <c r="AZ926" s="3267" t="s">
        <v>6986</v>
      </c>
      <c r="BA926" s="3296"/>
      <c r="BB926" s="3297"/>
      <c r="BC926" s="3296"/>
      <c r="BD926" s="3296"/>
      <c r="BE926" s="3276">
        <v>13810019087</v>
      </c>
      <c r="BF926" s="3281" t="s">
        <v>2968</v>
      </c>
      <c r="BG926" s="3293">
        <v>39050</v>
      </c>
      <c r="BH926" s="3267" t="s">
        <v>2998</v>
      </c>
      <c r="BI926" s="3314" t="s">
        <v>3305</v>
      </c>
      <c r="BJ926" s="3283">
        <v>39052</v>
      </c>
      <c r="BK926" s="3283"/>
      <c r="BL926" s="3267" t="s">
        <v>3249</v>
      </c>
      <c r="BM926" s="3276" t="s">
        <v>2879</v>
      </c>
      <c r="BN926" s="3276" t="s">
        <v>2999</v>
      </c>
      <c r="BO926" s="3276" t="s">
        <v>3146</v>
      </c>
      <c r="BP926" s="3276"/>
      <c r="BQ926" s="3276">
        <v>9910</v>
      </c>
      <c r="BR926" s="3276">
        <v>10156</v>
      </c>
      <c r="BS926" s="3285"/>
      <c r="BT926" s="3285"/>
      <c r="BU926" s="3285"/>
    </row>
    <row r="927" spans="1:245" hidden="1">
      <c r="A927" s="3267" t="s">
        <v>9456</v>
      </c>
      <c r="B927" s="3267" t="s">
        <v>9457</v>
      </c>
      <c r="C927" s="3269" t="s">
        <v>9458</v>
      </c>
      <c r="D927" s="3269">
        <v>13661289269</v>
      </c>
      <c r="E927" s="3268" t="s">
        <v>2985</v>
      </c>
      <c r="F927" s="3268" t="s">
        <v>7089</v>
      </c>
      <c r="G927" s="3267"/>
      <c r="H927" s="3267" t="s">
        <v>3169</v>
      </c>
      <c r="I927" s="3268"/>
      <c r="J927" s="3267" t="s">
        <v>9459</v>
      </c>
      <c r="K927" s="3267" t="s">
        <v>9460</v>
      </c>
      <c r="L927" s="3267">
        <v>61.98</v>
      </c>
      <c r="M927" s="3267">
        <v>18</v>
      </c>
      <c r="N927" s="3267" t="s">
        <v>3122</v>
      </c>
      <c r="O927" s="3267"/>
      <c r="P927" s="3267" t="s">
        <v>2963</v>
      </c>
      <c r="Q927" s="3271">
        <v>480000</v>
      </c>
      <c r="R927" s="3267">
        <v>7744</v>
      </c>
      <c r="S927" s="3272">
        <v>40.450000000000003</v>
      </c>
      <c r="T927" s="3273">
        <v>404500</v>
      </c>
      <c r="U927" s="3267">
        <v>6527</v>
      </c>
      <c r="V927" s="3289">
        <v>0.2</v>
      </c>
      <c r="W927" s="3272">
        <v>32.36</v>
      </c>
      <c r="X927" s="3275">
        <v>323600</v>
      </c>
      <c r="Y927" s="3276">
        <v>2006</v>
      </c>
      <c r="Z927" s="3276">
        <v>12</v>
      </c>
      <c r="AA927" s="3276">
        <v>5</v>
      </c>
      <c r="AB927" s="3267">
        <v>1210</v>
      </c>
      <c r="AC927" s="3267" t="s">
        <v>2980</v>
      </c>
      <c r="AD927" s="3269" t="s">
        <v>9461</v>
      </c>
      <c r="AE927" s="3279" t="s">
        <v>3180</v>
      </c>
      <c r="AF927" s="3268" t="s">
        <v>2966</v>
      </c>
      <c r="AG927" s="3279" t="s">
        <v>2967</v>
      </c>
      <c r="AH927" s="3267"/>
      <c r="AI927" s="3279" t="s">
        <v>2992</v>
      </c>
      <c r="AJ927" s="3284"/>
      <c r="AK927" s="3278" t="s">
        <v>3120</v>
      </c>
      <c r="AL927" s="3276">
        <v>47</v>
      </c>
      <c r="AM927" s="3276"/>
      <c r="AN927" s="3279" t="s">
        <v>9415</v>
      </c>
      <c r="AO927" s="3267" t="s">
        <v>2968</v>
      </c>
      <c r="AP927" s="3279" t="s">
        <v>3537</v>
      </c>
      <c r="AQ927" s="3276" t="s">
        <v>2996</v>
      </c>
      <c r="AR927" s="3276"/>
      <c r="AS927" s="3276"/>
      <c r="AT927" s="3276"/>
      <c r="AU927" s="3276"/>
      <c r="AV927" s="3276"/>
      <c r="AW927" s="3267" t="s">
        <v>3119</v>
      </c>
      <c r="AX927" s="3276"/>
      <c r="AY927" s="3291"/>
      <c r="AZ927" s="3267" t="s">
        <v>9460</v>
      </c>
      <c r="BA927" s="3296"/>
      <c r="BB927" s="3297"/>
      <c r="BC927" s="3296"/>
      <c r="BD927" s="3298"/>
      <c r="BE927" s="3276">
        <v>13693589875</v>
      </c>
      <c r="BF927" s="3281"/>
      <c r="BG927" s="3290">
        <v>39042</v>
      </c>
      <c r="BH927" s="3267" t="s">
        <v>2998</v>
      </c>
      <c r="BI927" s="3314" t="s">
        <v>3537</v>
      </c>
      <c r="BJ927" s="3283">
        <v>39052</v>
      </c>
      <c r="BK927" s="3283"/>
      <c r="BL927" s="3267" t="s">
        <v>3249</v>
      </c>
      <c r="BM927" s="3276" t="s">
        <v>2879</v>
      </c>
      <c r="BN927" s="3276" t="s">
        <v>2999</v>
      </c>
      <c r="BO927" s="3276" t="s">
        <v>3146</v>
      </c>
      <c r="BP927" s="3276"/>
      <c r="BQ927" s="3276" t="e">
        <v>#DIV/0!</v>
      </c>
      <c r="BR927" s="3276" t="e">
        <v>#DIV/0!</v>
      </c>
      <c r="BS927" s="3285"/>
      <c r="BT927" s="3285"/>
      <c r="BU927" s="3285"/>
    </row>
    <row r="928" spans="1:245" hidden="1">
      <c r="A928" s="3267" t="s">
        <v>9462</v>
      </c>
      <c r="B928" s="3267" t="s">
        <v>9463</v>
      </c>
      <c r="C928" s="3269" t="s">
        <v>9464</v>
      </c>
      <c r="D928" s="3269" t="s">
        <v>9465</v>
      </c>
      <c r="E928" s="3267" t="s">
        <v>2985</v>
      </c>
      <c r="F928" s="3267" t="s">
        <v>4198</v>
      </c>
      <c r="G928" s="3267"/>
      <c r="H928" s="3267" t="s">
        <v>3130</v>
      </c>
      <c r="I928" s="3267"/>
      <c r="J928" s="3269" t="s">
        <v>8121</v>
      </c>
      <c r="K928" s="3267" t="s">
        <v>9463</v>
      </c>
      <c r="L928" s="3286">
        <v>63.78</v>
      </c>
      <c r="M928" s="3267">
        <v>17</v>
      </c>
      <c r="N928" s="3267" t="s">
        <v>3152</v>
      </c>
      <c r="O928" s="3267"/>
      <c r="P928" s="3267" t="s">
        <v>2963</v>
      </c>
      <c r="Q928" s="3287">
        <v>625000</v>
      </c>
      <c r="R928" s="3267">
        <v>9799</v>
      </c>
      <c r="S928" s="3272">
        <v>50.52</v>
      </c>
      <c r="T928" s="3273">
        <v>505200.00000000006</v>
      </c>
      <c r="U928" s="3267">
        <v>7922</v>
      </c>
      <c r="V928" s="3289">
        <v>0.2</v>
      </c>
      <c r="W928" s="3272">
        <v>40.409999999999997</v>
      </c>
      <c r="X928" s="3275">
        <v>404099.99999999994</v>
      </c>
      <c r="Y928" s="3276">
        <v>2006</v>
      </c>
      <c r="Z928" s="3276">
        <v>12</v>
      </c>
      <c r="AA928" s="3276">
        <v>15</v>
      </c>
      <c r="AB928" s="3267">
        <v>1500</v>
      </c>
      <c r="AC928" s="3267" t="s">
        <v>2980</v>
      </c>
      <c r="AD928" s="3269" t="s">
        <v>9466</v>
      </c>
      <c r="AE928" s="3276" t="s">
        <v>3304</v>
      </c>
      <c r="AF928" s="3267" t="s">
        <v>2966</v>
      </c>
      <c r="AG928" s="3279" t="s">
        <v>2967</v>
      </c>
      <c r="AH928" s="3267"/>
      <c r="AI928" s="3267" t="s">
        <v>3295</v>
      </c>
      <c r="AJ928" s="3284"/>
      <c r="AK928" s="3278" t="s">
        <v>3120</v>
      </c>
      <c r="AL928" s="3267">
        <v>54</v>
      </c>
      <c r="AM928" s="3267" t="s">
        <v>9467</v>
      </c>
      <c r="AN928" s="3279" t="s">
        <v>3114</v>
      </c>
      <c r="AO928" s="3267"/>
      <c r="AP928" s="3279" t="s">
        <v>3537</v>
      </c>
      <c r="AQ928" s="3267" t="s">
        <v>3113</v>
      </c>
      <c r="AR928" s="3276"/>
      <c r="AS928" s="3276"/>
      <c r="AT928" s="3276"/>
      <c r="AU928" s="3276"/>
      <c r="AV928" s="3276"/>
      <c r="AW928" s="3276" t="s">
        <v>3171</v>
      </c>
      <c r="AX928" s="3276"/>
      <c r="AY928" s="3291"/>
      <c r="AZ928" s="3267" t="s">
        <v>9468</v>
      </c>
      <c r="BA928" s="3276"/>
      <c r="BB928" s="3291"/>
      <c r="BC928" s="3276"/>
      <c r="BD928" s="3292"/>
      <c r="BE928" s="3276">
        <v>13701124676</v>
      </c>
      <c r="BF928" s="3281"/>
      <c r="BG928" s="3290">
        <v>39052</v>
      </c>
      <c r="BH928" s="3276"/>
      <c r="BI928" s="3314" t="s">
        <v>3537</v>
      </c>
      <c r="BJ928" s="3283">
        <v>39052</v>
      </c>
      <c r="BK928" s="3283"/>
      <c r="BL928" s="3267" t="s">
        <v>2998</v>
      </c>
      <c r="BM928" s="3276" t="s">
        <v>2879</v>
      </c>
      <c r="BN928" s="3276" t="s">
        <v>2999</v>
      </c>
      <c r="BO928" s="3276" t="s">
        <v>3146</v>
      </c>
      <c r="BP928" s="3276"/>
      <c r="BQ928" s="3276"/>
      <c r="BR928" s="3276"/>
      <c r="BS928" s="3285"/>
      <c r="BT928" s="3285"/>
      <c r="BU928" s="3285"/>
    </row>
    <row r="929" spans="1:245" hidden="1">
      <c r="A929" s="3267" t="s">
        <v>9469</v>
      </c>
      <c r="B929" s="3267" t="s">
        <v>9470</v>
      </c>
      <c r="C929" s="3269" t="s">
        <v>9471</v>
      </c>
      <c r="D929" s="3269" t="s">
        <v>9472</v>
      </c>
      <c r="E929" s="3268" t="s">
        <v>2985</v>
      </c>
      <c r="F929" s="3268" t="s">
        <v>4884</v>
      </c>
      <c r="G929" s="3267"/>
      <c r="H929" s="3268" t="s">
        <v>7343</v>
      </c>
      <c r="I929" s="3268" t="s">
        <v>3458</v>
      </c>
      <c r="J929" s="3267" t="s">
        <v>6259</v>
      </c>
      <c r="K929" s="3267" t="s">
        <v>9473</v>
      </c>
      <c r="L929" s="3267">
        <v>43.26</v>
      </c>
      <c r="M929" s="3267">
        <v>15</v>
      </c>
      <c r="N929" s="3267" t="s">
        <v>3535</v>
      </c>
      <c r="O929" s="3267">
        <v>35.47</v>
      </c>
      <c r="P929" s="3267" t="s">
        <v>2963</v>
      </c>
      <c r="Q929" s="3271">
        <v>386000</v>
      </c>
      <c r="R929" s="3267">
        <v>8923</v>
      </c>
      <c r="S929" s="3272">
        <v>33.04</v>
      </c>
      <c r="T929" s="3273">
        <v>330400</v>
      </c>
      <c r="U929" s="3267">
        <v>7638</v>
      </c>
      <c r="V929" s="3289">
        <v>0.2</v>
      </c>
      <c r="W929" s="3272">
        <v>26.43</v>
      </c>
      <c r="X929" s="3275">
        <v>264300</v>
      </c>
      <c r="Y929" s="3276">
        <v>2006</v>
      </c>
      <c r="Z929" s="3276">
        <v>12</v>
      </c>
      <c r="AA929" s="3276">
        <v>20</v>
      </c>
      <c r="AB929" s="3267">
        <v>990</v>
      </c>
      <c r="AC929" s="3267" t="s">
        <v>2980</v>
      </c>
      <c r="AD929" s="3269" t="s">
        <v>9474</v>
      </c>
      <c r="AE929" s="3279" t="s">
        <v>3344</v>
      </c>
      <c r="AF929" s="3268" t="s">
        <v>2966</v>
      </c>
      <c r="AG929" s="3279" t="s">
        <v>2967</v>
      </c>
      <c r="AH929" s="3267"/>
      <c r="AI929" s="3279" t="s">
        <v>2992</v>
      </c>
      <c r="AJ929" s="3284"/>
      <c r="AK929" s="3278" t="s">
        <v>3120</v>
      </c>
      <c r="AL929" s="3276">
        <v>58</v>
      </c>
      <c r="AM929" s="3276"/>
      <c r="AN929" s="3279" t="s">
        <v>3140</v>
      </c>
      <c r="AO929" s="3267"/>
      <c r="AP929" s="3279" t="s">
        <v>3180</v>
      </c>
      <c r="AQ929" s="3276" t="s">
        <v>3113</v>
      </c>
      <c r="AR929" s="3276"/>
      <c r="AS929" s="3276"/>
      <c r="AT929" s="3276"/>
      <c r="AU929" s="3276"/>
      <c r="AV929" s="3276" t="s">
        <v>2968</v>
      </c>
      <c r="AW929" s="3267" t="s">
        <v>3171</v>
      </c>
      <c r="AX929" s="3276"/>
      <c r="AY929" s="3291"/>
      <c r="AZ929" s="3267" t="s">
        <v>9473</v>
      </c>
      <c r="BA929" s="3296"/>
      <c r="BB929" s="3297"/>
      <c r="BC929" s="3296"/>
      <c r="BD929" s="3298"/>
      <c r="BE929" s="3276">
        <v>13901103174</v>
      </c>
      <c r="BF929" s="3281" t="s">
        <v>2968</v>
      </c>
      <c r="BG929" s="3293">
        <v>39034</v>
      </c>
      <c r="BH929" s="3267" t="s">
        <v>2998</v>
      </c>
      <c r="BI929" s="3314" t="s">
        <v>3180</v>
      </c>
      <c r="BJ929" s="3293">
        <v>39052</v>
      </c>
      <c r="BK929" s="3283"/>
      <c r="BL929" s="3267" t="s">
        <v>3249</v>
      </c>
      <c r="BM929" s="3276" t="s">
        <v>2879</v>
      </c>
      <c r="BN929" s="3276" t="s">
        <v>2999</v>
      </c>
      <c r="BO929" s="3276" t="s">
        <v>3146</v>
      </c>
      <c r="BP929" s="3276"/>
      <c r="BQ929" s="3276">
        <v>9315</v>
      </c>
      <c r="BR929" s="3276">
        <v>10882</v>
      </c>
      <c r="BS929" s="3285"/>
      <c r="BT929" s="3285"/>
      <c r="BU929" s="3285"/>
    </row>
    <row r="930" spans="1:245" hidden="1">
      <c r="A930" s="3267" t="s">
        <v>9475</v>
      </c>
      <c r="B930" s="3267" t="s">
        <v>9476</v>
      </c>
      <c r="C930" s="3269" t="s">
        <v>9477</v>
      </c>
      <c r="D930" s="3269" t="s">
        <v>9478</v>
      </c>
      <c r="E930" s="3268" t="s">
        <v>2985</v>
      </c>
      <c r="F930" s="3268" t="s">
        <v>3261</v>
      </c>
      <c r="G930" s="3267"/>
      <c r="H930" s="3267" t="s">
        <v>4158</v>
      </c>
      <c r="I930" s="3268" t="s">
        <v>3191</v>
      </c>
      <c r="J930" s="3267" t="s">
        <v>3528</v>
      </c>
      <c r="K930" s="3267" t="s">
        <v>9479</v>
      </c>
      <c r="L930" s="3267">
        <v>56.59</v>
      </c>
      <c r="M930" s="3267">
        <v>6</v>
      </c>
      <c r="N930" s="3267" t="s">
        <v>3122</v>
      </c>
      <c r="O930" s="3267"/>
      <c r="P930" s="3267" t="s">
        <v>2963</v>
      </c>
      <c r="Q930" s="3271">
        <v>480000</v>
      </c>
      <c r="R930" s="3267">
        <v>8482</v>
      </c>
      <c r="S930" s="3272">
        <v>43.01</v>
      </c>
      <c r="T930" s="3273">
        <v>430100</v>
      </c>
      <c r="U930" s="3267">
        <v>7601</v>
      </c>
      <c r="V930" s="3289">
        <v>0.2</v>
      </c>
      <c r="W930" s="3272">
        <v>34.4</v>
      </c>
      <c r="X930" s="3275">
        <v>344000</v>
      </c>
      <c r="Y930" s="3276">
        <v>2006</v>
      </c>
      <c r="Z930" s="3276">
        <v>12</v>
      </c>
      <c r="AA930" s="3276">
        <v>20</v>
      </c>
      <c r="AB930" s="3267">
        <v>1290</v>
      </c>
      <c r="AC930" s="3267" t="s">
        <v>2980</v>
      </c>
      <c r="AD930" s="3280" t="s">
        <v>9480</v>
      </c>
      <c r="AE930" s="3279" t="s">
        <v>3344</v>
      </c>
      <c r="AF930" s="3268" t="s">
        <v>2966</v>
      </c>
      <c r="AG930" s="3279" t="s">
        <v>2967</v>
      </c>
      <c r="AH930" s="3267"/>
      <c r="AI930" s="3279" t="s">
        <v>2992</v>
      </c>
      <c r="AJ930" s="3284"/>
      <c r="AK930" s="3278" t="s">
        <v>3120</v>
      </c>
      <c r="AL930" s="3276">
        <v>32</v>
      </c>
      <c r="AM930" s="3267"/>
      <c r="AN930" s="3279" t="s">
        <v>3140</v>
      </c>
      <c r="AO930" s="3267"/>
      <c r="AP930" s="3279" t="s">
        <v>3180</v>
      </c>
      <c r="AQ930" s="3276" t="s">
        <v>3113</v>
      </c>
      <c r="AR930" s="3276"/>
      <c r="AS930" s="3276"/>
      <c r="AT930" s="3276"/>
      <c r="AU930" s="3276"/>
      <c r="AV930" s="3276" t="s">
        <v>2968</v>
      </c>
      <c r="AW930" s="3276" t="s">
        <v>3171</v>
      </c>
      <c r="AX930" s="3276"/>
      <c r="AY930" s="3291"/>
      <c r="AZ930" s="3267" t="s">
        <v>9479</v>
      </c>
      <c r="BA930" s="3296"/>
      <c r="BB930" s="3297"/>
      <c r="BC930" s="3296"/>
      <c r="BD930" s="3298"/>
      <c r="BE930" s="3276"/>
      <c r="BF930" s="3281" t="s">
        <v>2968</v>
      </c>
      <c r="BG930" s="3293">
        <v>39050</v>
      </c>
      <c r="BH930" s="3267" t="s">
        <v>2998</v>
      </c>
      <c r="BI930" s="3314" t="s">
        <v>3180</v>
      </c>
      <c r="BJ930" s="3283">
        <v>39052</v>
      </c>
      <c r="BK930" s="3283"/>
      <c r="BL930" s="3267" t="s">
        <v>3249</v>
      </c>
      <c r="BM930" s="3276" t="s">
        <v>2879</v>
      </c>
      <c r="BN930" s="3276" t="s">
        <v>2999</v>
      </c>
      <c r="BO930" s="3276" t="s">
        <v>3146</v>
      </c>
      <c r="BP930" s="3276"/>
      <c r="BQ930" s="3276" t="e">
        <v>#DIV/0!</v>
      </c>
      <c r="BR930" s="3276" t="e">
        <v>#DIV/0!</v>
      </c>
      <c r="BS930" s="3285"/>
      <c r="BT930" s="3285"/>
      <c r="BU930" s="3285"/>
    </row>
    <row r="931" spans="1:245" hidden="1">
      <c r="A931" s="3267" t="s">
        <v>9481</v>
      </c>
      <c r="B931" s="3267" t="s">
        <v>9482</v>
      </c>
      <c r="C931" s="3269" t="s">
        <v>9483</v>
      </c>
      <c r="D931" s="3267">
        <v>13810146038</v>
      </c>
      <c r="E931" s="3267" t="s">
        <v>2985</v>
      </c>
      <c r="F931" s="3267" t="s">
        <v>9484</v>
      </c>
      <c r="G931" s="3267"/>
      <c r="H931" s="3267"/>
      <c r="I931" s="3267"/>
      <c r="J931" s="3267" t="s">
        <v>9485</v>
      </c>
      <c r="K931" s="3268" t="s">
        <v>9486</v>
      </c>
      <c r="L931" s="3267">
        <v>50.22</v>
      </c>
      <c r="M931" s="3267">
        <v>13</v>
      </c>
      <c r="N931" s="3267" t="s">
        <v>3152</v>
      </c>
      <c r="O931" s="3267"/>
      <c r="P931" s="3267" t="s">
        <v>2963</v>
      </c>
      <c r="Q931" s="3267">
        <v>450000</v>
      </c>
      <c r="R931" s="3267">
        <v>8961</v>
      </c>
      <c r="S931" s="3272">
        <v>37.56</v>
      </c>
      <c r="T931" s="3273">
        <v>375600</v>
      </c>
      <c r="U931" s="3267">
        <v>7481</v>
      </c>
      <c r="V931" s="3274">
        <v>0.2</v>
      </c>
      <c r="W931" s="3272">
        <v>30.04</v>
      </c>
      <c r="X931" s="3275">
        <v>300400</v>
      </c>
      <c r="Y931" s="3267">
        <v>2006</v>
      </c>
      <c r="Z931" s="3267">
        <v>12</v>
      </c>
      <c r="AA931" s="3276">
        <v>6</v>
      </c>
      <c r="AB931" s="3267">
        <v>1125</v>
      </c>
      <c r="AC931" s="3267" t="s">
        <v>2980</v>
      </c>
      <c r="AD931" s="3269" t="s">
        <v>9487</v>
      </c>
      <c r="AE931" s="3267" t="s">
        <v>3069</v>
      </c>
      <c r="AF931" s="3267" t="s">
        <v>2966</v>
      </c>
      <c r="AG931" s="3267" t="s">
        <v>2967</v>
      </c>
      <c r="AH931" s="3267"/>
      <c r="AI931" s="3267" t="s">
        <v>2992</v>
      </c>
      <c r="AJ931" s="3284"/>
      <c r="AK931" s="3267" t="s">
        <v>3120</v>
      </c>
      <c r="AL931" s="3267" t="s">
        <v>5837</v>
      </c>
      <c r="AM931" s="3267"/>
      <c r="AN931" s="3267" t="s">
        <v>3140</v>
      </c>
      <c r="AO931" s="3267"/>
      <c r="AP931" s="3267" t="s">
        <v>3069</v>
      </c>
      <c r="AQ931" s="3276" t="s">
        <v>2996</v>
      </c>
      <c r="AR931" s="3267"/>
      <c r="AS931" s="3267"/>
      <c r="AT931" s="3267"/>
      <c r="AU931" s="3267"/>
      <c r="AV931" s="3267"/>
      <c r="AW931" s="3267" t="s">
        <v>3112</v>
      </c>
      <c r="AX931" s="3267"/>
      <c r="AY931" s="3269"/>
      <c r="AZ931" s="3268" t="s">
        <v>9486</v>
      </c>
      <c r="BA931" s="3267"/>
      <c r="BB931" s="3267"/>
      <c r="BC931" s="3267"/>
      <c r="BD931" s="3267"/>
      <c r="BE931" s="3267"/>
      <c r="BF931" s="3267"/>
      <c r="BG931" s="3307">
        <v>39042</v>
      </c>
      <c r="BH931" s="3267"/>
      <c r="BI931" s="3279" t="s">
        <v>3069</v>
      </c>
      <c r="BJ931" s="3307">
        <v>39055</v>
      </c>
      <c r="BK931" s="3283"/>
      <c r="BL931" s="3267" t="s">
        <v>2998</v>
      </c>
      <c r="BM931" s="3267" t="s">
        <v>2879</v>
      </c>
      <c r="BN931" s="3267" t="s">
        <v>2999</v>
      </c>
      <c r="BO931" s="3267" t="s">
        <v>3000</v>
      </c>
      <c r="BP931" s="3267"/>
      <c r="BQ931" s="3276" t="e">
        <v>#DIV/0!</v>
      </c>
      <c r="BR931" s="3276" t="e">
        <v>#DIV/0!</v>
      </c>
      <c r="BS931" s="3285"/>
      <c r="BT931" s="3285"/>
      <c r="BU931" s="3285"/>
    </row>
    <row r="932" spans="1:245" hidden="1">
      <c r="A932" s="3267" t="s">
        <v>9488</v>
      </c>
      <c r="B932" s="3267" t="s">
        <v>9489</v>
      </c>
      <c r="C932" s="3269" t="s">
        <v>9490</v>
      </c>
      <c r="D932" s="3269" t="s">
        <v>9491</v>
      </c>
      <c r="E932" s="3268" t="s">
        <v>2985</v>
      </c>
      <c r="F932" s="3268" t="s">
        <v>5117</v>
      </c>
      <c r="G932" s="3267"/>
      <c r="H932" s="3267" t="s">
        <v>3194</v>
      </c>
      <c r="I932" s="3268"/>
      <c r="J932" s="3268" t="s">
        <v>9492</v>
      </c>
      <c r="K932" s="3267" t="s">
        <v>9493</v>
      </c>
      <c r="L932" s="3267">
        <v>50.62</v>
      </c>
      <c r="M932" s="3267">
        <v>24</v>
      </c>
      <c r="N932" s="3267" t="s">
        <v>3535</v>
      </c>
      <c r="O932" s="3267"/>
      <c r="P932" s="3267" t="s">
        <v>2963</v>
      </c>
      <c r="Q932" s="3271">
        <v>435000</v>
      </c>
      <c r="R932" s="3267">
        <v>8593</v>
      </c>
      <c r="S932" s="3272">
        <v>42.52</v>
      </c>
      <c r="T932" s="3273">
        <v>425200</v>
      </c>
      <c r="U932" s="3267">
        <v>8400</v>
      </c>
      <c r="V932" s="3289">
        <v>0.2</v>
      </c>
      <c r="W932" s="3272">
        <v>34.01</v>
      </c>
      <c r="X932" s="3275">
        <v>340100</v>
      </c>
      <c r="Y932" s="3276">
        <v>2006</v>
      </c>
      <c r="Z932" s="3276">
        <v>12</v>
      </c>
      <c r="AA932" s="3276">
        <v>8</v>
      </c>
      <c r="AB932" s="3267">
        <v>1275</v>
      </c>
      <c r="AC932" s="3267" t="s">
        <v>2980</v>
      </c>
      <c r="AD932" s="3366">
        <v>91302006120104</v>
      </c>
      <c r="AE932" s="3279" t="s">
        <v>2991</v>
      </c>
      <c r="AF932" s="3268"/>
      <c r="AG932" s="3279" t="s">
        <v>2967</v>
      </c>
      <c r="AH932" s="3267"/>
      <c r="AI932" s="3279" t="s">
        <v>2992</v>
      </c>
      <c r="AJ932" s="3284"/>
      <c r="AK932" s="3278" t="s">
        <v>3120</v>
      </c>
      <c r="AL932" s="3276">
        <v>58</v>
      </c>
      <c r="AM932" s="3276"/>
      <c r="AN932" s="3279" t="s">
        <v>3140</v>
      </c>
      <c r="AO932" s="3267"/>
      <c r="AP932" s="3279" t="s">
        <v>2991</v>
      </c>
      <c r="AQ932" s="3276" t="s">
        <v>2996</v>
      </c>
      <c r="AR932" s="3276"/>
      <c r="AS932" s="3276"/>
      <c r="AT932" s="3276"/>
      <c r="AU932" s="3276"/>
      <c r="AV932" s="3276"/>
      <c r="AW932" s="3276" t="s">
        <v>2997</v>
      </c>
      <c r="AX932" s="3276"/>
      <c r="AY932" s="3291"/>
      <c r="AZ932" s="3267" t="s">
        <v>9493</v>
      </c>
      <c r="BA932" s="3296"/>
      <c r="BB932" s="3297"/>
      <c r="BC932" s="3296"/>
      <c r="BD932" s="3298"/>
      <c r="BE932" s="3276"/>
      <c r="BF932" s="3281"/>
      <c r="BG932" s="3293">
        <v>39047</v>
      </c>
      <c r="BH932" s="3267"/>
      <c r="BI932" s="3279" t="s">
        <v>2991</v>
      </c>
      <c r="BJ932" s="3299">
        <v>39055</v>
      </c>
      <c r="BK932" s="3283" t="s">
        <v>2968</v>
      </c>
      <c r="BL932" s="3267" t="s">
        <v>2998</v>
      </c>
      <c r="BM932" s="3276" t="s">
        <v>2879</v>
      </c>
      <c r="BN932" s="3276" t="s">
        <v>2999</v>
      </c>
      <c r="BO932" s="3276" t="s">
        <v>3146</v>
      </c>
      <c r="BP932" s="3276"/>
      <c r="BQ932" s="3276" t="e">
        <v>#DIV/0!</v>
      </c>
      <c r="BR932" s="3276" t="e">
        <v>#DIV/0!</v>
      </c>
      <c r="BS932" s="3285"/>
      <c r="BT932" s="3285"/>
      <c r="BU932" s="3285"/>
      <c r="BW932" s="3262" t="s">
        <v>3262</v>
      </c>
      <c r="BX932" s="3262" t="s">
        <v>3262</v>
      </c>
      <c r="BY932" s="3262" t="s">
        <v>3262</v>
      </c>
      <c r="BZ932" s="3262" t="s">
        <v>3262</v>
      </c>
      <c r="CA932" s="3262" t="s">
        <v>3262</v>
      </c>
      <c r="CB932" s="3262" t="s">
        <v>3262</v>
      </c>
      <c r="CC932" s="3262" t="s">
        <v>3262</v>
      </c>
      <c r="CD932" s="3262" t="s">
        <v>3262</v>
      </c>
      <c r="CE932" s="3262" t="s">
        <v>3262</v>
      </c>
      <c r="CF932" s="3262" t="s">
        <v>3262</v>
      </c>
      <c r="CG932" s="3262" t="s">
        <v>3262</v>
      </c>
      <c r="CH932" s="3262" t="s">
        <v>3262</v>
      </c>
      <c r="CI932" s="3262" t="s">
        <v>3262</v>
      </c>
      <c r="CJ932" s="3262" t="s">
        <v>3262</v>
      </c>
      <c r="CK932" s="3262" t="s">
        <v>3262</v>
      </c>
      <c r="CL932" s="3262" t="s">
        <v>3262</v>
      </c>
      <c r="CM932" s="3262" t="s">
        <v>3262</v>
      </c>
      <c r="CN932" s="3262" t="s">
        <v>3262</v>
      </c>
      <c r="CO932" s="3262" t="s">
        <v>3262</v>
      </c>
      <c r="CP932" s="3262" t="s">
        <v>3262</v>
      </c>
      <c r="CQ932" s="3262" t="s">
        <v>3262</v>
      </c>
      <c r="CR932" s="3262" t="s">
        <v>3262</v>
      </c>
      <c r="CS932" s="3262" t="s">
        <v>3262</v>
      </c>
      <c r="CT932" s="3262" t="s">
        <v>3262</v>
      </c>
      <c r="CU932" s="3262" t="s">
        <v>3262</v>
      </c>
      <c r="CV932" s="3262" t="s">
        <v>3262</v>
      </c>
      <c r="CW932" s="3262" t="s">
        <v>3262</v>
      </c>
      <c r="CX932" s="3262" t="s">
        <v>3262</v>
      </c>
      <c r="CY932" s="3262" t="s">
        <v>3262</v>
      </c>
      <c r="CZ932" s="3262" t="s">
        <v>3262</v>
      </c>
      <c r="DA932" s="3262" t="s">
        <v>3262</v>
      </c>
      <c r="DB932" s="3262" t="s">
        <v>3262</v>
      </c>
      <c r="DC932" s="3262" t="s">
        <v>3262</v>
      </c>
      <c r="DD932" s="3262" t="s">
        <v>3262</v>
      </c>
      <c r="DE932" s="3262" t="s">
        <v>3262</v>
      </c>
      <c r="DF932" s="3262" t="s">
        <v>3262</v>
      </c>
      <c r="DG932" s="3262" t="s">
        <v>3262</v>
      </c>
      <c r="DH932" s="3262" t="s">
        <v>3262</v>
      </c>
      <c r="DI932" s="3262" t="s">
        <v>3262</v>
      </c>
      <c r="DJ932" s="3262" t="s">
        <v>3262</v>
      </c>
      <c r="DK932" s="3262" t="s">
        <v>3262</v>
      </c>
      <c r="DL932" s="3262" t="s">
        <v>3262</v>
      </c>
      <c r="DM932" s="3262" t="s">
        <v>3262</v>
      </c>
      <c r="DN932" s="3262" t="s">
        <v>3262</v>
      </c>
      <c r="DO932" s="3262" t="s">
        <v>3262</v>
      </c>
      <c r="DP932" s="3262" t="s">
        <v>3262</v>
      </c>
      <c r="DQ932" s="3262" t="s">
        <v>3262</v>
      </c>
      <c r="DR932" s="3262" t="s">
        <v>3262</v>
      </c>
      <c r="DS932" s="3262" t="s">
        <v>3262</v>
      </c>
      <c r="DT932" s="3262" t="s">
        <v>3262</v>
      </c>
      <c r="DU932" s="3262" t="s">
        <v>3262</v>
      </c>
      <c r="DV932" s="3262" t="s">
        <v>3262</v>
      </c>
      <c r="DW932" s="3262" t="s">
        <v>3262</v>
      </c>
      <c r="DX932" s="3262" t="s">
        <v>3262</v>
      </c>
      <c r="DY932" s="3262" t="s">
        <v>3262</v>
      </c>
      <c r="DZ932" s="3262" t="s">
        <v>3262</v>
      </c>
      <c r="EA932" s="3262" t="s">
        <v>3262</v>
      </c>
      <c r="EB932" s="3262" t="s">
        <v>3262</v>
      </c>
      <c r="EC932" s="3262" t="s">
        <v>3262</v>
      </c>
      <c r="ED932" s="3262" t="s">
        <v>3262</v>
      </c>
      <c r="EE932" s="3262" t="s">
        <v>3262</v>
      </c>
      <c r="EF932" s="3262" t="s">
        <v>3262</v>
      </c>
      <c r="EG932" s="3262" t="s">
        <v>3262</v>
      </c>
      <c r="EH932" s="3262" t="s">
        <v>3262</v>
      </c>
      <c r="EI932" s="3262" t="s">
        <v>3262</v>
      </c>
      <c r="EJ932" s="3262" t="s">
        <v>3262</v>
      </c>
      <c r="EK932" s="3262" t="s">
        <v>3262</v>
      </c>
      <c r="EL932" s="3262" t="s">
        <v>3262</v>
      </c>
      <c r="EM932" s="3262" t="s">
        <v>3262</v>
      </c>
      <c r="EN932" s="3262" t="s">
        <v>3262</v>
      </c>
      <c r="EO932" s="3262" t="s">
        <v>3262</v>
      </c>
      <c r="EP932" s="3262" t="s">
        <v>3262</v>
      </c>
      <c r="EQ932" s="3262" t="s">
        <v>3262</v>
      </c>
      <c r="ER932" s="3262" t="s">
        <v>3262</v>
      </c>
      <c r="ES932" s="3262" t="s">
        <v>3262</v>
      </c>
      <c r="ET932" s="3262" t="s">
        <v>3262</v>
      </c>
      <c r="EU932" s="3262" t="s">
        <v>3262</v>
      </c>
      <c r="EV932" s="3262" t="s">
        <v>3262</v>
      </c>
      <c r="EW932" s="3262" t="s">
        <v>3262</v>
      </c>
      <c r="EX932" s="3262" t="s">
        <v>3262</v>
      </c>
      <c r="EY932" s="3262" t="s">
        <v>3262</v>
      </c>
      <c r="EZ932" s="3262" t="s">
        <v>3262</v>
      </c>
      <c r="FA932" s="3262" t="s">
        <v>3262</v>
      </c>
      <c r="FB932" s="3262" t="s">
        <v>3262</v>
      </c>
      <c r="FC932" s="3262" t="s">
        <v>3262</v>
      </c>
      <c r="FD932" s="3262" t="s">
        <v>3262</v>
      </c>
      <c r="FE932" s="3262" t="s">
        <v>3262</v>
      </c>
      <c r="FF932" s="3262" t="s">
        <v>3262</v>
      </c>
      <c r="FG932" s="3262" t="s">
        <v>3262</v>
      </c>
      <c r="FH932" s="3262" t="s">
        <v>3262</v>
      </c>
      <c r="FI932" s="3262" t="s">
        <v>3262</v>
      </c>
      <c r="FJ932" s="3262" t="s">
        <v>3262</v>
      </c>
      <c r="FK932" s="3262" t="s">
        <v>3262</v>
      </c>
      <c r="FL932" s="3262" t="s">
        <v>3262</v>
      </c>
      <c r="FM932" s="3262" t="s">
        <v>3262</v>
      </c>
      <c r="FN932" s="3262" t="s">
        <v>3262</v>
      </c>
      <c r="FO932" s="3262" t="s">
        <v>3262</v>
      </c>
      <c r="FP932" s="3262" t="s">
        <v>3262</v>
      </c>
      <c r="FQ932" s="3262" t="s">
        <v>3262</v>
      </c>
      <c r="FR932" s="3262" t="s">
        <v>3262</v>
      </c>
      <c r="FS932" s="3262" t="s">
        <v>3262</v>
      </c>
      <c r="FT932" s="3262" t="s">
        <v>3262</v>
      </c>
      <c r="FU932" s="3262" t="s">
        <v>3262</v>
      </c>
      <c r="FV932" s="3262" t="s">
        <v>3262</v>
      </c>
      <c r="FW932" s="3262" t="s">
        <v>3262</v>
      </c>
      <c r="FX932" s="3262" t="s">
        <v>3262</v>
      </c>
      <c r="FY932" s="3262" t="s">
        <v>3262</v>
      </c>
      <c r="FZ932" s="3262" t="s">
        <v>3262</v>
      </c>
      <c r="GA932" s="3262" t="s">
        <v>3262</v>
      </c>
      <c r="GB932" s="3262" t="s">
        <v>3262</v>
      </c>
      <c r="GC932" s="3262" t="s">
        <v>3262</v>
      </c>
      <c r="GD932" s="3262" t="s">
        <v>3262</v>
      </c>
      <c r="GE932" s="3262" t="s">
        <v>3262</v>
      </c>
      <c r="GF932" s="3262" t="s">
        <v>3262</v>
      </c>
      <c r="GG932" s="3262" t="s">
        <v>3262</v>
      </c>
      <c r="GH932" s="3262" t="s">
        <v>3262</v>
      </c>
      <c r="GI932" s="3262" t="s">
        <v>3262</v>
      </c>
      <c r="GJ932" s="3262" t="s">
        <v>3262</v>
      </c>
      <c r="GK932" s="3262" t="s">
        <v>3262</v>
      </c>
      <c r="GL932" s="3262" t="s">
        <v>3262</v>
      </c>
      <c r="GM932" s="3262" t="s">
        <v>3262</v>
      </c>
      <c r="GN932" s="3262" t="s">
        <v>3262</v>
      </c>
      <c r="GO932" s="3262" t="s">
        <v>3262</v>
      </c>
      <c r="GP932" s="3262" t="s">
        <v>3262</v>
      </c>
      <c r="GQ932" s="3262" t="s">
        <v>3262</v>
      </c>
      <c r="GR932" s="3262" t="s">
        <v>3262</v>
      </c>
      <c r="GS932" s="3262" t="s">
        <v>3262</v>
      </c>
      <c r="GT932" s="3262" t="s">
        <v>3262</v>
      </c>
      <c r="GU932" s="3262" t="s">
        <v>3262</v>
      </c>
      <c r="GV932" s="3262" t="s">
        <v>3262</v>
      </c>
      <c r="GW932" s="3262" t="s">
        <v>3262</v>
      </c>
      <c r="GX932" s="3262" t="s">
        <v>3262</v>
      </c>
      <c r="GY932" s="3262" t="s">
        <v>3262</v>
      </c>
      <c r="GZ932" s="3262" t="s">
        <v>3262</v>
      </c>
      <c r="HA932" s="3262" t="s">
        <v>3262</v>
      </c>
      <c r="HB932" s="3262" t="s">
        <v>3262</v>
      </c>
      <c r="HC932" s="3262" t="s">
        <v>3262</v>
      </c>
      <c r="HD932" s="3262" t="s">
        <v>3262</v>
      </c>
      <c r="HE932" s="3262" t="s">
        <v>3262</v>
      </c>
      <c r="HF932" s="3262" t="s">
        <v>3262</v>
      </c>
      <c r="HG932" s="3262" t="s">
        <v>3262</v>
      </c>
      <c r="HH932" s="3262" t="s">
        <v>3262</v>
      </c>
      <c r="HI932" s="3262" t="s">
        <v>3262</v>
      </c>
      <c r="HJ932" s="3262" t="s">
        <v>3262</v>
      </c>
      <c r="HK932" s="3262" t="s">
        <v>3262</v>
      </c>
      <c r="HL932" s="3262" t="s">
        <v>3262</v>
      </c>
      <c r="HM932" s="3262" t="s">
        <v>3262</v>
      </c>
      <c r="HN932" s="3262" t="s">
        <v>3262</v>
      </c>
      <c r="HO932" s="3262" t="s">
        <v>3262</v>
      </c>
      <c r="HP932" s="3262" t="s">
        <v>3262</v>
      </c>
      <c r="HQ932" s="3262" t="s">
        <v>3262</v>
      </c>
      <c r="HR932" s="3262" t="s">
        <v>3262</v>
      </c>
      <c r="HS932" s="3262" t="s">
        <v>3262</v>
      </c>
      <c r="HT932" s="3262" t="s">
        <v>3262</v>
      </c>
      <c r="HU932" s="3262" t="s">
        <v>3262</v>
      </c>
      <c r="HV932" s="3262" t="s">
        <v>3262</v>
      </c>
      <c r="HW932" s="3262" t="s">
        <v>3262</v>
      </c>
      <c r="HX932" s="3262" t="s">
        <v>3262</v>
      </c>
      <c r="HY932" s="3262" t="s">
        <v>3262</v>
      </c>
      <c r="HZ932" s="3262" t="s">
        <v>3262</v>
      </c>
      <c r="IA932" s="3262" t="s">
        <v>3262</v>
      </c>
      <c r="IB932" s="3262" t="s">
        <v>3262</v>
      </c>
      <c r="IC932" s="3262" t="s">
        <v>3262</v>
      </c>
      <c r="ID932" s="3262" t="s">
        <v>3262</v>
      </c>
      <c r="IE932" s="3262" t="s">
        <v>3262</v>
      </c>
      <c r="IF932" s="3262" t="s">
        <v>3262</v>
      </c>
      <c r="IG932" s="3262" t="s">
        <v>3262</v>
      </c>
      <c r="IH932" s="3262" t="s">
        <v>3262</v>
      </c>
      <c r="II932" s="3262" t="s">
        <v>3262</v>
      </c>
      <c r="IJ932" s="3262" t="s">
        <v>3262</v>
      </c>
      <c r="IK932" s="3262" t="s">
        <v>3262</v>
      </c>
    </row>
    <row r="933" spans="1:245" hidden="1">
      <c r="A933" s="3267" t="s">
        <v>9494</v>
      </c>
      <c r="B933" s="3267" t="s">
        <v>9495</v>
      </c>
      <c r="C933" s="3269" t="s">
        <v>9496</v>
      </c>
      <c r="D933" s="3269" t="s">
        <v>9497</v>
      </c>
      <c r="E933" s="3268" t="s">
        <v>2985</v>
      </c>
      <c r="F933" s="3268" t="s">
        <v>3676</v>
      </c>
      <c r="G933" s="3267"/>
      <c r="H933" s="3267" t="s">
        <v>3169</v>
      </c>
      <c r="I933" s="3268"/>
      <c r="J933" s="3268" t="s">
        <v>9498</v>
      </c>
      <c r="K933" s="3267" t="s">
        <v>9499</v>
      </c>
      <c r="L933" s="3267">
        <v>48.01</v>
      </c>
      <c r="M933" s="3267">
        <v>1</v>
      </c>
      <c r="N933" s="3267" t="s">
        <v>3122</v>
      </c>
      <c r="O933" s="3267"/>
      <c r="P933" s="3267" t="s">
        <v>2963</v>
      </c>
      <c r="Q933" s="3271">
        <v>310000</v>
      </c>
      <c r="R933" s="3267">
        <v>6457</v>
      </c>
      <c r="S933" s="3272">
        <v>26.82</v>
      </c>
      <c r="T933" s="3273">
        <v>268200</v>
      </c>
      <c r="U933" s="3267">
        <v>5587</v>
      </c>
      <c r="V933" s="3289">
        <v>0.2</v>
      </c>
      <c r="W933" s="3272">
        <v>21.45</v>
      </c>
      <c r="X933" s="3275">
        <v>214500</v>
      </c>
      <c r="Y933" s="3276">
        <v>2006</v>
      </c>
      <c r="Z933" s="3276">
        <v>12</v>
      </c>
      <c r="AA933" s="3276">
        <v>22</v>
      </c>
      <c r="AB933" s="3267">
        <v>800</v>
      </c>
      <c r="AC933" s="3267" t="s">
        <v>2980</v>
      </c>
      <c r="AD933" s="3366">
        <v>91302006120112</v>
      </c>
      <c r="AE933" s="3279" t="s">
        <v>2991</v>
      </c>
      <c r="AF933" s="3268"/>
      <c r="AG933" s="3279" t="s">
        <v>2967</v>
      </c>
      <c r="AH933" s="3267"/>
      <c r="AI933" s="3279" t="s">
        <v>2992</v>
      </c>
      <c r="AJ933" s="3284"/>
      <c r="AK933" s="3278" t="s">
        <v>3120</v>
      </c>
      <c r="AL933" s="3276">
        <v>35</v>
      </c>
      <c r="AM933" s="3276"/>
      <c r="AN933" s="3279" t="s">
        <v>2994</v>
      </c>
      <c r="AO933" s="3267"/>
      <c r="AP933" s="3279" t="s">
        <v>2991</v>
      </c>
      <c r="AQ933" s="3276" t="s">
        <v>3113</v>
      </c>
      <c r="AR933" s="3276">
        <v>2006</v>
      </c>
      <c r="AS933" s="3276">
        <v>12</v>
      </c>
      <c r="AT933" s="3276">
        <v>22</v>
      </c>
      <c r="AU933" s="3276"/>
      <c r="AV933" s="3276"/>
      <c r="AW933" s="3276" t="s">
        <v>2997</v>
      </c>
      <c r="AX933" s="3276"/>
      <c r="AY933" s="3291"/>
      <c r="AZ933" s="3267" t="s">
        <v>9499</v>
      </c>
      <c r="BA933" s="3296"/>
      <c r="BB933" s="3297"/>
      <c r="BC933" s="3296"/>
      <c r="BD933" s="3298"/>
      <c r="BE933" s="3276"/>
      <c r="BF933" s="3281"/>
      <c r="BG933" s="3293">
        <v>39037</v>
      </c>
      <c r="BH933" s="3267"/>
      <c r="BI933" s="3279" t="s">
        <v>2991</v>
      </c>
      <c r="BJ933" s="3299">
        <v>39055</v>
      </c>
      <c r="BK933" s="3283" t="s">
        <v>2968</v>
      </c>
      <c r="BL933" s="3267" t="s">
        <v>2998</v>
      </c>
      <c r="BM933" s="3276" t="s">
        <v>2879</v>
      </c>
      <c r="BN933" s="3276" t="s">
        <v>2999</v>
      </c>
      <c r="BO933" s="3276" t="s">
        <v>3146</v>
      </c>
      <c r="BP933" s="3276"/>
      <c r="BQ933" s="3276" t="e">
        <v>#DIV/0!</v>
      </c>
      <c r="BR933" s="3276" t="e">
        <v>#DIV/0!</v>
      </c>
      <c r="BS933" s="3285"/>
      <c r="BT933" s="3285"/>
      <c r="BU933" s="3285"/>
      <c r="BW933" s="3262" t="s">
        <v>3262</v>
      </c>
      <c r="BX933" s="3262" t="s">
        <v>3262</v>
      </c>
      <c r="BY933" s="3262" t="s">
        <v>3262</v>
      </c>
      <c r="BZ933" s="3262" t="s">
        <v>3262</v>
      </c>
      <c r="CA933" s="3262" t="s">
        <v>3262</v>
      </c>
      <c r="CB933" s="3262" t="s">
        <v>3262</v>
      </c>
      <c r="CC933" s="3262" t="s">
        <v>3262</v>
      </c>
      <c r="CD933" s="3262" t="s">
        <v>3262</v>
      </c>
      <c r="CE933" s="3262" t="s">
        <v>3262</v>
      </c>
      <c r="CF933" s="3262" t="s">
        <v>3262</v>
      </c>
      <c r="CG933" s="3262" t="s">
        <v>3262</v>
      </c>
      <c r="CH933" s="3262" t="s">
        <v>3262</v>
      </c>
      <c r="CI933" s="3262" t="s">
        <v>3262</v>
      </c>
      <c r="CJ933" s="3262" t="s">
        <v>3262</v>
      </c>
      <c r="CK933" s="3262" t="s">
        <v>3262</v>
      </c>
      <c r="CL933" s="3262" t="s">
        <v>3262</v>
      </c>
      <c r="CM933" s="3262" t="s">
        <v>3262</v>
      </c>
      <c r="CN933" s="3262" t="s">
        <v>3262</v>
      </c>
      <c r="CO933" s="3262" t="s">
        <v>3262</v>
      </c>
      <c r="CP933" s="3262" t="s">
        <v>3262</v>
      </c>
      <c r="CQ933" s="3262" t="s">
        <v>3262</v>
      </c>
      <c r="CR933" s="3262" t="s">
        <v>3262</v>
      </c>
      <c r="CS933" s="3262" t="s">
        <v>3262</v>
      </c>
      <c r="CT933" s="3262" t="s">
        <v>3262</v>
      </c>
      <c r="CU933" s="3262" t="s">
        <v>3262</v>
      </c>
      <c r="CV933" s="3262" t="s">
        <v>3262</v>
      </c>
      <c r="CW933" s="3262" t="s">
        <v>3262</v>
      </c>
      <c r="CX933" s="3262" t="s">
        <v>3262</v>
      </c>
      <c r="CY933" s="3262" t="s">
        <v>3262</v>
      </c>
      <c r="CZ933" s="3262" t="s">
        <v>3262</v>
      </c>
      <c r="DA933" s="3262" t="s">
        <v>3262</v>
      </c>
      <c r="DB933" s="3262" t="s">
        <v>3262</v>
      </c>
      <c r="DC933" s="3262" t="s">
        <v>3262</v>
      </c>
      <c r="DD933" s="3262" t="s">
        <v>3262</v>
      </c>
      <c r="DE933" s="3262" t="s">
        <v>3262</v>
      </c>
      <c r="DF933" s="3262" t="s">
        <v>3262</v>
      </c>
      <c r="DG933" s="3262" t="s">
        <v>3262</v>
      </c>
      <c r="DH933" s="3262" t="s">
        <v>3262</v>
      </c>
      <c r="DI933" s="3262" t="s">
        <v>3262</v>
      </c>
      <c r="DJ933" s="3262" t="s">
        <v>3262</v>
      </c>
      <c r="DK933" s="3262" t="s">
        <v>3262</v>
      </c>
      <c r="DL933" s="3262" t="s">
        <v>3262</v>
      </c>
      <c r="DM933" s="3262" t="s">
        <v>3262</v>
      </c>
      <c r="DN933" s="3262" t="s">
        <v>3262</v>
      </c>
      <c r="DO933" s="3262" t="s">
        <v>3262</v>
      </c>
      <c r="DP933" s="3262" t="s">
        <v>3262</v>
      </c>
      <c r="DQ933" s="3262" t="s">
        <v>3262</v>
      </c>
      <c r="DR933" s="3262" t="s">
        <v>3262</v>
      </c>
      <c r="DS933" s="3262" t="s">
        <v>3262</v>
      </c>
      <c r="DT933" s="3262" t="s">
        <v>3262</v>
      </c>
      <c r="DU933" s="3262" t="s">
        <v>3262</v>
      </c>
      <c r="DV933" s="3262" t="s">
        <v>3262</v>
      </c>
      <c r="DW933" s="3262" t="s">
        <v>3262</v>
      </c>
      <c r="DX933" s="3262" t="s">
        <v>3262</v>
      </c>
      <c r="DY933" s="3262" t="s">
        <v>3262</v>
      </c>
      <c r="DZ933" s="3262" t="s">
        <v>3262</v>
      </c>
      <c r="EA933" s="3262" t="s">
        <v>3262</v>
      </c>
      <c r="EB933" s="3262" t="s">
        <v>3262</v>
      </c>
      <c r="EC933" s="3262" t="s">
        <v>3262</v>
      </c>
      <c r="ED933" s="3262" t="s">
        <v>3262</v>
      </c>
      <c r="EE933" s="3262" t="s">
        <v>3262</v>
      </c>
      <c r="EF933" s="3262" t="s">
        <v>3262</v>
      </c>
      <c r="EG933" s="3262" t="s">
        <v>3262</v>
      </c>
      <c r="EH933" s="3262" t="s">
        <v>3262</v>
      </c>
      <c r="EI933" s="3262" t="s">
        <v>3262</v>
      </c>
      <c r="EJ933" s="3262" t="s">
        <v>3262</v>
      </c>
      <c r="EK933" s="3262" t="s">
        <v>3262</v>
      </c>
      <c r="EL933" s="3262" t="s">
        <v>3262</v>
      </c>
      <c r="EM933" s="3262" t="s">
        <v>3262</v>
      </c>
      <c r="EN933" s="3262" t="s">
        <v>3262</v>
      </c>
      <c r="EO933" s="3262" t="s">
        <v>3262</v>
      </c>
      <c r="EP933" s="3262" t="s">
        <v>3262</v>
      </c>
      <c r="EQ933" s="3262" t="s">
        <v>3262</v>
      </c>
      <c r="ER933" s="3262" t="s">
        <v>3262</v>
      </c>
      <c r="ES933" s="3262" t="s">
        <v>3262</v>
      </c>
      <c r="ET933" s="3262" t="s">
        <v>3262</v>
      </c>
      <c r="EU933" s="3262" t="s">
        <v>3262</v>
      </c>
      <c r="EV933" s="3262" t="s">
        <v>3262</v>
      </c>
      <c r="EW933" s="3262" t="s">
        <v>3262</v>
      </c>
      <c r="EX933" s="3262" t="s">
        <v>3262</v>
      </c>
      <c r="EY933" s="3262" t="s">
        <v>3262</v>
      </c>
      <c r="EZ933" s="3262" t="s">
        <v>3262</v>
      </c>
      <c r="FA933" s="3262" t="s">
        <v>3262</v>
      </c>
      <c r="FB933" s="3262" t="s">
        <v>3262</v>
      </c>
      <c r="FC933" s="3262" t="s">
        <v>3262</v>
      </c>
      <c r="FD933" s="3262" t="s">
        <v>3262</v>
      </c>
      <c r="FE933" s="3262" t="s">
        <v>3262</v>
      </c>
      <c r="FF933" s="3262" t="s">
        <v>3262</v>
      </c>
      <c r="FG933" s="3262" t="s">
        <v>3262</v>
      </c>
      <c r="FH933" s="3262" t="s">
        <v>3262</v>
      </c>
      <c r="FI933" s="3262" t="s">
        <v>3262</v>
      </c>
      <c r="FJ933" s="3262" t="s">
        <v>3262</v>
      </c>
      <c r="FK933" s="3262" t="s">
        <v>3262</v>
      </c>
      <c r="FL933" s="3262" t="s">
        <v>3262</v>
      </c>
      <c r="FM933" s="3262" t="s">
        <v>3262</v>
      </c>
      <c r="FN933" s="3262" t="s">
        <v>3262</v>
      </c>
      <c r="FO933" s="3262" t="s">
        <v>3262</v>
      </c>
      <c r="FP933" s="3262" t="s">
        <v>3262</v>
      </c>
      <c r="FQ933" s="3262" t="s">
        <v>3262</v>
      </c>
      <c r="FR933" s="3262" t="s">
        <v>3262</v>
      </c>
      <c r="FS933" s="3262" t="s">
        <v>3262</v>
      </c>
      <c r="FT933" s="3262" t="s">
        <v>3262</v>
      </c>
      <c r="FU933" s="3262" t="s">
        <v>3262</v>
      </c>
      <c r="FV933" s="3262" t="s">
        <v>3262</v>
      </c>
      <c r="FW933" s="3262" t="s">
        <v>3262</v>
      </c>
      <c r="FX933" s="3262" t="s">
        <v>3262</v>
      </c>
      <c r="FY933" s="3262" t="s">
        <v>3262</v>
      </c>
      <c r="FZ933" s="3262" t="s">
        <v>3262</v>
      </c>
      <c r="GA933" s="3262" t="s">
        <v>3262</v>
      </c>
      <c r="GB933" s="3262" t="s">
        <v>3262</v>
      </c>
      <c r="GC933" s="3262" t="s">
        <v>3262</v>
      </c>
      <c r="GD933" s="3262" t="s">
        <v>3262</v>
      </c>
      <c r="GE933" s="3262" t="s">
        <v>3262</v>
      </c>
      <c r="GF933" s="3262" t="s">
        <v>3262</v>
      </c>
      <c r="GG933" s="3262" t="s">
        <v>3262</v>
      </c>
      <c r="GH933" s="3262" t="s">
        <v>3262</v>
      </c>
      <c r="GI933" s="3262" t="s">
        <v>3262</v>
      </c>
      <c r="GJ933" s="3262" t="s">
        <v>3262</v>
      </c>
      <c r="GK933" s="3262" t="s">
        <v>3262</v>
      </c>
      <c r="GL933" s="3262" t="s">
        <v>3262</v>
      </c>
      <c r="GM933" s="3262" t="s">
        <v>3262</v>
      </c>
      <c r="GN933" s="3262" t="s">
        <v>3262</v>
      </c>
      <c r="GO933" s="3262" t="s">
        <v>3262</v>
      </c>
      <c r="GP933" s="3262" t="s">
        <v>3262</v>
      </c>
      <c r="GQ933" s="3262" t="s">
        <v>3262</v>
      </c>
      <c r="GR933" s="3262" t="s">
        <v>3262</v>
      </c>
      <c r="GS933" s="3262" t="s">
        <v>3262</v>
      </c>
      <c r="GT933" s="3262" t="s">
        <v>3262</v>
      </c>
      <c r="GU933" s="3262" t="s">
        <v>3262</v>
      </c>
      <c r="GV933" s="3262" t="s">
        <v>3262</v>
      </c>
      <c r="GW933" s="3262" t="s">
        <v>3262</v>
      </c>
      <c r="GX933" s="3262" t="s">
        <v>3262</v>
      </c>
      <c r="GY933" s="3262" t="s">
        <v>3262</v>
      </c>
      <c r="GZ933" s="3262" t="s">
        <v>3262</v>
      </c>
      <c r="HA933" s="3262" t="s">
        <v>3262</v>
      </c>
      <c r="HB933" s="3262" t="s">
        <v>3262</v>
      </c>
      <c r="HC933" s="3262" t="s">
        <v>3262</v>
      </c>
      <c r="HD933" s="3262" t="s">
        <v>3262</v>
      </c>
      <c r="HE933" s="3262" t="s">
        <v>3262</v>
      </c>
      <c r="HF933" s="3262" t="s">
        <v>3262</v>
      </c>
      <c r="HG933" s="3262" t="s">
        <v>3262</v>
      </c>
      <c r="HH933" s="3262" t="s">
        <v>3262</v>
      </c>
      <c r="HI933" s="3262" t="s">
        <v>3262</v>
      </c>
      <c r="HJ933" s="3262" t="s">
        <v>3262</v>
      </c>
      <c r="HK933" s="3262" t="s">
        <v>3262</v>
      </c>
      <c r="HL933" s="3262" t="s">
        <v>3262</v>
      </c>
      <c r="HM933" s="3262" t="s">
        <v>3262</v>
      </c>
      <c r="HN933" s="3262" t="s">
        <v>3262</v>
      </c>
      <c r="HO933" s="3262" t="s">
        <v>3262</v>
      </c>
      <c r="HP933" s="3262" t="s">
        <v>3262</v>
      </c>
      <c r="HQ933" s="3262" t="s">
        <v>3262</v>
      </c>
      <c r="HR933" s="3262" t="s">
        <v>3262</v>
      </c>
      <c r="HS933" s="3262" t="s">
        <v>3262</v>
      </c>
      <c r="HT933" s="3262" t="s">
        <v>3262</v>
      </c>
      <c r="HU933" s="3262" t="s">
        <v>3262</v>
      </c>
      <c r="HV933" s="3262" t="s">
        <v>3262</v>
      </c>
      <c r="HW933" s="3262" t="s">
        <v>3262</v>
      </c>
      <c r="HX933" s="3262" t="s">
        <v>3262</v>
      </c>
      <c r="HY933" s="3262" t="s">
        <v>3262</v>
      </c>
      <c r="HZ933" s="3262" t="s">
        <v>3262</v>
      </c>
      <c r="IA933" s="3262" t="s">
        <v>3262</v>
      </c>
      <c r="IB933" s="3262" t="s">
        <v>3262</v>
      </c>
      <c r="IC933" s="3262" t="s">
        <v>3262</v>
      </c>
      <c r="ID933" s="3262" t="s">
        <v>3262</v>
      </c>
      <c r="IE933" s="3262" t="s">
        <v>3262</v>
      </c>
      <c r="IF933" s="3262" t="s">
        <v>3262</v>
      </c>
      <c r="IG933" s="3262" t="s">
        <v>3262</v>
      </c>
      <c r="IH933" s="3262" t="s">
        <v>3262</v>
      </c>
      <c r="II933" s="3262" t="s">
        <v>3262</v>
      </c>
      <c r="IJ933" s="3262" t="s">
        <v>3262</v>
      </c>
      <c r="IK933" s="3262" t="s">
        <v>3262</v>
      </c>
    </row>
    <row r="934" spans="1:245" hidden="1">
      <c r="A934" s="3267" t="s">
        <v>9500</v>
      </c>
      <c r="B934" s="3267" t="s">
        <v>9501</v>
      </c>
      <c r="C934" s="3269" t="s">
        <v>9502</v>
      </c>
      <c r="D934" s="3269" t="s">
        <v>9503</v>
      </c>
      <c r="E934" s="3268" t="s">
        <v>2985</v>
      </c>
      <c r="F934" s="3268" t="s">
        <v>9504</v>
      </c>
      <c r="G934" s="3267"/>
      <c r="H934" s="3268" t="s">
        <v>9505</v>
      </c>
      <c r="I934" s="3268" t="s">
        <v>5167</v>
      </c>
      <c r="J934" s="3267" t="s">
        <v>9506</v>
      </c>
      <c r="K934" s="3267" t="s">
        <v>9507</v>
      </c>
      <c r="L934" s="3267">
        <v>125.05</v>
      </c>
      <c r="M934" s="3267">
        <v>1</v>
      </c>
      <c r="N934" s="3267" t="s">
        <v>3129</v>
      </c>
      <c r="O934" s="3267">
        <v>104.83</v>
      </c>
      <c r="P934" s="3267" t="s">
        <v>2963</v>
      </c>
      <c r="Q934" s="3271">
        <v>840000</v>
      </c>
      <c r="R934" s="3267">
        <v>6717</v>
      </c>
      <c r="S934" s="3272">
        <v>100.07</v>
      </c>
      <c r="T934" s="3273">
        <v>1000699.9999999999</v>
      </c>
      <c r="U934" s="3267">
        <v>8003</v>
      </c>
      <c r="V934" s="3289">
        <v>0.3</v>
      </c>
      <c r="W934" s="3272">
        <v>70.040000000000006</v>
      </c>
      <c r="X934" s="3275">
        <v>700400.00000000012</v>
      </c>
      <c r="Y934" s="3276">
        <v>2006</v>
      </c>
      <c r="Z934" s="3276">
        <v>12</v>
      </c>
      <c r="AA934" s="3276">
        <v>15</v>
      </c>
      <c r="AB934" s="3267">
        <v>1500</v>
      </c>
      <c r="AC934" s="3267" t="s">
        <v>2980</v>
      </c>
      <c r="AD934" s="3269" t="s">
        <v>9508</v>
      </c>
      <c r="AE934" s="3279" t="s">
        <v>3344</v>
      </c>
      <c r="AF934" s="3268" t="s">
        <v>2966</v>
      </c>
      <c r="AG934" s="3279" t="s">
        <v>2967</v>
      </c>
      <c r="AH934" s="3267" t="s">
        <v>9509</v>
      </c>
      <c r="AI934" s="3279" t="s">
        <v>2992</v>
      </c>
      <c r="AJ934" s="3284"/>
      <c r="AK934" s="3278" t="s">
        <v>3120</v>
      </c>
      <c r="AL934" s="3276">
        <v>54</v>
      </c>
      <c r="AM934" s="3276"/>
      <c r="AN934" s="3279" t="s">
        <v>3114</v>
      </c>
      <c r="AO934" s="3267"/>
      <c r="AP934" s="3279" t="s">
        <v>3305</v>
      </c>
      <c r="AQ934" s="3276" t="s">
        <v>3113</v>
      </c>
      <c r="AR934" s="3276"/>
      <c r="AS934" s="3276"/>
      <c r="AT934" s="3276"/>
      <c r="AU934" s="3276"/>
      <c r="AV934" s="3276" t="s">
        <v>2968</v>
      </c>
      <c r="AW934" s="3267" t="s">
        <v>3171</v>
      </c>
      <c r="AX934" s="3276"/>
      <c r="AY934" s="3291"/>
      <c r="AZ934" s="3267" t="s">
        <v>9507</v>
      </c>
      <c r="BA934" s="3296"/>
      <c r="BB934" s="3297"/>
      <c r="BC934" s="3296"/>
      <c r="BD934" s="3298"/>
      <c r="BE934" s="3276" t="s">
        <v>9510</v>
      </c>
      <c r="BF934" s="3281" t="s">
        <v>2968</v>
      </c>
      <c r="BG934" s="3293">
        <v>38894</v>
      </c>
      <c r="BH934" s="3267" t="s">
        <v>2998</v>
      </c>
      <c r="BI934" s="3279" t="s">
        <v>3305</v>
      </c>
      <c r="BJ934" s="3293">
        <v>39056</v>
      </c>
      <c r="BK934" s="3283"/>
      <c r="BL934" s="3267" t="s">
        <v>3249</v>
      </c>
      <c r="BM934" s="3276" t="s">
        <v>2879</v>
      </c>
      <c r="BN934" s="3276" t="s">
        <v>2999</v>
      </c>
      <c r="BO934" s="3276" t="s">
        <v>3146</v>
      </c>
      <c r="BP934" s="3276"/>
      <c r="BQ934" s="3276">
        <v>9546</v>
      </c>
      <c r="BR934" s="3276">
        <v>8013</v>
      </c>
      <c r="BS934" s="3285"/>
      <c r="BT934" s="3285"/>
      <c r="BU934" s="3285"/>
    </row>
    <row r="935" spans="1:245" hidden="1">
      <c r="A935" s="3267" t="s">
        <v>9511</v>
      </c>
      <c r="B935" s="3267" t="s">
        <v>9512</v>
      </c>
      <c r="C935" s="3269" t="s">
        <v>9513</v>
      </c>
      <c r="D935" s="3269" t="s">
        <v>9514</v>
      </c>
      <c r="E935" s="3268" t="s">
        <v>2985</v>
      </c>
      <c r="F935" s="3268" t="s">
        <v>3410</v>
      </c>
      <c r="G935" s="3267"/>
      <c r="H935" s="3267" t="s">
        <v>3097</v>
      </c>
      <c r="I935" s="3268" t="s">
        <v>3586</v>
      </c>
      <c r="J935" s="3267" t="s">
        <v>3143</v>
      </c>
      <c r="K935" s="3267" t="s">
        <v>9515</v>
      </c>
      <c r="L935" s="3267">
        <v>66.349999999999994</v>
      </c>
      <c r="M935" s="3269" t="s">
        <v>3266</v>
      </c>
      <c r="N935" s="3267" t="s">
        <v>3122</v>
      </c>
      <c r="O935" s="3267"/>
      <c r="P935" s="3267" t="s">
        <v>2963</v>
      </c>
      <c r="Q935" s="3271">
        <v>500000</v>
      </c>
      <c r="R935" s="3267">
        <v>7536</v>
      </c>
      <c r="S935" s="3272">
        <v>54.75</v>
      </c>
      <c r="T935" s="3273">
        <v>547500</v>
      </c>
      <c r="U935" s="3267">
        <v>8252</v>
      </c>
      <c r="V935" s="3289">
        <v>0.2</v>
      </c>
      <c r="W935" s="3272">
        <v>43.8</v>
      </c>
      <c r="X935" s="3275">
        <v>438000</v>
      </c>
      <c r="Y935" s="3276">
        <v>2006</v>
      </c>
      <c r="Z935" s="3276">
        <v>12</v>
      </c>
      <c r="AA935" s="3276">
        <v>15</v>
      </c>
      <c r="AB935" s="3267">
        <v>1500</v>
      </c>
      <c r="AC935" s="3267" t="s">
        <v>2980</v>
      </c>
      <c r="AD935" s="3280" t="s">
        <v>9516</v>
      </c>
      <c r="AE935" s="3279" t="s">
        <v>3295</v>
      </c>
      <c r="AF935" s="3267" t="s">
        <v>2966</v>
      </c>
      <c r="AG935" s="3279" t="s">
        <v>2967</v>
      </c>
      <c r="AH935" s="3267" t="s">
        <v>9517</v>
      </c>
      <c r="AI935" s="3279" t="s">
        <v>2992</v>
      </c>
      <c r="AJ935" s="3284"/>
      <c r="AK935" s="3278" t="s">
        <v>3120</v>
      </c>
      <c r="AL935" s="3276">
        <v>42</v>
      </c>
      <c r="AM935" s="3276"/>
      <c r="AN935" s="3279" t="s">
        <v>3114</v>
      </c>
      <c r="AO935" s="3267"/>
      <c r="AP935" s="3279" t="s">
        <v>3305</v>
      </c>
      <c r="AQ935" s="3276" t="s">
        <v>3113</v>
      </c>
      <c r="AR935" s="3276"/>
      <c r="AS935" s="3276"/>
      <c r="AT935" s="3276"/>
      <c r="AU935" s="3276"/>
      <c r="AV935" s="3276"/>
      <c r="AW935" s="3276" t="s">
        <v>3171</v>
      </c>
      <c r="AX935" s="3276"/>
      <c r="AY935" s="3291"/>
      <c r="AZ935" s="3267" t="s">
        <v>9515</v>
      </c>
      <c r="BA935" s="3296"/>
      <c r="BB935" s="3297"/>
      <c r="BC935" s="3296"/>
      <c r="BD935" s="3298"/>
      <c r="BE935" s="3276">
        <v>13520811667</v>
      </c>
      <c r="BF935" s="3281"/>
      <c r="BG935" s="3293">
        <v>39051</v>
      </c>
      <c r="BH935" s="3267" t="s">
        <v>2998</v>
      </c>
      <c r="BI935" s="3314" t="s">
        <v>3305</v>
      </c>
      <c r="BJ935" s="3283">
        <v>39056</v>
      </c>
      <c r="BK935" s="3283"/>
      <c r="BL935" s="3267" t="s">
        <v>3249</v>
      </c>
      <c r="BM935" s="3276" t="s">
        <v>2879</v>
      </c>
      <c r="BN935" s="3276" t="s">
        <v>2999</v>
      </c>
      <c r="BO935" s="3276" t="s">
        <v>3000</v>
      </c>
      <c r="BP935" s="3276"/>
      <c r="BQ935" s="3276" t="e">
        <v>#DIV/0!</v>
      </c>
      <c r="BR935" s="3276" t="e">
        <v>#DIV/0!</v>
      </c>
      <c r="BS935" s="3285"/>
      <c r="BT935" s="3285"/>
      <c r="BU935" s="3285"/>
    </row>
    <row r="936" spans="1:245" hidden="1">
      <c r="A936" s="3267" t="s">
        <v>9518</v>
      </c>
      <c r="B936" s="3267" t="s">
        <v>9519</v>
      </c>
      <c r="C936" s="3269" t="s">
        <v>9520</v>
      </c>
      <c r="D936" s="3269" t="s">
        <v>9521</v>
      </c>
      <c r="E936" s="3268" t="s">
        <v>2985</v>
      </c>
      <c r="F936" s="3268" t="s">
        <v>4909</v>
      </c>
      <c r="G936" s="3267"/>
      <c r="H936" s="3268" t="s">
        <v>3402</v>
      </c>
      <c r="I936" s="3268" t="s">
        <v>3318</v>
      </c>
      <c r="J936" s="3267" t="s">
        <v>3958</v>
      </c>
      <c r="K936" s="3267" t="s">
        <v>9522</v>
      </c>
      <c r="L936" s="3267">
        <v>38.700000000000003</v>
      </c>
      <c r="M936" s="3267">
        <v>1</v>
      </c>
      <c r="N936" s="3267" t="s">
        <v>3152</v>
      </c>
      <c r="O936" s="3267"/>
      <c r="P936" s="3267" t="s">
        <v>2963</v>
      </c>
      <c r="Q936" s="3271">
        <v>295000</v>
      </c>
      <c r="R936" s="3267">
        <v>7623</v>
      </c>
      <c r="S936" s="3272">
        <v>24.88</v>
      </c>
      <c r="T936" s="3273">
        <v>248800</v>
      </c>
      <c r="U936" s="3267">
        <v>6431</v>
      </c>
      <c r="V936" s="3289">
        <v>0.2</v>
      </c>
      <c r="W936" s="3272">
        <v>19.899999999999999</v>
      </c>
      <c r="X936" s="3275">
        <v>199000</v>
      </c>
      <c r="Y936" s="3276">
        <v>2006</v>
      </c>
      <c r="Z936" s="3276">
        <v>12</v>
      </c>
      <c r="AA936" s="3276">
        <v>7</v>
      </c>
      <c r="AB936" s="3267">
        <v>745</v>
      </c>
      <c r="AC936" s="3267" t="s">
        <v>2980</v>
      </c>
      <c r="AD936" s="3269" t="s">
        <v>9523</v>
      </c>
      <c r="AE936" s="3279" t="s">
        <v>3344</v>
      </c>
      <c r="AF936" s="3268" t="s">
        <v>2966</v>
      </c>
      <c r="AG936" s="3279" t="s">
        <v>2967</v>
      </c>
      <c r="AH936" s="3267"/>
      <c r="AI936" s="3279" t="s">
        <v>2992</v>
      </c>
      <c r="AJ936" s="3284"/>
      <c r="AK936" s="3278" t="s">
        <v>3120</v>
      </c>
      <c r="AL936" s="3276">
        <v>29</v>
      </c>
      <c r="AM936" s="3276"/>
      <c r="AN936" s="3279" t="s">
        <v>3140</v>
      </c>
      <c r="AO936" s="3267"/>
      <c r="AP936" s="3279" t="s">
        <v>3305</v>
      </c>
      <c r="AQ936" s="3276" t="s">
        <v>2996</v>
      </c>
      <c r="AR936" s="3276"/>
      <c r="AS936" s="3276"/>
      <c r="AT936" s="3276"/>
      <c r="AU936" s="3276"/>
      <c r="AV936" s="3276" t="s">
        <v>2968</v>
      </c>
      <c r="AW936" s="3267" t="s">
        <v>3171</v>
      </c>
      <c r="AX936" s="3276"/>
      <c r="AY936" s="3291"/>
      <c r="AZ936" s="3267" t="s">
        <v>9522</v>
      </c>
      <c r="BA936" s="3296"/>
      <c r="BB936" s="3297"/>
      <c r="BC936" s="3296"/>
      <c r="BD936" s="3298"/>
      <c r="BE936" s="3276">
        <v>86703390</v>
      </c>
      <c r="BF936" s="3281" t="s">
        <v>2968</v>
      </c>
      <c r="BG936" s="3293">
        <v>39049</v>
      </c>
      <c r="BH936" s="3267" t="s">
        <v>2998</v>
      </c>
      <c r="BI936" s="3279" t="s">
        <v>3305</v>
      </c>
      <c r="BJ936" s="3293">
        <v>39056</v>
      </c>
      <c r="BK936" s="3283"/>
      <c r="BL936" s="3267" t="s">
        <v>3249</v>
      </c>
      <c r="BM936" s="3276" t="s">
        <v>2879</v>
      </c>
      <c r="BN936" s="3276" t="s">
        <v>2999</v>
      </c>
      <c r="BO936" s="3276" t="s">
        <v>3146</v>
      </c>
      <c r="BP936" s="3276"/>
      <c r="BQ936" s="3276" t="e">
        <v>#DIV/0!</v>
      </c>
      <c r="BR936" s="3276" t="e">
        <v>#DIV/0!</v>
      </c>
      <c r="BS936" s="3285"/>
      <c r="BT936" s="3285"/>
      <c r="BU936" s="3285"/>
    </row>
    <row r="937" spans="1:245" hidden="1">
      <c r="A937" s="3267" t="s">
        <v>9524</v>
      </c>
      <c r="B937" s="3267" t="s">
        <v>6399</v>
      </c>
      <c r="C937" s="3269" t="s">
        <v>9525</v>
      </c>
      <c r="D937" s="3268">
        <v>13701299280</v>
      </c>
      <c r="E937" s="3267" t="s">
        <v>2985</v>
      </c>
      <c r="F937" s="3267" t="s">
        <v>4088</v>
      </c>
      <c r="G937" s="3267"/>
      <c r="H937" s="3270" t="s">
        <v>3118</v>
      </c>
      <c r="I937" s="3268" t="s">
        <v>3431</v>
      </c>
      <c r="J937" s="3270" t="s">
        <v>3165</v>
      </c>
      <c r="K937" s="3267" t="s">
        <v>9526</v>
      </c>
      <c r="L937" s="3286">
        <v>125.56</v>
      </c>
      <c r="M937" s="3270">
        <v>6</v>
      </c>
      <c r="N937" s="3267" t="s">
        <v>3129</v>
      </c>
      <c r="O937" s="3267">
        <v>112.61</v>
      </c>
      <c r="P937" s="3267" t="s">
        <v>2963</v>
      </c>
      <c r="Q937" s="3287">
        <v>500000</v>
      </c>
      <c r="R937" s="3271">
        <v>3982</v>
      </c>
      <c r="S937" s="3272">
        <v>50.22</v>
      </c>
      <c r="T937" s="3273">
        <v>502200</v>
      </c>
      <c r="U937" s="3287">
        <v>4000</v>
      </c>
      <c r="V937" s="3289">
        <v>0.3</v>
      </c>
      <c r="W937" s="3272">
        <v>35.15</v>
      </c>
      <c r="X937" s="3273">
        <v>351500</v>
      </c>
      <c r="Y937" s="3276">
        <v>2006</v>
      </c>
      <c r="Z937" s="3276">
        <v>12</v>
      </c>
      <c r="AA937" s="3267">
        <v>11</v>
      </c>
      <c r="AB937" s="3267">
        <v>1500</v>
      </c>
      <c r="AC937" s="3267" t="s">
        <v>2980</v>
      </c>
      <c r="AD937" s="3269" t="s">
        <v>9527</v>
      </c>
      <c r="AE937" s="3267" t="s">
        <v>3180</v>
      </c>
      <c r="AF937" s="3267" t="s">
        <v>2966</v>
      </c>
      <c r="AG937" s="3267" t="s">
        <v>3473</v>
      </c>
      <c r="AH937" s="3267" t="s">
        <v>9528</v>
      </c>
      <c r="AI937" s="3267" t="s">
        <v>2992</v>
      </c>
      <c r="AJ937" s="3270"/>
      <c r="AK937" s="3278" t="s">
        <v>3120</v>
      </c>
      <c r="AL937" s="3267">
        <v>47</v>
      </c>
      <c r="AM937" s="3267"/>
      <c r="AN937" s="3302" t="s">
        <v>3131</v>
      </c>
      <c r="AO937" s="3267"/>
      <c r="AP937" s="3267" t="s">
        <v>3180</v>
      </c>
      <c r="AQ937" s="3276" t="s">
        <v>2996</v>
      </c>
      <c r="AR937" s="3267"/>
      <c r="AS937" s="3267"/>
      <c r="AT937" s="3267"/>
      <c r="AU937" s="3267"/>
      <c r="AV937" s="3267"/>
      <c r="AW937" s="3267"/>
      <c r="AX937" s="3267"/>
      <c r="AY937" s="3279"/>
      <c r="AZ937" s="3267" t="s">
        <v>9526</v>
      </c>
      <c r="BA937" s="3267"/>
      <c r="BB937" s="3267"/>
      <c r="BC937" s="3267"/>
      <c r="BD937" s="3267"/>
      <c r="BE937" s="3267"/>
      <c r="BF937" s="3267"/>
      <c r="BG937" s="3290">
        <v>39056</v>
      </c>
      <c r="BH937" s="3267"/>
      <c r="BI937" s="3279" t="s">
        <v>3180</v>
      </c>
      <c r="BJ937" s="3284">
        <v>39057</v>
      </c>
      <c r="BK937" s="3284"/>
      <c r="BL937" s="3267" t="s">
        <v>2998</v>
      </c>
      <c r="BM937" s="3267" t="s">
        <v>3345</v>
      </c>
      <c r="BN937" s="3267" t="s">
        <v>3111</v>
      </c>
      <c r="BO937" s="3267" t="s">
        <v>3446</v>
      </c>
      <c r="BP937" s="3267"/>
      <c r="BQ937" s="3267"/>
      <c r="BR937" s="3267"/>
      <c r="BS937" s="3285"/>
      <c r="BT937" s="3285"/>
      <c r="BU937" s="3285"/>
    </row>
    <row r="938" spans="1:245" hidden="1">
      <c r="A938" s="3267" t="s">
        <v>9529</v>
      </c>
      <c r="B938" s="3267" t="s">
        <v>9530</v>
      </c>
      <c r="C938" s="3269" t="s">
        <v>9531</v>
      </c>
      <c r="D938" s="3269" t="s">
        <v>9532</v>
      </c>
      <c r="E938" s="3268" t="s">
        <v>2985</v>
      </c>
      <c r="F938" s="3268" t="s">
        <v>5306</v>
      </c>
      <c r="G938" s="3267"/>
      <c r="H938" s="3268" t="s">
        <v>6812</v>
      </c>
      <c r="I938" s="3268" t="s">
        <v>3281</v>
      </c>
      <c r="J938" s="3267" t="s">
        <v>4136</v>
      </c>
      <c r="K938" s="3267" t="s">
        <v>9533</v>
      </c>
      <c r="L938" s="3267">
        <v>78.3</v>
      </c>
      <c r="M938" s="3267">
        <v>10</v>
      </c>
      <c r="N938" s="3267" t="s">
        <v>3152</v>
      </c>
      <c r="O938" s="3267"/>
      <c r="P938" s="3267" t="s">
        <v>2963</v>
      </c>
      <c r="Q938" s="3271">
        <v>510000</v>
      </c>
      <c r="R938" s="3267">
        <v>6513</v>
      </c>
      <c r="S938" s="3272">
        <v>55.17</v>
      </c>
      <c r="T938" s="3273">
        <v>551700</v>
      </c>
      <c r="U938" s="3267">
        <v>7047</v>
      </c>
      <c r="V938" s="3289">
        <v>0.2</v>
      </c>
      <c r="W938" s="3272">
        <v>44.13</v>
      </c>
      <c r="X938" s="3275">
        <v>441300</v>
      </c>
      <c r="Y938" s="3276">
        <v>2006</v>
      </c>
      <c r="Z938" s="3276">
        <v>12</v>
      </c>
      <c r="AA938" s="3276">
        <v>7</v>
      </c>
      <c r="AB938" s="3267">
        <v>1500</v>
      </c>
      <c r="AC938" s="3267" t="s">
        <v>2980</v>
      </c>
      <c r="AD938" s="3269" t="s">
        <v>9534</v>
      </c>
      <c r="AE938" s="3279" t="s">
        <v>3344</v>
      </c>
      <c r="AF938" s="3268" t="s">
        <v>2966</v>
      </c>
      <c r="AG938" s="3279" t="s">
        <v>2967</v>
      </c>
      <c r="AH938" s="3267" t="s">
        <v>9535</v>
      </c>
      <c r="AI938" s="3279" t="s">
        <v>2992</v>
      </c>
      <c r="AJ938" s="3284"/>
      <c r="AK938" s="3278" t="s">
        <v>3120</v>
      </c>
      <c r="AL938" s="3276">
        <v>54</v>
      </c>
      <c r="AM938" s="3276"/>
      <c r="AN938" s="3279" t="s">
        <v>3140</v>
      </c>
      <c r="AO938" s="3267"/>
      <c r="AP938" s="3279" t="s">
        <v>3305</v>
      </c>
      <c r="AQ938" s="3276" t="s">
        <v>2996</v>
      </c>
      <c r="AR938" s="3276"/>
      <c r="AS938" s="3276"/>
      <c r="AT938" s="3276"/>
      <c r="AU938" s="3276"/>
      <c r="AV938" s="3276" t="s">
        <v>2968</v>
      </c>
      <c r="AW938" s="3267" t="s">
        <v>3171</v>
      </c>
      <c r="AX938" s="3276"/>
      <c r="AY938" s="3291"/>
      <c r="AZ938" s="3267" t="s">
        <v>9533</v>
      </c>
      <c r="BA938" s="3296"/>
      <c r="BB938" s="3297"/>
      <c r="BC938" s="3296"/>
      <c r="BD938" s="3298"/>
      <c r="BE938" s="3276">
        <v>13366900649</v>
      </c>
      <c r="BF938" s="3281" t="s">
        <v>2968</v>
      </c>
      <c r="BG938" s="3293">
        <v>39048</v>
      </c>
      <c r="BH938" s="3267" t="s">
        <v>2998</v>
      </c>
      <c r="BI938" s="3279" t="s">
        <v>3305</v>
      </c>
      <c r="BJ938" s="3293">
        <v>39057</v>
      </c>
      <c r="BK938" s="3283"/>
      <c r="BL938" s="3267" t="s">
        <v>3249</v>
      </c>
      <c r="BM938" s="3276" t="s">
        <v>2879</v>
      </c>
      <c r="BN938" s="3276" t="s">
        <v>2999</v>
      </c>
      <c r="BO938" s="3276" t="s">
        <v>3146</v>
      </c>
      <c r="BP938" s="3276"/>
      <c r="BQ938" s="3276" t="e">
        <v>#DIV/0!</v>
      </c>
      <c r="BR938" s="3276" t="e">
        <v>#DIV/0!</v>
      </c>
      <c r="BS938" s="3285"/>
      <c r="BT938" s="3285"/>
      <c r="BU938" s="3285"/>
    </row>
    <row r="939" spans="1:245" hidden="1">
      <c r="A939" s="3267" t="s">
        <v>9536</v>
      </c>
      <c r="B939" s="3267" t="s">
        <v>9537</v>
      </c>
      <c r="C939" s="3269" t="s">
        <v>9538</v>
      </c>
      <c r="D939" s="3269" t="s">
        <v>9539</v>
      </c>
      <c r="E939" s="3268" t="s">
        <v>2985</v>
      </c>
      <c r="F939" s="3268" t="s">
        <v>7675</v>
      </c>
      <c r="G939" s="3267"/>
      <c r="H939" s="3267" t="s">
        <v>8080</v>
      </c>
      <c r="I939" s="3268" t="s">
        <v>3318</v>
      </c>
      <c r="J939" s="3268" t="s">
        <v>3126</v>
      </c>
      <c r="K939" s="3267" t="s">
        <v>9540</v>
      </c>
      <c r="L939" s="3267">
        <v>73.180000000000007</v>
      </c>
      <c r="M939" s="3267">
        <v>6</v>
      </c>
      <c r="N939" s="3267" t="s">
        <v>3125</v>
      </c>
      <c r="O939" s="3267"/>
      <c r="P939" s="3267" t="s">
        <v>2963</v>
      </c>
      <c r="Q939" s="3271">
        <v>445000</v>
      </c>
      <c r="R939" s="3267">
        <v>6081</v>
      </c>
      <c r="S939" s="3272">
        <v>41.63</v>
      </c>
      <c r="T939" s="3273">
        <v>416300</v>
      </c>
      <c r="U939" s="3267">
        <v>5690</v>
      </c>
      <c r="V939" s="3289">
        <v>0.2</v>
      </c>
      <c r="W939" s="3272">
        <v>33.299999999999997</v>
      </c>
      <c r="X939" s="3275">
        <v>333000</v>
      </c>
      <c r="Y939" s="3276">
        <v>2006</v>
      </c>
      <c r="Z939" s="3276">
        <v>12</v>
      </c>
      <c r="AA939" s="3276">
        <v>26</v>
      </c>
      <c r="AB939" s="3267">
        <v>1245</v>
      </c>
      <c r="AC939" s="3267" t="s">
        <v>2980</v>
      </c>
      <c r="AD939" s="3366">
        <v>91302006120233</v>
      </c>
      <c r="AE939" s="3279" t="s">
        <v>2991</v>
      </c>
      <c r="AF939" s="3268"/>
      <c r="AG939" s="3279" t="s">
        <v>2967</v>
      </c>
      <c r="AH939" s="3267"/>
      <c r="AI939" s="3279" t="s">
        <v>2992</v>
      </c>
      <c r="AJ939" s="3284"/>
      <c r="AK939" s="3278" t="s">
        <v>3120</v>
      </c>
      <c r="AL939" s="3276">
        <v>40</v>
      </c>
      <c r="AM939" s="3276"/>
      <c r="AN939" s="3279" t="s">
        <v>3099</v>
      </c>
      <c r="AO939" s="3267"/>
      <c r="AP939" s="3279" t="s">
        <v>2991</v>
      </c>
      <c r="AQ939" s="3276" t="s">
        <v>3113</v>
      </c>
      <c r="AR939" s="3276">
        <v>2006</v>
      </c>
      <c r="AS939" s="3276">
        <v>12</v>
      </c>
      <c r="AT939" s="3276">
        <v>26</v>
      </c>
      <c r="AU939" s="3276"/>
      <c r="AV939" s="3276"/>
      <c r="AW939" s="3276" t="s">
        <v>2997</v>
      </c>
      <c r="AX939" s="3276"/>
      <c r="AY939" s="3291"/>
      <c r="AZ939" s="3267" t="s">
        <v>9540</v>
      </c>
      <c r="BA939" s="3296"/>
      <c r="BB939" s="3297"/>
      <c r="BC939" s="3296"/>
      <c r="BD939" s="3298"/>
      <c r="BE939" s="3276"/>
      <c r="BF939" s="3281"/>
      <c r="BG939" s="3293">
        <v>39032</v>
      </c>
      <c r="BH939" s="3267"/>
      <c r="BI939" s="3279" t="s">
        <v>2991</v>
      </c>
      <c r="BJ939" s="3299">
        <v>39057</v>
      </c>
      <c r="BK939" s="3283" t="s">
        <v>2968</v>
      </c>
      <c r="BL939" s="3267" t="s">
        <v>2998</v>
      </c>
      <c r="BM939" s="3276" t="s">
        <v>2879</v>
      </c>
      <c r="BN939" s="3276" t="s">
        <v>2999</v>
      </c>
      <c r="BO939" s="3276" t="s">
        <v>3146</v>
      </c>
      <c r="BP939" s="3276"/>
      <c r="BQ939" s="3276" t="e">
        <v>#DIV/0!</v>
      </c>
      <c r="BR939" s="3276" t="e">
        <v>#DIV/0!</v>
      </c>
      <c r="BS939" s="3285"/>
      <c r="BT939" s="3285"/>
      <c r="BU939" s="3285"/>
      <c r="BW939" s="3262" t="s">
        <v>3262</v>
      </c>
      <c r="BX939" s="3262" t="s">
        <v>3262</v>
      </c>
      <c r="BY939" s="3262" t="s">
        <v>3262</v>
      </c>
      <c r="BZ939" s="3262" t="s">
        <v>3262</v>
      </c>
      <c r="CA939" s="3262" t="s">
        <v>3262</v>
      </c>
      <c r="CB939" s="3262" t="s">
        <v>3262</v>
      </c>
      <c r="CC939" s="3262" t="s">
        <v>3262</v>
      </c>
      <c r="CD939" s="3262" t="s">
        <v>3262</v>
      </c>
      <c r="CE939" s="3262" t="s">
        <v>3262</v>
      </c>
      <c r="CF939" s="3262" t="s">
        <v>3262</v>
      </c>
      <c r="CG939" s="3262" t="s">
        <v>3262</v>
      </c>
      <c r="CH939" s="3262" t="s">
        <v>3262</v>
      </c>
      <c r="CI939" s="3262" t="s">
        <v>3262</v>
      </c>
      <c r="CJ939" s="3262" t="s">
        <v>3262</v>
      </c>
      <c r="CK939" s="3262" t="s">
        <v>3262</v>
      </c>
      <c r="CL939" s="3262" t="s">
        <v>3262</v>
      </c>
      <c r="CM939" s="3262" t="s">
        <v>3262</v>
      </c>
      <c r="CN939" s="3262" t="s">
        <v>3262</v>
      </c>
      <c r="CO939" s="3262" t="s">
        <v>3262</v>
      </c>
      <c r="CP939" s="3262" t="s">
        <v>3262</v>
      </c>
      <c r="CQ939" s="3262" t="s">
        <v>3262</v>
      </c>
      <c r="CR939" s="3262" t="s">
        <v>3262</v>
      </c>
      <c r="CS939" s="3262" t="s">
        <v>3262</v>
      </c>
      <c r="CT939" s="3262" t="s">
        <v>3262</v>
      </c>
      <c r="CU939" s="3262" t="s">
        <v>3262</v>
      </c>
      <c r="CV939" s="3262" t="s">
        <v>3262</v>
      </c>
      <c r="CW939" s="3262" t="s">
        <v>3262</v>
      </c>
      <c r="CX939" s="3262" t="s">
        <v>3262</v>
      </c>
      <c r="CY939" s="3262" t="s">
        <v>3262</v>
      </c>
      <c r="CZ939" s="3262" t="s">
        <v>3262</v>
      </c>
      <c r="DA939" s="3262" t="s">
        <v>3262</v>
      </c>
      <c r="DB939" s="3262" t="s">
        <v>3262</v>
      </c>
      <c r="DC939" s="3262" t="s">
        <v>3262</v>
      </c>
      <c r="DD939" s="3262" t="s">
        <v>3262</v>
      </c>
      <c r="DE939" s="3262" t="s">
        <v>3262</v>
      </c>
      <c r="DF939" s="3262" t="s">
        <v>3262</v>
      </c>
      <c r="DG939" s="3262" t="s">
        <v>3262</v>
      </c>
      <c r="DH939" s="3262" t="s">
        <v>3262</v>
      </c>
      <c r="DI939" s="3262" t="s">
        <v>3262</v>
      </c>
      <c r="DJ939" s="3262" t="s">
        <v>3262</v>
      </c>
      <c r="DK939" s="3262" t="s">
        <v>3262</v>
      </c>
      <c r="DL939" s="3262" t="s">
        <v>3262</v>
      </c>
      <c r="DM939" s="3262" t="s">
        <v>3262</v>
      </c>
      <c r="DN939" s="3262" t="s">
        <v>3262</v>
      </c>
      <c r="DO939" s="3262" t="s">
        <v>3262</v>
      </c>
      <c r="DP939" s="3262" t="s">
        <v>3262</v>
      </c>
      <c r="DQ939" s="3262" t="s">
        <v>3262</v>
      </c>
      <c r="DR939" s="3262" t="s">
        <v>3262</v>
      </c>
      <c r="DS939" s="3262" t="s">
        <v>3262</v>
      </c>
      <c r="DT939" s="3262" t="s">
        <v>3262</v>
      </c>
      <c r="DU939" s="3262" t="s">
        <v>3262</v>
      </c>
      <c r="DV939" s="3262" t="s">
        <v>3262</v>
      </c>
      <c r="DW939" s="3262" t="s">
        <v>3262</v>
      </c>
      <c r="DX939" s="3262" t="s">
        <v>3262</v>
      </c>
      <c r="DY939" s="3262" t="s">
        <v>3262</v>
      </c>
      <c r="DZ939" s="3262" t="s">
        <v>3262</v>
      </c>
      <c r="EA939" s="3262" t="s">
        <v>3262</v>
      </c>
      <c r="EB939" s="3262" t="s">
        <v>3262</v>
      </c>
      <c r="EC939" s="3262" t="s">
        <v>3262</v>
      </c>
      <c r="ED939" s="3262" t="s">
        <v>3262</v>
      </c>
      <c r="EE939" s="3262" t="s">
        <v>3262</v>
      </c>
      <c r="EF939" s="3262" t="s">
        <v>3262</v>
      </c>
      <c r="EG939" s="3262" t="s">
        <v>3262</v>
      </c>
      <c r="EH939" s="3262" t="s">
        <v>3262</v>
      </c>
      <c r="EI939" s="3262" t="s">
        <v>3262</v>
      </c>
      <c r="EJ939" s="3262" t="s">
        <v>3262</v>
      </c>
      <c r="EK939" s="3262" t="s">
        <v>3262</v>
      </c>
      <c r="EL939" s="3262" t="s">
        <v>3262</v>
      </c>
      <c r="EM939" s="3262" t="s">
        <v>3262</v>
      </c>
      <c r="EN939" s="3262" t="s">
        <v>3262</v>
      </c>
      <c r="EO939" s="3262" t="s">
        <v>3262</v>
      </c>
      <c r="EP939" s="3262" t="s">
        <v>3262</v>
      </c>
      <c r="EQ939" s="3262" t="s">
        <v>3262</v>
      </c>
      <c r="ER939" s="3262" t="s">
        <v>3262</v>
      </c>
      <c r="ES939" s="3262" t="s">
        <v>3262</v>
      </c>
      <c r="ET939" s="3262" t="s">
        <v>3262</v>
      </c>
      <c r="EU939" s="3262" t="s">
        <v>3262</v>
      </c>
      <c r="EV939" s="3262" t="s">
        <v>3262</v>
      </c>
      <c r="EW939" s="3262" t="s">
        <v>3262</v>
      </c>
      <c r="EX939" s="3262" t="s">
        <v>3262</v>
      </c>
      <c r="EY939" s="3262" t="s">
        <v>3262</v>
      </c>
      <c r="EZ939" s="3262" t="s">
        <v>3262</v>
      </c>
      <c r="FA939" s="3262" t="s">
        <v>3262</v>
      </c>
      <c r="FB939" s="3262" t="s">
        <v>3262</v>
      </c>
      <c r="FC939" s="3262" t="s">
        <v>3262</v>
      </c>
      <c r="FD939" s="3262" t="s">
        <v>3262</v>
      </c>
      <c r="FE939" s="3262" t="s">
        <v>3262</v>
      </c>
      <c r="FF939" s="3262" t="s">
        <v>3262</v>
      </c>
      <c r="FG939" s="3262" t="s">
        <v>3262</v>
      </c>
      <c r="FH939" s="3262" t="s">
        <v>3262</v>
      </c>
      <c r="FI939" s="3262" t="s">
        <v>3262</v>
      </c>
      <c r="FJ939" s="3262" t="s">
        <v>3262</v>
      </c>
      <c r="FK939" s="3262" t="s">
        <v>3262</v>
      </c>
      <c r="FL939" s="3262" t="s">
        <v>3262</v>
      </c>
      <c r="FM939" s="3262" t="s">
        <v>3262</v>
      </c>
      <c r="FN939" s="3262" t="s">
        <v>3262</v>
      </c>
      <c r="FO939" s="3262" t="s">
        <v>3262</v>
      </c>
      <c r="FP939" s="3262" t="s">
        <v>3262</v>
      </c>
      <c r="FQ939" s="3262" t="s">
        <v>3262</v>
      </c>
      <c r="FR939" s="3262" t="s">
        <v>3262</v>
      </c>
      <c r="FS939" s="3262" t="s">
        <v>3262</v>
      </c>
      <c r="FT939" s="3262" t="s">
        <v>3262</v>
      </c>
      <c r="FU939" s="3262" t="s">
        <v>3262</v>
      </c>
      <c r="FV939" s="3262" t="s">
        <v>3262</v>
      </c>
      <c r="FW939" s="3262" t="s">
        <v>3262</v>
      </c>
      <c r="FX939" s="3262" t="s">
        <v>3262</v>
      </c>
      <c r="FY939" s="3262" t="s">
        <v>3262</v>
      </c>
      <c r="FZ939" s="3262" t="s">
        <v>3262</v>
      </c>
      <c r="GA939" s="3262" t="s">
        <v>3262</v>
      </c>
      <c r="GB939" s="3262" t="s">
        <v>3262</v>
      </c>
      <c r="GC939" s="3262" t="s">
        <v>3262</v>
      </c>
      <c r="GD939" s="3262" t="s">
        <v>3262</v>
      </c>
      <c r="GE939" s="3262" t="s">
        <v>3262</v>
      </c>
      <c r="GF939" s="3262" t="s">
        <v>3262</v>
      </c>
      <c r="GG939" s="3262" t="s">
        <v>3262</v>
      </c>
      <c r="GH939" s="3262" t="s">
        <v>3262</v>
      </c>
      <c r="GI939" s="3262" t="s">
        <v>3262</v>
      </c>
      <c r="GJ939" s="3262" t="s">
        <v>3262</v>
      </c>
      <c r="GK939" s="3262" t="s">
        <v>3262</v>
      </c>
      <c r="GL939" s="3262" t="s">
        <v>3262</v>
      </c>
      <c r="GM939" s="3262" t="s">
        <v>3262</v>
      </c>
      <c r="GN939" s="3262" t="s">
        <v>3262</v>
      </c>
      <c r="GO939" s="3262" t="s">
        <v>3262</v>
      </c>
      <c r="GP939" s="3262" t="s">
        <v>3262</v>
      </c>
      <c r="GQ939" s="3262" t="s">
        <v>3262</v>
      </c>
      <c r="GR939" s="3262" t="s">
        <v>3262</v>
      </c>
      <c r="GS939" s="3262" t="s">
        <v>3262</v>
      </c>
      <c r="GT939" s="3262" t="s">
        <v>3262</v>
      </c>
      <c r="GU939" s="3262" t="s">
        <v>3262</v>
      </c>
      <c r="GV939" s="3262" t="s">
        <v>3262</v>
      </c>
      <c r="GW939" s="3262" t="s">
        <v>3262</v>
      </c>
      <c r="GX939" s="3262" t="s">
        <v>3262</v>
      </c>
      <c r="GY939" s="3262" t="s">
        <v>3262</v>
      </c>
      <c r="GZ939" s="3262" t="s">
        <v>3262</v>
      </c>
      <c r="HA939" s="3262" t="s">
        <v>3262</v>
      </c>
      <c r="HB939" s="3262" t="s">
        <v>3262</v>
      </c>
      <c r="HC939" s="3262" t="s">
        <v>3262</v>
      </c>
      <c r="HD939" s="3262" t="s">
        <v>3262</v>
      </c>
      <c r="HE939" s="3262" t="s">
        <v>3262</v>
      </c>
      <c r="HF939" s="3262" t="s">
        <v>3262</v>
      </c>
      <c r="HG939" s="3262" t="s">
        <v>3262</v>
      </c>
      <c r="HH939" s="3262" t="s">
        <v>3262</v>
      </c>
      <c r="HI939" s="3262" t="s">
        <v>3262</v>
      </c>
      <c r="HJ939" s="3262" t="s">
        <v>3262</v>
      </c>
      <c r="HK939" s="3262" t="s">
        <v>3262</v>
      </c>
      <c r="HL939" s="3262" t="s">
        <v>3262</v>
      </c>
      <c r="HM939" s="3262" t="s">
        <v>3262</v>
      </c>
      <c r="HN939" s="3262" t="s">
        <v>3262</v>
      </c>
      <c r="HO939" s="3262" t="s">
        <v>3262</v>
      </c>
      <c r="HP939" s="3262" t="s">
        <v>3262</v>
      </c>
      <c r="HQ939" s="3262" t="s">
        <v>3262</v>
      </c>
      <c r="HR939" s="3262" t="s">
        <v>3262</v>
      </c>
      <c r="HS939" s="3262" t="s">
        <v>3262</v>
      </c>
      <c r="HT939" s="3262" t="s">
        <v>3262</v>
      </c>
      <c r="HU939" s="3262" t="s">
        <v>3262</v>
      </c>
      <c r="HV939" s="3262" t="s">
        <v>3262</v>
      </c>
      <c r="HW939" s="3262" t="s">
        <v>3262</v>
      </c>
      <c r="HX939" s="3262" t="s">
        <v>3262</v>
      </c>
      <c r="HY939" s="3262" t="s">
        <v>3262</v>
      </c>
      <c r="HZ939" s="3262" t="s">
        <v>3262</v>
      </c>
      <c r="IA939" s="3262" t="s">
        <v>3262</v>
      </c>
      <c r="IB939" s="3262" t="s">
        <v>3262</v>
      </c>
      <c r="IC939" s="3262" t="s">
        <v>3262</v>
      </c>
      <c r="ID939" s="3262" t="s">
        <v>3262</v>
      </c>
      <c r="IE939" s="3262" t="s">
        <v>3262</v>
      </c>
      <c r="IF939" s="3262" t="s">
        <v>3262</v>
      </c>
      <c r="IG939" s="3262" t="s">
        <v>3262</v>
      </c>
      <c r="IH939" s="3262" t="s">
        <v>3262</v>
      </c>
      <c r="II939" s="3262" t="s">
        <v>3262</v>
      </c>
      <c r="IJ939" s="3262" t="s">
        <v>3262</v>
      </c>
      <c r="IK939" s="3262" t="s">
        <v>3262</v>
      </c>
    </row>
    <row r="940" spans="1:245" hidden="1">
      <c r="A940" s="3267" t="s">
        <v>9541</v>
      </c>
      <c r="B940" s="3267" t="s">
        <v>9542</v>
      </c>
      <c r="C940" s="3269" t="s">
        <v>9543</v>
      </c>
      <c r="D940" s="3269" t="s">
        <v>9544</v>
      </c>
      <c r="E940" s="3268" t="s">
        <v>2985</v>
      </c>
      <c r="F940" s="3268" t="s">
        <v>9545</v>
      </c>
      <c r="G940" s="3267"/>
      <c r="H940" s="3268" t="s">
        <v>3225</v>
      </c>
      <c r="I940" s="3268"/>
      <c r="J940" s="3267" t="s">
        <v>6796</v>
      </c>
      <c r="K940" s="3267" t="s">
        <v>9546</v>
      </c>
      <c r="L940" s="3267">
        <v>77.739999999999995</v>
      </c>
      <c r="M940" s="3267">
        <v>14</v>
      </c>
      <c r="N940" s="3267" t="s">
        <v>9547</v>
      </c>
      <c r="O940" s="3267"/>
      <c r="P940" s="3267" t="s">
        <v>2963</v>
      </c>
      <c r="Q940" s="3271">
        <v>718000</v>
      </c>
      <c r="R940" s="3267">
        <v>9236</v>
      </c>
      <c r="S940" s="3272">
        <v>58.44</v>
      </c>
      <c r="T940" s="3273">
        <v>584400</v>
      </c>
      <c r="U940" s="3267">
        <v>7518</v>
      </c>
      <c r="V940" s="3289">
        <v>0.2</v>
      </c>
      <c r="W940" s="3272">
        <v>46.75</v>
      </c>
      <c r="X940" s="3275">
        <v>467500</v>
      </c>
      <c r="Y940" s="3276">
        <v>2006</v>
      </c>
      <c r="Z940" s="3276">
        <v>12</v>
      </c>
      <c r="AA940" s="3276">
        <v>7</v>
      </c>
      <c r="AB940" s="3267">
        <v>1500</v>
      </c>
      <c r="AC940" s="3267" t="s">
        <v>2980</v>
      </c>
      <c r="AD940" s="3269" t="s">
        <v>9548</v>
      </c>
      <c r="AE940" s="3279" t="s">
        <v>3344</v>
      </c>
      <c r="AF940" s="3268" t="s">
        <v>2966</v>
      </c>
      <c r="AG940" s="3279" t="s">
        <v>2967</v>
      </c>
      <c r="AH940" s="3267"/>
      <c r="AI940" s="3279" t="s">
        <v>2992</v>
      </c>
      <c r="AJ940" s="3284"/>
      <c r="AK940" s="3278" t="s">
        <v>3120</v>
      </c>
      <c r="AL940" s="3276">
        <v>44</v>
      </c>
      <c r="AM940" s="3276"/>
      <c r="AN940" s="3279" t="s">
        <v>3140</v>
      </c>
      <c r="AO940" s="3267"/>
      <c r="AP940" s="3279" t="s">
        <v>3305</v>
      </c>
      <c r="AQ940" s="3276" t="s">
        <v>2996</v>
      </c>
      <c r="AR940" s="3276"/>
      <c r="AS940" s="3276"/>
      <c r="AT940" s="3276"/>
      <c r="AU940" s="3276"/>
      <c r="AV940" s="3276" t="s">
        <v>2968</v>
      </c>
      <c r="AW940" s="3267" t="s">
        <v>3171</v>
      </c>
      <c r="AX940" s="3276"/>
      <c r="AY940" s="3291"/>
      <c r="AZ940" s="3267" t="s">
        <v>9546</v>
      </c>
      <c r="BA940" s="3296"/>
      <c r="BB940" s="3297"/>
      <c r="BC940" s="3296"/>
      <c r="BD940" s="3298"/>
      <c r="BE940" s="3276">
        <v>13501166177</v>
      </c>
      <c r="BF940" s="3281" t="s">
        <v>2968</v>
      </c>
      <c r="BG940" s="3293">
        <v>39030</v>
      </c>
      <c r="BH940" s="3267" t="s">
        <v>2998</v>
      </c>
      <c r="BI940" s="3279" t="s">
        <v>3305</v>
      </c>
      <c r="BJ940" s="3293">
        <v>39057</v>
      </c>
      <c r="BK940" s="3283"/>
      <c r="BL940" s="3267" t="s">
        <v>3249</v>
      </c>
      <c r="BM940" s="3276" t="s">
        <v>2879</v>
      </c>
      <c r="BN940" s="3276" t="s">
        <v>2999</v>
      </c>
      <c r="BO940" s="3276" t="s">
        <v>3146</v>
      </c>
      <c r="BP940" s="3276"/>
      <c r="BQ940" s="3276" t="e">
        <v>#DIV/0!</v>
      </c>
      <c r="BR940" s="3276" t="e">
        <v>#DIV/0!</v>
      </c>
      <c r="BS940" s="3285"/>
      <c r="BT940" s="3285"/>
      <c r="BU940" s="3285"/>
    </row>
    <row r="941" spans="1:245" hidden="1">
      <c r="A941" s="3267" t="s">
        <v>9549</v>
      </c>
      <c r="B941" s="3267" t="s">
        <v>6104</v>
      </c>
      <c r="C941" s="3269" t="s">
        <v>9550</v>
      </c>
      <c r="D941" s="3269" t="s">
        <v>9551</v>
      </c>
      <c r="E941" s="3268" t="s">
        <v>2985</v>
      </c>
      <c r="F941" s="3268" t="s">
        <v>3309</v>
      </c>
      <c r="G941" s="3267"/>
      <c r="H941" s="3268" t="s">
        <v>3310</v>
      </c>
      <c r="I941" s="3268"/>
      <c r="J941" s="3267" t="s">
        <v>7119</v>
      </c>
      <c r="K941" s="3267" t="s">
        <v>9552</v>
      </c>
      <c r="L941" s="3267">
        <v>64.400000000000006</v>
      </c>
      <c r="M941" s="3267">
        <v>19</v>
      </c>
      <c r="N941" s="3267" t="s">
        <v>3152</v>
      </c>
      <c r="O941" s="3267"/>
      <c r="P941" s="3267" t="s">
        <v>2963</v>
      </c>
      <c r="Q941" s="3271">
        <v>470000</v>
      </c>
      <c r="R941" s="3267">
        <v>7298</v>
      </c>
      <c r="S941" s="3272">
        <v>41.43</v>
      </c>
      <c r="T941" s="3273">
        <v>414300</v>
      </c>
      <c r="U941" s="3267">
        <v>6434</v>
      </c>
      <c r="V941" s="3289">
        <v>0.2</v>
      </c>
      <c r="W941" s="3272">
        <v>33.14</v>
      </c>
      <c r="X941" s="3275">
        <v>331400</v>
      </c>
      <c r="Y941" s="3276">
        <v>2006</v>
      </c>
      <c r="Z941" s="3276">
        <v>12</v>
      </c>
      <c r="AA941" s="3276">
        <v>7</v>
      </c>
      <c r="AB941" s="3267">
        <v>1240</v>
      </c>
      <c r="AC941" s="3267" t="s">
        <v>2980</v>
      </c>
      <c r="AD941" s="3269" t="s">
        <v>9553</v>
      </c>
      <c r="AE941" s="3279" t="s">
        <v>3344</v>
      </c>
      <c r="AF941" s="3268" t="s">
        <v>2966</v>
      </c>
      <c r="AG941" s="3279" t="s">
        <v>2967</v>
      </c>
      <c r="AH941" s="3267"/>
      <c r="AI941" s="3279" t="s">
        <v>2992</v>
      </c>
      <c r="AJ941" s="3284"/>
      <c r="AK941" s="3278" t="s">
        <v>3120</v>
      </c>
      <c r="AL941" s="3276">
        <v>52</v>
      </c>
      <c r="AM941" s="3276"/>
      <c r="AN941" s="3279" t="s">
        <v>3140</v>
      </c>
      <c r="AO941" s="3267"/>
      <c r="AP941" s="3279" t="s">
        <v>3305</v>
      </c>
      <c r="AQ941" s="3276" t="s">
        <v>2996</v>
      </c>
      <c r="AR941" s="3276"/>
      <c r="AS941" s="3276"/>
      <c r="AT941" s="3276"/>
      <c r="AU941" s="3276"/>
      <c r="AV941" s="3276" t="s">
        <v>2968</v>
      </c>
      <c r="AW941" s="3267" t="s">
        <v>3171</v>
      </c>
      <c r="AX941" s="3276"/>
      <c r="AY941" s="3291"/>
      <c r="AZ941" s="3267" t="s">
        <v>9552</v>
      </c>
      <c r="BA941" s="3296"/>
      <c r="BB941" s="3297"/>
      <c r="BC941" s="3296"/>
      <c r="BD941" s="3298"/>
      <c r="BE941" s="3276">
        <v>13910407751</v>
      </c>
      <c r="BF941" s="3281" t="s">
        <v>2968</v>
      </c>
      <c r="BG941" s="3293">
        <v>39058</v>
      </c>
      <c r="BH941" s="3267" t="s">
        <v>2998</v>
      </c>
      <c r="BI941" s="3279" t="s">
        <v>3305</v>
      </c>
      <c r="BJ941" s="3293">
        <v>39058</v>
      </c>
      <c r="BK941" s="3283"/>
      <c r="BL941" s="3267" t="s">
        <v>3249</v>
      </c>
      <c r="BM941" s="3276" t="s">
        <v>2879</v>
      </c>
      <c r="BN941" s="3276" t="s">
        <v>2999</v>
      </c>
      <c r="BO941" s="3276" t="s">
        <v>3146</v>
      </c>
      <c r="BP941" s="3276"/>
      <c r="BQ941" s="3276" t="e">
        <v>#DIV/0!</v>
      </c>
      <c r="BR941" s="3276" t="e">
        <v>#DIV/0!</v>
      </c>
      <c r="BS941" s="3285"/>
      <c r="BT941" s="3285"/>
      <c r="BU941" s="3285"/>
    </row>
    <row r="942" spans="1:245" hidden="1">
      <c r="A942" s="3267" t="s">
        <v>9554</v>
      </c>
      <c r="B942" s="3267" t="s">
        <v>9555</v>
      </c>
      <c r="C942" s="3269" t="s">
        <v>9556</v>
      </c>
      <c r="D942" s="3269" t="s">
        <v>9557</v>
      </c>
      <c r="E942" s="3268" t="s">
        <v>2985</v>
      </c>
      <c r="F942" s="3268" t="s">
        <v>3991</v>
      </c>
      <c r="G942" s="3267"/>
      <c r="H942" s="3267" t="s">
        <v>3182</v>
      </c>
      <c r="I942" s="3268"/>
      <c r="J942" s="3267" t="s">
        <v>9558</v>
      </c>
      <c r="K942" s="3267" t="s">
        <v>9559</v>
      </c>
      <c r="L942" s="3267">
        <v>39.840000000000003</v>
      </c>
      <c r="M942" s="3267">
        <v>24</v>
      </c>
      <c r="N942" s="3267" t="s">
        <v>3535</v>
      </c>
      <c r="O942" s="3267">
        <v>31.21</v>
      </c>
      <c r="P942" s="3267" t="s">
        <v>2963</v>
      </c>
      <c r="Q942" s="3271">
        <v>385013</v>
      </c>
      <c r="R942" s="3267">
        <v>9664</v>
      </c>
      <c r="S942" s="3272">
        <v>31.25</v>
      </c>
      <c r="T942" s="3273">
        <v>312500</v>
      </c>
      <c r="U942" s="3267">
        <v>7844</v>
      </c>
      <c r="V942" s="3289">
        <v>0.2</v>
      </c>
      <c r="W942" s="3272">
        <v>25</v>
      </c>
      <c r="X942" s="3275">
        <v>250000</v>
      </c>
      <c r="Y942" s="3276">
        <v>2006</v>
      </c>
      <c r="Z942" s="3276">
        <v>12</v>
      </c>
      <c r="AA942" s="3276">
        <v>22</v>
      </c>
      <c r="AB942" s="3267">
        <v>935</v>
      </c>
      <c r="AC942" s="3267" t="s">
        <v>2980</v>
      </c>
      <c r="AD942" s="3269" t="s">
        <v>9560</v>
      </c>
      <c r="AE942" s="3279" t="s">
        <v>3344</v>
      </c>
      <c r="AF942" s="3267" t="s">
        <v>2966</v>
      </c>
      <c r="AG942" s="3279" t="s">
        <v>2967</v>
      </c>
      <c r="AH942" s="3267"/>
      <c r="AI942" s="3279" t="s">
        <v>2992</v>
      </c>
      <c r="AJ942" s="3284"/>
      <c r="AK942" s="3278" t="s">
        <v>3120</v>
      </c>
      <c r="AL942" s="3276">
        <v>58</v>
      </c>
      <c r="AM942" s="3276"/>
      <c r="AN942" s="3279" t="s">
        <v>2994</v>
      </c>
      <c r="AO942" s="3267"/>
      <c r="AP942" s="3279" t="s">
        <v>3305</v>
      </c>
      <c r="AQ942" s="3276" t="s">
        <v>3113</v>
      </c>
      <c r="AR942" s="3276"/>
      <c r="AS942" s="3276"/>
      <c r="AT942" s="3276"/>
      <c r="AU942" s="3276"/>
      <c r="AV942" s="3276" t="s">
        <v>2968</v>
      </c>
      <c r="AW942" s="3276" t="s">
        <v>3171</v>
      </c>
      <c r="AX942" s="3276"/>
      <c r="AY942" s="3291"/>
      <c r="AZ942" s="3267" t="s">
        <v>9559</v>
      </c>
      <c r="BA942" s="3296"/>
      <c r="BB942" s="3297"/>
      <c r="BC942" s="3296"/>
      <c r="BD942" s="3298"/>
      <c r="BE942" s="3276">
        <v>13317355368</v>
      </c>
      <c r="BF942" s="3281" t="s">
        <v>2968</v>
      </c>
      <c r="BG942" s="3293">
        <v>39012</v>
      </c>
      <c r="BH942" s="3267" t="s">
        <v>2998</v>
      </c>
      <c r="BI942" s="3314" t="s">
        <v>3305</v>
      </c>
      <c r="BJ942" s="3283">
        <v>39058</v>
      </c>
      <c r="BK942" s="3283"/>
      <c r="BL942" s="3267" t="s">
        <v>3249</v>
      </c>
      <c r="BM942" s="3276" t="s">
        <v>2879</v>
      </c>
      <c r="BN942" s="3276" t="s">
        <v>2999</v>
      </c>
      <c r="BO942" s="3276" t="s">
        <v>3146</v>
      </c>
      <c r="BP942" s="3276"/>
      <c r="BQ942" s="3276">
        <v>10013</v>
      </c>
      <c r="BR942" s="3276">
        <v>12336</v>
      </c>
      <c r="BS942" s="3285"/>
      <c r="BT942" s="3285"/>
      <c r="BU942" s="3285"/>
    </row>
    <row r="943" spans="1:245" hidden="1">
      <c r="A943" s="3267" t="s">
        <v>9561</v>
      </c>
      <c r="B943" s="3267" t="s">
        <v>9562</v>
      </c>
      <c r="C943" s="3269" t="s">
        <v>9563</v>
      </c>
      <c r="D943" s="3269" t="s">
        <v>9564</v>
      </c>
      <c r="E943" s="3268" t="s">
        <v>2985</v>
      </c>
      <c r="F943" s="3268" t="s">
        <v>3542</v>
      </c>
      <c r="G943" s="3267"/>
      <c r="H943" s="3267" t="s">
        <v>3169</v>
      </c>
      <c r="I943" s="3268"/>
      <c r="J943" s="3267" t="s">
        <v>9565</v>
      </c>
      <c r="K943" s="3267" t="s">
        <v>9566</v>
      </c>
      <c r="L943" s="3267">
        <v>66.33</v>
      </c>
      <c r="M943" s="3267">
        <v>3</v>
      </c>
      <c r="N943" s="3267" t="s">
        <v>3122</v>
      </c>
      <c r="O943" s="3267"/>
      <c r="P943" s="3267" t="s">
        <v>2963</v>
      </c>
      <c r="Q943" s="3271">
        <v>620000</v>
      </c>
      <c r="R943" s="3267">
        <v>9347</v>
      </c>
      <c r="S943" s="3272">
        <v>48.48</v>
      </c>
      <c r="T943" s="3273">
        <v>484799.99999999994</v>
      </c>
      <c r="U943" s="3267">
        <v>7309</v>
      </c>
      <c r="V943" s="3289">
        <v>0.2</v>
      </c>
      <c r="W943" s="3272">
        <v>38.78</v>
      </c>
      <c r="X943" s="3275">
        <v>387800</v>
      </c>
      <c r="Y943" s="3276">
        <v>2006</v>
      </c>
      <c r="Z943" s="3276">
        <v>12</v>
      </c>
      <c r="AA943" s="3276">
        <v>15</v>
      </c>
      <c r="AB943" s="3267">
        <v>1450</v>
      </c>
      <c r="AC943" s="3267" t="s">
        <v>2980</v>
      </c>
      <c r="AD943" s="3280" t="s">
        <v>9567</v>
      </c>
      <c r="AE943" s="3279" t="s">
        <v>3344</v>
      </c>
      <c r="AF943" s="3267" t="s">
        <v>2966</v>
      </c>
      <c r="AG943" s="3279" t="s">
        <v>2967</v>
      </c>
      <c r="AH943" s="3267" t="s">
        <v>9568</v>
      </c>
      <c r="AI943" s="3279" t="s">
        <v>2992</v>
      </c>
      <c r="AJ943" s="3284"/>
      <c r="AK943" s="3278" t="s">
        <v>3120</v>
      </c>
      <c r="AL943" s="3276">
        <v>44</v>
      </c>
      <c r="AM943" s="3276"/>
      <c r="AN943" s="3279" t="s">
        <v>3114</v>
      </c>
      <c r="AO943" s="3267"/>
      <c r="AP943" s="3279" t="s">
        <v>3305</v>
      </c>
      <c r="AQ943" s="3276" t="s">
        <v>3113</v>
      </c>
      <c r="AR943" s="3276"/>
      <c r="AS943" s="3276"/>
      <c r="AT943" s="3276"/>
      <c r="AU943" s="3276"/>
      <c r="AV943" s="3276" t="s">
        <v>2968</v>
      </c>
      <c r="AW943" s="3276" t="s">
        <v>3171</v>
      </c>
      <c r="AX943" s="3276"/>
      <c r="AY943" s="3291"/>
      <c r="AZ943" s="3267" t="s">
        <v>9566</v>
      </c>
      <c r="BA943" s="3296"/>
      <c r="BB943" s="3297"/>
      <c r="BC943" s="3296"/>
      <c r="BD943" s="3298"/>
      <c r="BE943" s="3276">
        <v>64117539</v>
      </c>
      <c r="BF943" s="3281" t="s">
        <v>2968</v>
      </c>
      <c r="BG943" s="3293">
        <v>39049</v>
      </c>
      <c r="BH943" s="3267" t="s">
        <v>2998</v>
      </c>
      <c r="BI943" s="3314" t="s">
        <v>3305</v>
      </c>
      <c r="BJ943" s="3283">
        <v>39058</v>
      </c>
      <c r="BK943" s="3283"/>
      <c r="BL943" s="3267" t="s">
        <v>3249</v>
      </c>
      <c r="BM943" s="3276" t="s">
        <v>2879</v>
      </c>
      <c r="BN943" s="3276" t="s">
        <v>2999</v>
      </c>
      <c r="BO943" s="3276" t="s">
        <v>3146</v>
      </c>
      <c r="BP943" s="3276"/>
      <c r="BQ943" s="3276" t="e">
        <v>#DIV/0!</v>
      </c>
      <c r="BR943" s="3276" t="e">
        <v>#DIV/0!</v>
      </c>
      <c r="BS943" s="3285"/>
      <c r="BT943" s="3285"/>
      <c r="BU943" s="3285"/>
    </row>
    <row r="944" spans="1:245" hidden="1">
      <c r="A944" s="3267" t="s">
        <v>9569</v>
      </c>
      <c r="B944" s="3267" t="s">
        <v>9570</v>
      </c>
      <c r="C944" s="3269" t="s">
        <v>9571</v>
      </c>
      <c r="D944" s="3269" t="s">
        <v>9572</v>
      </c>
      <c r="E944" s="3268" t="s">
        <v>2985</v>
      </c>
      <c r="F944" s="3268" t="s">
        <v>3279</v>
      </c>
      <c r="G944" s="3267"/>
      <c r="H944" s="3267" t="s">
        <v>6596</v>
      </c>
      <c r="I944" s="3268"/>
      <c r="J944" s="3267" t="s">
        <v>7509</v>
      </c>
      <c r="K944" s="3267" t="s">
        <v>9573</v>
      </c>
      <c r="L944" s="3267">
        <v>73.95</v>
      </c>
      <c r="M944" s="3269">
        <v>8</v>
      </c>
      <c r="N944" s="3267" t="s">
        <v>3122</v>
      </c>
      <c r="O944" s="3267"/>
      <c r="P944" s="3267" t="s">
        <v>2963</v>
      </c>
      <c r="Q944" s="3271">
        <v>480000</v>
      </c>
      <c r="R944" s="3267">
        <v>6491</v>
      </c>
      <c r="S944" s="3272">
        <v>47.9</v>
      </c>
      <c r="T944" s="3273">
        <v>479000</v>
      </c>
      <c r="U944" s="3267">
        <v>6478</v>
      </c>
      <c r="V944" s="3289">
        <v>0.2</v>
      </c>
      <c r="W944" s="3272">
        <v>38.32</v>
      </c>
      <c r="X944" s="3275">
        <v>383200</v>
      </c>
      <c r="Y944" s="3276">
        <v>2006</v>
      </c>
      <c r="Z944" s="3276">
        <v>12</v>
      </c>
      <c r="AA944" s="3276">
        <v>26</v>
      </c>
      <c r="AB944" s="3267">
        <v>1435</v>
      </c>
      <c r="AC944" s="3267" t="s">
        <v>2980</v>
      </c>
      <c r="AD944" s="3280" t="s">
        <v>9574</v>
      </c>
      <c r="AE944" s="3279" t="s">
        <v>3344</v>
      </c>
      <c r="AF944" s="3267" t="s">
        <v>2966</v>
      </c>
      <c r="AG944" s="3279" t="s">
        <v>2967</v>
      </c>
      <c r="AH944" s="3267"/>
      <c r="AI944" s="3279" t="s">
        <v>2992</v>
      </c>
      <c r="AJ944" s="3284"/>
      <c r="AK944" s="3278" t="s">
        <v>3120</v>
      </c>
      <c r="AL944" s="3276">
        <v>52</v>
      </c>
      <c r="AM944" s="3276"/>
      <c r="AN944" s="3279" t="s">
        <v>3099</v>
      </c>
      <c r="AO944" s="3267"/>
      <c r="AP944" s="3279" t="s">
        <v>3537</v>
      </c>
      <c r="AQ944" s="3267" t="s">
        <v>3113</v>
      </c>
      <c r="AR944" s="3276"/>
      <c r="AS944" s="3276"/>
      <c r="AT944" s="3276"/>
      <c r="AU944" s="3276"/>
      <c r="AV944" s="3276" t="s">
        <v>2968</v>
      </c>
      <c r="AW944" s="3276" t="s">
        <v>3171</v>
      </c>
      <c r="AX944" s="3276"/>
      <c r="AY944" s="3291"/>
      <c r="AZ944" s="3267" t="s">
        <v>9573</v>
      </c>
      <c r="BA944" s="3296"/>
      <c r="BB944" s="3297"/>
      <c r="BC944" s="3296"/>
      <c r="BD944" s="3298"/>
      <c r="BE944" s="3276">
        <v>13621219000</v>
      </c>
      <c r="BF944" s="3281" t="s">
        <v>2968</v>
      </c>
      <c r="BG944" s="3293">
        <v>39040</v>
      </c>
      <c r="BH944" s="3267" t="s">
        <v>2998</v>
      </c>
      <c r="BI944" s="3314" t="s">
        <v>3305</v>
      </c>
      <c r="BJ944" s="3283">
        <v>39058</v>
      </c>
      <c r="BK944" s="3283"/>
      <c r="BL944" s="3267" t="s">
        <v>3249</v>
      </c>
      <c r="BM944" s="3276" t="s">
        <v>2879</v>
      </c>
      <c r="BN944" s="3276" t="s">
        <v>2999</v>
      </c>
      <c r="BO944" s="3276" t="s">
        <v>3146</v>
      </c>
      <c r="BP944" s="3276"/>
      <c r="BQ944" s="3276" t="e">
        <v>#DIV/0!</v>
      </c>
      <c r="BR944" s="3276" t="e">
        <v>#DIV/0!</v>
      </c>
      <c r="BS944" s="3285"/>
      <c r="BT944" s="3285"/>
      <c r="BU944" s="3285"/>
    </row>
    <row r="945" spans="1:245" hidden="1">
      <c r="A945" s="3267" t="s">
        <v>9575</v>
      </c>
      <c r="B945" s="3267" t="s">
        <v>9576</v>
      </c>
      <c r="C945" s="3269" t="s">
        <v>9577</v>
      </c>
      <c r="D945" s="3269" t="s">
        <v>9578</v>
      </c>
      <c r="E945" s="3268" t="s">
        <v>2985</v>
      </c>
      <c r="F945" s="3268" t="s">
        <v>3324</v>
      </c>
      <c r="G945" s="3267"/>
      <c r="H945" s="3267" t="s">
        <v>6150</v>
      </c>
      <c r="I945" s="3268" t="s">
        <v>9579</v>
      </c>
      <c r="J945" s="3267" t="s">
        <v>3293</v>
      </c>
      <c r="K945" s="3267" t="s">
        <v>9580</v>
      </c>
      <c r="L945" s="3267">
        <v>97.18</v>
      </c>
      <c r="M945" s="3267">
        <v>24</v>
      </c>
      <c r="N945" s="3267" t="s">
        <v>3172</v>
      </c>
      <c r="O945" s="3267"/>
      <c r="P945" s="3267" t="s">
        <v>2963</v>
      </c>
      <c r="Q945" s="3271">
        <v>605000</v>
      </c>
      <c r="R945" s="3267">
        <v>6226</v>
      </c>
      <c r="S945" s="3272">
        <v>71.11</v>
      </c>
      <c r="T945" s="3273">
        <v>711100</v>
      </c>
      <c r="U945" s="3267">
        <v>7318</v>
      </c>
      <c r="V945" s="3289">
        <v>0.3</v>
      </c>
      <c r="W945" s="3272">
        <v>49.77</v>
      </c>
      <c r="X945" s="3275">
        <v>497700</v>
      </c>
      <c r="Y945" s="3276">
        <v>2006</v>
      </c>
      <c r="Z945" s="3276">
        <v>12</v>
      </c>
      <c r="AA945" s="3276">
        <v>18</v>
      </c>
      <c r="AB945" s="3267">
        <v>1500</v>
      </c>
      <c r="AC945" s="3267" t="s">
        <v>2980</v>
      </c>
      <c r="AD945" s="3269" t="s">
        <v>9581</v>
      </c>
      <c r="AE945" s="3279" t="s">
        <v>3344</v>
      </c>
      <c r="AF945" s="3268" t="s">
        <v>2966</v>
      </c>
      <c r="AG945" s="3279" t="s">
        <v>2967</v>
      </c>
      <c r="AH945" s="3267" t="s">
        <v>2968</v>
      </c>
      <c r="AI945" s="3279" t="s">
        <v>2992</v>
      </c>
      <c r="AJ945" s="3284"/>
      <c r="AK945" s="3278" t="s">
        <v>3120</v>
      </c>
      <c r="AL945" s="3276">
        <v>51</v>
      </c>
      <c r="AM945" s="3267"/>
      <c r="AN945" s="3279" t="s">
        <v>2994</v>
      </c>
      <c r="AO945" s="3267"/>
      <c r="AP945" s="3279" t="s">
        <v>3305</v>
      </c>
      <c r="AQ945" s="3276" t="s">
        <v>2996</v>
      </c>
      <c r="AR945" s="3276"/>
      <c r="AS945" s="3276"/>
      <c r="AT945" s="3276"/>
      <c r="AU945" s="3276"/>
      <c r="AV945" s="3276" t="s">
        <v>2968</v>
      </c>
      <c r="AW945" s="3276" t="s">
        <v>3171</v>
      </c>
      <c r="AX945" s="3276"/>
      <c r="AY945" s="3291"/>
      <c r="AZ945" s="3267" t="s">
        <v>9580</v>
      </c>
      <c r="BA945" s="3296"/>
      <c r="BB945" s="3297"/>
      <c r="BC945" s="3296"/>
      <c r="BD945" s="3296"/>
      <c r="BE945" s="3276">
        <v>64704711</v>
      </c>
      <c r="BF945" s="3281" t="s">
        <v>2968</v>
      </c>
      <c r="BG945" s="3293">
        <v>39055</v>
      </c>
      <c r="BH945" s="3267" t="s">
        <v>2998</v>
      </c>
      <c r="BI945" s="3314" t="s">
        <v>3305</v>
      </c>
      <c r="BJ945" s="3283">
        <v>39059</v>
      </c>
      <c r="BK945" s="3283"/>
      <c r="BL945" s="3267" t="s">
        <v>3249</v>
      </c>
      <c r="BM945" s="3276" t="s">
        <v>2879</v>
      </c>
      <c r="BN945" s="3276" t="s">
        <v>2999</v>
      </c>
      <c r="BO945" s="3276" t="s">
        <v>3146</v>
      </c>
      <c r="BP945" s="3276"/>
      <c r="BQ945" s="3276" t="e">
        <v>#DIV/0!</v>
      </c>
      <c r="BR945" s="3276" t="e">
        <v>#DIV/0!</v>
      </c>
      <c r="BS945" s="3285"/>
      <c r="BT945" s="3285"/>
      <c r="BU945" s="3285"/>
    </row>
    <row r="946" spans="1:245" hidden="1">
      <c r="A946" s="3267" t="s">
        <v>9582</v>
      </c>
      <c r="B946" s="3267" t="s">
        <v>9583</v>
      </c>
      <c r="C946" s="3269" t="s">
        <v>9584</v>
      </c>
      <c r="D946" s="3269" t="s">
        <v>9585</v>
      </c>
      <c r="E946" s="3268" t="s">
        <v>2985</v>
      </c>
      <c r="F946" s="3268" t="s">
        <v>3309</v>
      </c>
      <c r="G946" s="3267"/>
      <c r="H946" s="3267" t="s">
        <v>4477</v>
      </c>
      <c r="I946" s="3268"/>
      <c r="J946" s="3267" t="s">
        <v>9586</v>
      </c>
      <c r="K946" s="3267" t="s">
        <v>9587</v>
      </c>
      <c r="L946" s="3267">
        <v>73.569999999999993</v>
      </c>
      <c r="M946" s="3267">
        <v>12</v>
      </c>
      <c r="N946" s="3267" t="s">
        <v>8458</v>
      </c>
      <c r="O946" s="3267">
        <v>58.86</v>
      </c>
      <c r="P946" s="3267" t="s">
        <v>2963</v>
      </c>
      <c r="Q946" s="3271">
        <v>660000</v>
      </c>
      <c r="R946" s="3267">
        <v>8971</v>
      </c>
      <c r="S946" s="3272">
        <v>48.54</v>
      </c>
      <c r="T946" s="3273">
        <v>485400</v>
      </c>
      <c r="U946" s="3267">
        <v>6599</v>
      </c>
      <c r="V946" s="3289">
        <v>0.2</v>
      </c>
      <c r="W946" s="3272">
        <v>38.83</v>
      </c>
      <c r="X946" s="3275">
        <v>388300</v>
      </c>
      <c r="Y946" s="3276">
        <v>2006</v>
      </c>
      <c r="Z946" s="3276">
        <v>12</v>
      </c>
      <c r="AA946" s="3276">
        <v>19</v>
      </c>
      <c r="AB946" s="3267">
        <v>1455</v>
      </c>
      <c r="AC946" s="3267" t="s">
        <v>2980</v>
      </c>
      <c r="AD946" s="3280" t="s">
        <v>9588</v>
      </c>
      <c r="AE946" s="3279" t="s">
        <v>3344</v>
      </c>
      <c r="AF946" s="3267" t="s">
        <v>2966</v>
      </c>
      <c r="AG946" s="3279" t="s">
        <v>2967</v>
      </c>
      <c r="AH946" s="3267" t="s">
        <v>9589</v>
      </c>
      <c r="AI946" s="3279" t="s">
        <v>2992</v>
      </c>
      <c r="AJ946" s="3284"/>
      <c r="AK946" s="3278" t="s">
        <v>3120</v>
      </c>
      <c r="AL946" s="3276">
        <v>52</v>
      </c>
      <c r="AM946" s="3276"/>
      <c r="AN946" s="3279" t="s">
        <v>2994</v>
      </c>
      <c r="AO946" s="3267"/>
      <c r="AP946" s="3279" t="s">
        <v>3305</v>
      </c>
      <c r="AQ946" s="3276" t="s">
        <v>3113</v>
      </c>
      <c r="AR946" s="3276"/>
      <c r="AS946" s="3276"/>
      <c r="AT946" s="3276"/>
      <c r="AU946" s="3276"/>
      <c r="AV946" s="3276" t="s">
        <v>2968</v>
      </c>
      <c r="AW946" s="3276" t="s">
        <v>3171</v>
      </c>
      <c r="AX946" s="3276"/>
      <c r="AY946" s="3291"/>
      <c r="AZ946" s="3267" t="s">
        <v>9587</v>
      </c>
      <c r="BA946" s="3296"/>
      <c r="BB946" s="3297"/>
      <c r="BC946" s="3296"/>
      <c r="BD946" s="3298"/>
      <c r="BE946" s="3276">
        <v>13522372350</v>
      </c>
      <c r="BF946" s="3281" t="s">
        <v>2968</v>
      </c>
      <c r="BG946" s="3293">
        <v>39050</v>
      </c>
      <c r="BH946" s="3354" t="s">
        <v>2998</v>
      </c>
      <c r="BI946" s="3314" t="s">
        <v>3305</v>
      </c>
      <c r="BJ946" s="3283">
        <v>39059</v>
      </c>
      <c r="BK946" s="3283"/>
      <c r="BL946" s="3267" t="s">
        <v>3249</v>
      </c>
      <c r="BM946" s="3276" t="s">
        <v>2879</v>
      </c>
      <c r="BN946" s="3276" t="s">
        <v>2999</v>
      </c>
      <c r="BO946" s="3276" t="s">
        <v>3146</v>
      </c>
      <c r="BP946" s="3276"/>
      <c r="BQ946" s="3276">
        <v>8247</v>
      </c>
      <c r="BR946" s="3276">
        <v>11213</v>
      </c>
      <c r="BS946" s="3285"/>
      <c r="BT946" s="3285"/>
      <c r="BU946" s="3285"/>
      <c r="BV946" s="3347"/>
      <c r="BW946" s="3347"/>
      <c r="BX946" s="3347"/>
      <c r="BY946" s="3347"/>
      <c r="BZ946" s="3347"/>
      <c r="CA946" s="3347"/>
      <c r="CB946" s="3347"/>
      <c r="CC946" s="3347"/>
      <c r="CD946" s="3347"/>
      <c r="CE946" s="3347"/>
      <c r="CF946" s="3347"/>
      <c r="CG946" s="3347"/>
      <c r="CH946" s="3347"/>
      <c r="CI946" s="3347"/>
      <c r="CJ946" s="3347"/>
      <c r="CK946" s="3347"/>
      <c r="CL946" s="3347"/>
      <c r="CM946" s="3347"/>
      <c r="CN946" s="3347"/>
      <c r="CO946" s="3347"/>
      <c r="CP946" s="3347"/>
      <c r="CQ946" s="3347"/>
      <c r="CR946" s="3347"/>
      <c r="CS946" s="3347"/>
      <c r="CT946" s="3347"/>
      <c r="CU946" s="3347"/>
      <c r="CV946" s="3347"/>
      <c r="CW946" s="3347"/>
      <c r="CX946" s="3347"/>
      <c r="CY946" s="3347"/>
      <c r="CZ946" s="3347"/>
      <c r="DA946" s="3347"/>
      <c r="DB946" s="3347"/>
      <c r="DC946" s="3347"/>
      <c r="DD946" s="3347"/>
      <c r="DE946" s="3347"/>
      <c r="DF946" s="3347"/>
      <c r="DG946" s="3347"/>
      <c r="DH946" s="3347"/>
      <c r="DI946" s="3347"/>
      <c r="DJ946" s="3347"/>
      <c r="DK946" s="3347"/>
      <c r="DL946" s="3347"/>
      <c r="DM946" s="3347"/>
      <c r="DN946" s="3347"/>
      <c r="DO946" s="3347"/>
      <c r="DP946" s="3347"/>
      <c r="DQ946" s="3347"/>
      <c r="DR946" s="3347"/>
      <c r="DS946" s="3347"/>
      <c r="DT946" s="3347"/>
      <c r="DU946" s="3347"/>
      <c r="DV946" s="3347"/>
      <c r="DW946" s="3347"/>
      <c r="DX946" s="3347"/>
      <c r="DY946" s="3347"/>
      <c r="DZ946" s="3347"/>
      <c r="EA946" s="3347"/>
      <c r="EB946" s="3347"/>
      <c r="EC946" s="3347"/>
      <c r="ED946" s="3347"/>
      <c r="EE946" s="3347"/>
      <c r="EF946" s="3347"/>
      <c r="EG946" s="3347"/>
      <c r="EH946" s="3347"/>
      <c r="EI946" s="3347"/>
      <c r="EJ946" s="3347"/>
      <c r="EK946" s="3347"/>
      <c r="EL946" s="3347"/>
      <c r="EM946" s="3347"/>
      <c r="EN946" s="3347"/>
      <c r="EO946" s="3347"/>
      <c r="EP946" s="3347"/>
      <c r="EQ946" s="3347"/>
      <c r="ER946" s="3347"/>
      <c r="ES946" s="3347"/>
      <c r="ET946" s="3347"/>
      <c r="EU946" s="3347"/>
      <c r="EV946" s="3347"/>
      <c r="EW946" s="3347"/>
      <c r="EX946" s="3347"/>
      <c r="EY946" s="3347"/>
      <c r="EZ946" s="3347"/>
      <c r="FA946" s="3347"/>
      <c r="FB946" s="3347"/>
      <c r="FC946" s="3347"/>
      <c r="FD946" s="3347"/>
      <c r="FE946" s="3347"/>
      <c r="FF946" s="3347"/>
      <c r="FG946" s="3347"/>
      <c r="FH946" s="3347"/>
      <c r="FI946" s="3347"/>
      <c r="FJ946" s="3347"/>
      <c r="FK946" s="3347"/>
      <c r="FL946" s="3347"/>
      <c r="FM946" s="3347"/>
      <c r="FN946" s="3347"/>
      <c r="FO946" s="3347"/>
      <c r="FP946" s="3347"/>
      <c r="FQ946" s="3347"/>
      <c r="FR946" s="3347"/>
      <c r="FS946" s="3347"/>
      <c r="FT946" s="3347"/>
      <c r="FU946" s="3347"/>
      <c r="FV946" s="3347"/>
      <c r="FW946" s="3347"/>
      <c r="FX946" s="3347"/>
      <c r="FY946" s="3347"/>
      <c r="FZ946" s="3347"/>
      <c r="GA946" s="3347"/>
      <c r="GB946" s="3347"/>
      <c r="GC946" s="3347"/>
      <c r="GD946" s="3347"/>
      <c r="GE946" s="3347"/>
      <c r="GF946" s="3347"/>
      <c r="GG946" s="3347"/>
      <c r="GH946" s="3347"/>
      <c r="GI946" s="3347"/>
      <c r="GJ946" s="3347"/>
      <c r="GK946" s="3347"/>
      <c r="GL946" s="3347"/>
      <c r="GM946" s="3347"/>
      <c r="GN946" s="3347"/>
      <c r="GO946" s="3347"/>
      <c r="GP946" s="3347"/>
      <c r="GQ946" s="3347"/>
      <c r="GR946" s="3347"/>
      <c r="GS946" s="3347"/>
      <c r="GT946" s="3347"/>
      <c r="GU946" s="3347"/>
      <c r="GV946" s="3347"/>
      <c r="GW946" s="3347"/>
      <c r="GX946" s="3347"/>
      <c r="GY946" s="3347"/>
      <c r="GZ946" s="3347"/>
      <c r="HA946" s="3347"/>
      <c r="HB946" s="3347"/>
      <c r="HC946" s="3347"/>
      <c r="HD946" s="3347"/>
      <c r="HE946" s="3347"/>
      <c r="HF946" s="3347"/>
      <c r="HG946" s="3347"/>
      <c r="HH946" s="3347"/>
      <c r="HI946" s="3347"/>
      <c r="HJ946" s="3347"/>
      <c r="HK946" s="3347"/>
      <c r="HL946" s="3347"/>
      <c r="HM946" s="3347"/>
      <c r="HN946" s="3347"/>
      <c r="HO946" s="3347"/>
      <c r="HP946" s="3347"/>
      <c r="HQ946" s="3347"/>
      <c r="HR946" s="3347"/>
      <c r="HS946" s="3347"/>
      <c r="HT946" s="3347"/>
      <c r="HU946" s="3347"/>
      <c r="HV946" s="3347"/>
      <c r="HW946" s="3347"/>
      <c r="HX946" s="3347"/>
      <c r="HY946" s="3347"/>
      <c r="HZ946" s="3347"/>
      <c r="IA946" s="3347"/>
      <c r="IB946" s="3347"/>
      <c r="IC946" s="3347"/>
      <c r="ID946" s="3347"/>
      <c r="IE946" s="3347"/>
      <c r="IF946" s="3347"/>
      <c r="IG946" s="3347"/>
      <c r="IH946" s="3347"/>
      <c r="II946" s="3347"/>
    </row>
    <row r="947" spans="1:245" hidden="1">
      <c r="A947" s="3267" t="s">
        <v>9590</v>
      </c>
      <c r="B947" s="3267" t="s">
        <v>9591</v>
      </c>
      <c r="C947" s="3269" t="s">
        <v>9592</v>
      </c>
      <c r="D947" s="3269" t="s">
        <v>9593</v>
      </c>
      <c r="E947" s="3268" t="s">
        <v>2985</v>
      </c>
      <c r="F947" s="3268" t="s">
        <v>3429</v>
      </c>
      <c r="G947" s="3267"/>
      <c r="H947" s="3267" t="s">
        <v>4885</v>
      </c>
      <c r="I947" s="3268" t="s">
        <v>3254</v>
      </c>
      <c r="J947" s="3267" t="s">
        <v>5688</v>
      </c>
      <c r="K947" s="3267" t="s">
        <v>9594</v>
      </c>
      <c r="L947" s="3267">
        <v>72.62</v>
      </c>
      <c r="M947" s="3267">
        <v>3</v>
      </c>
      <c r="N947" s="3267" t="s">
        <v>7978</v>
      </c>
      <c r="O947" s="3267"/>
      <c r="P947" s="3267" t="s">
        <v>2963</v>
      </c>
      <c r="Q947" s="3271">
        <v>620000</v>
      </c>
      <c r="R947" s="3267">
        <v>8538</v>
      </c>
      <c r="S947" s="3272">
        <v>51.94</v>
      </c>
      <c r="T947" s="3273">
        <v>519400</v>
      </c>
      <c r="U947" s="3267">
        <v>7153</v>
      </c>
      <c r="V947" s="3289">
        <v>0.2</v>
      </c>
      <c r="W947" s="3272">
        <v>41.55</v>
      </c>
      <c r="X947" s="3275">
        <v>415500</v>
      </c>
      <c r="Y947" s="3276">
        <v>2006</v>
      </c>
      <c r="Z947" s="3276">
        <v>12</v>
      </c>
      <c r="AA947" s="3276">
        <v>25</v>
      </c>
      <c r="AB947" s="3267">
        <v>1500</v>
      </c>
      <c r="AC947" s="3267" t="s">
        <v>2980</v>
      </c>
      <c r="AD947" s="3269" t="s">
        <v>9595</v>
      </c>
      <c r="AE947" s="3279" t="s">
        <v>3344</v>
      </c>
      <c r="AF947" s="3268" t="s">
        <v>2966</v>
      </c>
      <c r="AG947" s="3279" t="s">
        <v>2967</v>
      </c>
      <c r="AH947" s="3267"/>
      <c r="AI947" s="3279" t="s">
        <v>2992</v>
      </c>
      <c r="AJ947" s="3284"/>
      <c r="AK947" s="3278" t="s">
        <v>3120</v>
      </c>
      <c r="AL947" s="3276">
        <v>36</v>
      </c>
      <c r="AM947" s="3267"/>
      <c r="AN947" s="3279" t="s">
        <v>3099</v>
      </c>
      <c r="AO947" s="3267"/>
      <c r="AP947" s="3279" t="s">
        <v>3305</v>
      </c>
      <c r="AQ947" s="3276" t="s">
        <v>3113</v>
      </c>
      <c r="AR947" s="3276"/>
      <c r="AS947" s="3276"/>
      <c r="AT947" s="3276"/>
      <c r="AU947" s="3276"/>
      <c r="AV947" s="3276"/>
      <c r="AW947" s="3276" t="s">
        <v>3171</v>
      </c>
      <c r="AX947" s="3276"/>
      <c r="AY947" s="3291"/>
      <c r="AZ947" s="3267" t="s">
        <v>9594</v>
      </c>
      <c r="BA947" s="3296"/>
      <c r="BB947" s="3297"/>
      <c r="BC947" s="3296"/>
      <c r="BD947" s="3296"/>
      <c r="BE947" s="3276">
        <v>13426265875</v>
      </c>
      <c r="BF947" s="3281"/>
      <c r="BG947" s="3293">
        <v>39033</v>
      </c>
      <c r="BH947" s="3267" t="s">
        <v>2998</v>
      </c>
      <c r="BI947" s="3314" t="s">
        <v>3305</v>
      </c>
      <c r="BJ947" s="3283">
        <v>39059</v>
      </c>
      <c r="BK947" s="3283"/>
      <c r="BL947" s="3267" t="s">
        <v>3249</v>
      </c>
      <c r="BM947" s="3276" t="s">
        <v>2879</v>
      </c>
      <c r="BN947" s="3276" t="s">
        <v>2999</v>
      </c>
      <c r="BO947" s="3276" t="s">
        <v>3146</v>
      </c>
      <c r="BP947" s="3276"/>
      <c r="BQ947" s="3276" t="e">
        <v>#DIV/0!</v>
      </c>
      <c r="BR947" s="3276" t="e">
        <v>#DIV/0!</v>
      </c>
      <c r="BS947" s="3285"/>
      <c r="BT947" s="3285"/>
      <c r="BU947" s="3285"/>
      <c r="BV947" s="3347"/>
      <c r="BW947" s="3347"/>
      <c r="BX947" s="3347"/>
      <c r="BY947" s="3347"/>
      <c r="BZ947" s="3347"/>
      <c r="CA947" s="3347"/>
      <c r="CB947" s="3347"/>
      <c r="CC947" s="3347"/>
      <c r="CD947" s="3347"/>
      <c r="CE947" s="3347"/>
      <c r="CF947" s="3347"/>
      <c r="CG947" s="3347"/>
      <c r="CH947" s="3347"/>
      <c r="CI947" s="3347"/>
      <c r="CJ947" s="3347"/>
      <c r="CK947" s="3347"/>
      <c r="CL947" s="3347"/>
      <c r="CM947" s="3347"/>
      <c r="CN947" s="3347"/>
      <c r="CO947" s="3347"/>
      <c r="CP947" s="3347"/>
      <c r="CQ947" s="3347"/>
      <c r="CR947" s="3347"/>
      <c r="CS947" s="3347"/>
      <c r="CT947" s="3347"/>
      <c r="CU947" s="3347"/>
      <c r="CV947" s="3347"/>
      <c r="CW947" s="3347"/>
      <c r="CX947" s="3347"/>
      <c r="CY947" s="3347"/>
      <c r="CZ947" s="3347"/>
      <c r="DA947" s="3347"/>
      <c r="DB947" s="3347"/>
      <c r="DC947" s="3347"/>
      <c r="DD947" s="3347"/>
      <c r="DE947" s="3347"/>
      <c r="DF947" s="3347"/>
      <c r="DG947" s="3347"/>
      <c r="DH947" s="3347"/>
      <c r="DI947" s="3347"/>
      <c r="DJ947" s="3347"/>
      <c r="DK947" s="3347"/>
      <c r="DL947" s="3347"/>
      <c r="DM947" s="3347"/>
      <c r="DN947" s="3347"/>
      <c r="DO947" s="3347"/>
      <c r="DP947" s="3347"/>
      <c r="DQ947" s="3347"/>
      <c r="DR947" s="3347"/>
      <c r="DS947" s="3347"/>
      <c r="DT947" s="3347"/>
      <c r="DU947" s="3347"/>
      <c r="DV947" s="3347"/>
      <c r="DW947" s="3347"/>
      <c r="DX947" s="3347"/>
      <c r="DY947" s="3347"/>
      <c r="DZ947" s="3347"/>
      <c r="EA947" s="3347"/>
      <c r="EB947" s="3347"/>
      <c r="EC947" s="3347"/>
      <c r="ED947" s="3347"/>
      <c r="EE947" s="3347"/>
      <c r="EF947" s="3347"/>
      <c r="EG947" s="3347"/>
      <c r="EH947" s="3347"/>
      <c r="EI947" s="3347"/>
      <c r="EJ947" s="3347"/>
      <c r="EK947" s="3347"/>
      <c r="EL947" s="3347"/>
      <c r="EM947" s="3347"/>
      <c r="EN947" s="3347"/>
      <c r="EO947" s="3347"/>
      <c r="EP947" s="3347"/>
      <c r="EQ947" s="3347"/>
      <c r="ER947" s="3347"/>
      <c r="ES947" s="3347"/>
      <c r="ET947" s="3347"/>
      <c r="EU947" s="3347"/>
      <c r="EV947" s="3347"/>
      <c r="EW947" s="3347"/>
      <c r="EX947" s="3347"/>
      <c r="EY947" s="3347"/>
      <c r="EZ947" s="3347"/>
      <c r="FA947" s="3347"/>
      <c r="FB947" s="3347"/>
      <c r="FC947" s="3347"/>
      <c r="FD947" s="3347"/>
      <c r="FE947" s="3347"/>
      <c r="FF947" s="3347"/>
      <c r="FG947" s="3347"/>
      <c r="FH947" s="3347"/>
      <c r="FI947" s="3347"/>
      <c r="FJ947" s="3347"/>
      <c r="FK947" s="3347"/>
      <c r="FL947" s="3347"/>
      <c r="FM947" s="3347"/>
      <c r="FN947" s="3347"/>
      <c r="FO947" s="3347"/>
      <c r="FP947" s="3347"/>
      <c r="FQ947" s="3347"/>
      <c r="FR947" s="3347"/>
      <c r="FS947" s="3347"/>
      <c r="FT947" s="3347"/>
      <c r="FU947" s="3347"/>
      <c r="FV947" s="3347"/>
      <c r="FW947" s="3347"/>
      <c r="FX947" s="3347"/>
      <c r="FY947" s="3347"/>
      <c r="FZ947" s="3347"/>
      <c r="GA947" s="3347"/>
      <c r="GB947" s="3347"/>
      <c r="GC947" s="3347"/>
      <c r="GD947" s="3347"/>
      <c r="GE947" s="3347"/>
      <c r="GF947" s="3347"/>
      <c r="GG947" s="3347"/>
      <c r="GH947" s="3347"/>
      <c r="GI947" s="3347"/>
      <c r="GJ947" s="3347"/>
      <c r="GK947" s="3347"/>
      <c r="GL947" s="3347"/>
      <c r="GM947" s="3347"/>
      <c r="GN947" s="3347"/>
      <c r="GO947" s="3347"/>
      <c r="GP947" s="3347"/>
      <c r="GQ947" s="3347"/>
      <c r="GR947" s="3347"/>
      <c r="GS947" s="3347"/>
      <c r="GT947" s="3347"/>
      <c r="GU947" s="3347"/>
      <c r="GV947" s="3347"/>
      <c r="GW947" s="3347"/>
      <c r="GX947" s="3347"/>
      <c r="GY947" s="3347"/>
      <c r="GZ947" s="3347"/>
      <c r="HA947" s="3347"/>
      <c r="HB947" s="3347"/>
      <c r="HC947" s="3347"/>
      <c r="HD947" s="3347"/>
      <c r="HE947" s="3347"/>
      <c r="HF947" s="3347"/>
      <c r="HG947" s="3347"/>
      <c r="HH947" s="3347"/>
      <c r="HI947" s="3347"/>
      <c r="HJ947" s="3347"/>
      <c r="HK947" s="3347"/>
      <c r="HL947" s="3347"/>
      <c r="HM947" s="3347"/>
      <c r="HN947" s="3347"/>
      <c r="HO947" s="3347"/>
      <c r="HP947" s="3347"/>
      <c r="HQ947" s="3347"/>
      <c r="HR947" s="3347"/>
      <c r="HS947" s="3347"/>
      <c r="HT947" s="3347"/>
      <c r="HU947" s="3347"/>
      <c r="HV947" s="3347"/>
      <c r="HW947" s="3347"/>
      <c r="HX947" s="3347"/>
      <c r="HY947" s="3347"/>
      <c r="HZ947" s="3347"/>
      <c r="IA947" s="3347"/>
      <c r="IB947" s="3347"/>
      <c r="IC947" s="3347"/>
      <c r="ID947" s="3347"/>
      <c r="IE947" s="3347"/>
      <c r="IF947" s="3347"/>
      <c r="IG947" s="3347"/>
      <c r="IH947" s="3347"/>
      <c r="II947" s="3347"/>
    </row>
    <row r="948" spans="1:245" hidden="1">
      <c r="A948" s="3267" t="s">
        <v>9596</v>
      </c>
      <c r="B948" s="3267" t="s">
        <v>9597</v>
      </c>
      <c r="C948" s="3269" t="s">
        <v>9598</v>
      </c>
      <c r="D948" s="3269" t="s">
        <v>9599</v>
      </c>
      <c r="E948" s="3268" t="s">
        <v>2985</v>
      </c>
      <c r="F948" s="3268" t="s">
        <v>4068</v>
      </c>
      <c r="G948" s="3267"/>
      <c r="H948" s="3267" t="s">
        <v>3127</v>
      </c>
      <c r="I948" s="3268" t="s">
        <v>3318</v>
      </c>
      <c r="J948" s="3268" t="s">
        <v>3380</v>
      </c>
      <c r="K948" s="3267" t="s">
        <v>9600</v>
      </c>
      <c r="L948" s="3267">
        <v>68.650000000000006</v>
      </c>
      <c r="M948" s="3267">
        <v>3</v>
      </c>
      <c r="N948" s="3267" t="s">
        <v>3122</v>
      </c>
      <c r="O948" s="3267"/>
      <c r="P948" s="3267" t="s">
        <v>2963</v>
      </c>
      <c r="Q948" s="3271">
        <v>530000</v>
      </c>
      <c r="R948" s="3267">
        <v>7720</v>
      </c>
      <c r="S948" s="3272">
        <v>49.86</v>
      </c>
      <c r="T948" s="3273">
        <v>498600</v>
      </c>
      <c r="U948" s="3267">
        <v>7264</v>
      </c>
      <c r="V948" s="3289">
        <v>0.2</v>
      </c>
      <c r="W948" s="3272">
        <v>39.880000000000003</v>
      </c>
      <c r="X948" s="3275">
        <v>398800</v>
      </c>
      <c r="Y948" s="3276">
        <v>2006</v>
      </c>
      <c r="Z948" s="3276">
        <v>12</v>
      </c>
      <c r="AA948" s="3276">
        <v>11</v>
      </c>
      <c r="AB948" s="3267">
        <v>1495</v>
      </c>
      <c r="AC948" s="3267" t="s">
        <v>2980</v>
      </c>
      <c r="AD948" s="3366">
        <v>91302006120369</v>
      </c>
      <c r="AE948" s="3279" t="s">
        <v>2991</v>
      </c>
      <c r="AF948" s="3268"/>
      <c r="AG948" s="3279" t="s">
        <v>2967</v>
      </c>
      <c r="AH948" s="3267"/>
      <c r="AI948" s="3279" t="s">
        <v>2992</v>
      </c>
      <c r="AJ948" s="3284"/>
      <c r="AK948" s="3278" t="s">
        <v>3120</v>
      </c>
      <c r="AL948" s="3276">
        <v>40</v>
      </c>
      <c r="AM948" s="3276"/>
      <c r="AN948" s="3279" t="s">
        <v>3114</v>
      </c>
      <c r="AO948" s="3267"/>
      <c r="AP948" s="3279" t="s">
        <v>2991</v>
      </c>
      <c r="AQ948" s="3276" t="s">
        <v>2996</v>
      </c>
      <c r="AR948" s="3276"/>
      <c r="AS948" s="3276"/>
      <c r="AT948" s="3276"/>
      <c r="AU948" s="3276"/>
      <c r="AV948" s="3276"/>
      <c r="AW948" s="3276" t="s">
        <v>2997</v>
      </c>
      <c r="AX948" s="3276"/>
      <c r="AY948" s="3291"/>
      <c r="AZ948" s="3267" t="s">
        <v>9600</v>
      </c>
      <c r="BA948" s="3296"/>
      <c r="BB948" s="3297"/>
      <c r="BC948" s="3296"/>
      <c r="BD948" s="3298"/>
      <c r="BE948" s="3276"/>
      <c r="BF948" s="3281"/>
      <c r="BG948" s="3293">
        <v>39057</v>
      </c>
      <c r="BH948" s="3267"/>
      <c r="BI948" s="3279" t="s">
        <v>2991</v>
      </c>
      <c r="BJ948" s="3299">
        <v>39059</v>
      </c>
      <c r="BK948" s="3283" t="s">
        <v>2968</v>
      </c>
      <c r="BL948" s="3267" t="s">
        <v>2998</v>
      </c>
      <c r="BM948" s="3276" t="s">
        <v>2879</v>
      </c>
      <c r="BN948" s="3276" t="s">
        <v>2999</v>
      </c>
      <c r="BO948" s="3276" t="s">
        <v>3146</v>
      </c>
      <c r="BP948" s="3276"/>
      <c r="BQ948" s="3276" t="e">
        <v>#DIV/0!</v>
      </c>
      <c r="BR948" s="3276" t="e">
        <v>#DIV/0!</v>
      </c>
      <c r="BS948" s="3285"/>
      <c r="BT948" s="3285"/>
      <c r="BU948" s="3285"/>
      <c r="BV948" s="3347"/>
      <c r="BW948" s="3262" t="s">
        <v>3262</v>
      </c>
      <c r="BX948" s="3262" t="s">
        <v>3262</v>
      </c>
      <c r="BY948" s="3262" t="s">
        <v>3262</v>
      </c>
      <c r="BZ948" s="3262" t="s">
        <v>3262</v>
      </c>
      <c r="CA948" s="3262" t="s">
        <v>3262</v>
      </c>
      <c r="CB948" s="3262" t="s">
        <v>3262</v>
      </c>
      <c r="CC948" s="3262" t="s">
        <v>3262</v>
      </c>
      <c r="CD948" s="3262" t="s">
        <v>3262</v>
      </c>
      <c r="CE948" s="3262" t="s">
        <v>3262</v>
      </c>
      <c r="CF948" s="3262" t="s">
        <v>3262</v>
      </c>
      <c r="CG948" s="3262" t="s">
        <v>3262</v>
      </c>
      <c r="CH948" s="3262" t="s">
        <v>3262</v>
      </c>
      <c r="CI948" s="3262" t="s">
        <v>3262</v>
      </c>
      <c r="CJ948" s="3262" t="s">
        <v>3262</v>
      </c>
      <c r="CK948" s="3262" t="s">
        <v>3262</v>
      </c>
      <c r="CL948" s="3262" t="s">
        <v>3262</v>
      </c>
      <c r="CM948" s="3262" t="s">
        <v>3262</v>
      </c>
      <c r="CN948" s="3262" t="s">
        <v>3262</v>
      </c>
      <c r="CO948" s="3262" t="s">
        <v>3262</v>
      </c>
      <c r="CP948" s="3262" t="s">
        <v>3262</v>
      </c>
      <c r="CQ948" s="3262" t="s">
        <v>3262</v>
      </c>
      <c r="CR948" s="3262" t="s">
        <v>3262</v>
      </c>
      <c r="CS948" s="3262" t="s">
        <v>3262</v>
      </c>
      <c r="CT948" s="3262" t="s">
        <v>3262</v>
      </c>
      <c r="CU948" s="3262" t="s">
        <v>3262</v>
      </c>
      <c r="CV948" s="3262" t="s">
        <v>3262</v>
      </c>
      <c r="CW948" s="3262" t="s">
        <v>3262</v>
      </c>
      <c r="CX948" s="3262" t="s">
        <v>3262</v>
      </c>
      <c r="CY948" s="3262" t="s">
        <v>3262</v>
      </c>
      <c r="CZ948" s="3262" t="s">
        <v>3262</v>
      </c>
      <c r="DA948" s="3262" t="s">
        <v>3262</v>
      </c>
      <c r="DB948" s="3262" t="s">
        <v>3262</v>
      </c>
      <c r="DC948" s="3262" t="s">
        <v>3262</v>
      </c>
      <c r="DD948" s="3262" t="s">
        <v>3262</v>
      </c>
      <c r="DE948" s="3262" t="s">
        <v>3262</v>
      </c>
      <c r="DF948" s="3262" t="s">
        <v>3262</v>
      </c>
      <c r="DG948" s="3262" t="s">
        <v>3262</v>
      </c>
      <c r="DH948" s="3262" t="s">
        <v>3262</v>
      </c>
      <c r="DI948" s="3262" t="s">
        <v>3262</v>
      </c>
      <c r="DJ948" s="3262" t="s">
        <v>3262</v>
      </c>
      <c r="DK948" s="3262" t="s">
        <v>3262</v>
      </c>
      <c r="DL948" s="3262" t="s">
        <v>3262</v>
      </c>
      <c r="DM948" s="3262" t="s">
        <v>3262</v>
      </c>
      <c r="DN948" s="3262" t="s">
        <v>3262</v>
      </c>
      <c r="DO948" s="3262" t="s">
        <v>3262</v>
      </c>
      <c r="DP948" s="3262" t="s">
        <v>3262</v>
      </c>
      <c r="DQ948" s="3262" t="s">
        <v>3262</v>
      </c>
      <c r="DR948" s="3262" t="s">
        <v>3262</v>
      </c>
      <c r="DS948" s="3262" t="s">
        <v>3262</v>
      </c>
      <c r="DT948" s="3262" t="s">
        <v>3262</v>
      </c>
      <c r="DU948" s="3262" t="s">
        <v>3262</v>
      </c>
      <c r="DV948" s="3262" t="s">
        <v>3262</v>
      </c>
      <c r="DW948" s="3262" t="s">
        <v>3262</v>
      </c>
      <c r="DX948" s="3262" t="s">
        <v>3262</v>
      </c>
      <c r="DY948" s="3262" t="s">
        <v>3262</v>
      </c>
      <c r="DZ948" s="3262" t="s">
        <v>3262</v>
      </c>
      <c r="EA948" s="3262" t="s">
        <v>3262</v>
      </c>
      <c r="EB948" s="3262" t="s">
        <v>3262</v>
      </c>
      <c r="EC948" s="3262" t="s">
        <v>3262</v>
      </c>
      <c r="ED948" s="3262" t="s">
        <v>3262</v>
      </c>
      <c r="EE948" s="3262" t="s">
        <v>3262</v>
      </c>
      <c r="EF948" s="3262" t="s">
        <v>3262</v>
      </c>
      <c r="EG948" s="3262" t="s">
        <v>3262</v>
      </c>
      <c r="EH948" s="3262" t="s">
        <v>3262</v>
      </c>
      <c r="EI948" s="3262" t="s">
        <v>3262</v>
      </c>
      <c r="EJ948" s="3262" t="s">
        <v>3262</v>
      </c>
      <c r="EK948" s="3262" t="s">
        <v>3262</v>
      </c>
      <c r="EL948" s="3262" t="s">
        <v>3262</v>
      </c>
      <c r="EM948" s="3262" t="s">
        <v>3262</v>
      </c>
      <c r="EN948" s="3262" t="s">
        <v>3262</v>
      </c>
      <c r="EO948" s="3262" t="s">
        <v>3262</v>
      </c>
      <c r="EP948" s="3262" t="s">
        <v>3262</v>
      </c>
      <c r="EQ948" s="3262" t="s">
        <v>3262</v>
      </c>
      <c r="ER948" s="3262" t="s">
        <v>3262</v>
      </c>
      <c r="ES948" s="3262" t="s">
        <v>3262</v>
      </c>
      <c r="ET948" s="3262" t="s">
        <v>3262</v>
      </c>
      <c r="EU948" s="3262" t="s">
        <v>3262</v>
      </c>
      <c r="EV948" s="3262" t="s">
        <v>3262</v>
      </c>
      <c r="EW948" s="3262" t="s">
        <v>3262</v>
      </c>
      <c r="EX948" s="3262" t="s">
        <v>3262</v>
      </c>
      <c r="EY948" s="3262" t="s">
        <v>3262</v>
      </c>
      <c r="EZ948" s="3262" t="s">
        <v>3262</v>
      </c>
      <c r="FA948" s="3262" t="s">
        <v>3262</v>
      </c>
      <c r="FB948" s="3262" t="s">
        <v>3262</v>
      </c>
      <c r="FC948" s="3262" t="s">
        <v>3262</v>
      </c>
      <c r="FD948" s="3262" t="s">
        <v>3262</v>
      </c>
      <c r="FE948" s="3262" t="s">
        <v>3262</v>
      </c>
      <c r="FF948" s="3262" t="s">
        <v>3262</v>
      </c>
      <c r="FG948" s="3262" t="s">
        <v>3262</v>
      </c>
      <c r="FH948" s="3262" t="s">
        <v>3262</v>
      </c>
      <c r="FI948" s="3262" t="s">
        <v>3262</v>
      </c>
      <c r="FJ948" s="3262" t="s">
        <v>3262</v>
      </c>
      <c r="FK948" s="3262" t="s">
        <v>3262</v>
      </c>
      <c r="FL948" s="3262" t="s">
        <v>3262</v>
      </c>
      <c r="FM948" s="3262" t="s">
        <v>3262</v>
      </c>
      <c r="FN948" s="3262" t="s">
        <v>3262</v>
      </c>
      <c r="FO948" s="3262" t="s">
        <v>3262</v>
      </c>
      <c r="FP948" s="3262" t="s">
        <v>3262</v>
      </c>
      <c r="FQ948" s="3262" t="s">
        <v>3262</v>
      </c>
      <c r="FR948" s="3262" t="s">
        <v>3262</v>
      </c>
      <c r="FS948" s="3262" t="s">
        <v>3262</v>
      </c>
      <c r="FT948" s="3262" t="s">
        <v>3262</v>
      </c>
      <c r="FU948" s="3262" t="s">
        <v>3262</v>
      </c>
      <c r="FV948" s="3262" t="s">
        <v>3262</v>
      </c>
      <c r="FW948" s="3262" t="s">
        <v>3262</v>
      </c>
      <c r="FX948" s="3262" t="s">
        <v>3262</v>
      </c>
      <c r="FY948" s="3262" t="s">
        <v>3262</v>
      </c>
      <c r="FZ948" s="3262" t="s">
        <v>3262</v>
      </c>
      <c r="GA948" s="3262" t="s">
        <v>3262</v>
      </c>
      <c r="GB948" s="3262" t="s">
        <v>3262</v>
      </c>
      <c r="GC948" s="3262" t="s">
        <v>3262</v>
      </c>
      <c r="GD948" s="3262" t="s">
        <v>3262</v>
      </c>
      <c r="GE948" s="3262" t="s">
        <v>3262</v>
      </c>
      <c r="GF948" s="3262" t="s">
        <v>3262</v>
      </c>
      <c r="GG948" s="3262" t="s">
        <v>3262</v>
      </c>
      <c r="GH948" s="3262" t="s">
        <v>3262</v>
      </c>
      <c r="GI948" s="3262" t="s">
        <v>3262</v>
      </c>
      <c r="GJ948" s="3262" t="s">
        <v>3262</v>
      </c>
      <c r="GK948" s="3262" t="s">
        <v>3262</v>
      </c>
      <c r="GL948" s="3262" t="s">
        <v>3262</v>
      </c>
      <c r="GM948" s="3262" t="s">
        <v>3262</v>
      </c>
      <c r="GN948" s="3262" t="s">
        <v>3262</v>
      </c>
      <c r="GO948" s="3262" t="s">
        <v>3262</v>
      </c>
      <c r="GP948" s="3262" t="s">
        <v>3262</v>
      </c>
      <c r="GQ948" s="3262" t="s">
        <v>3262</v>
      </c>
      <c r="GR948" s="3262" t="s">
        <v>3262</v>
      </c>
      <c r="GS948" s="3262" t="s">
        <v>3262</v>
      </c>
      <c r="GT948" s="3262" t="s">
        <v>3262</v>
      </c>
      <c r="GU948" s="3262" t="s">
        <v>3262</v>
      </c>
      <c r="GV948" s="3262" t="s">
        <v>3262</v>
      </c>
      <c r="GW948" s="3262" t="s">
        <v>3262</v>
      </c>
      <c r="GX948" s="3262" t="s">
        <v>3262</v>
      </c>
      <c r="GY948" s="3262" t="s">
        <v>3262</v>
      </c>
      <c r="GZ948" s="3262" t="s">
        <v>3262</v>
      </c>
      <c r="HA948" s="3262" t="s">
        <v>3262</v>
      </c>
      <c r="HB948" s="3262" t="s">
        <v>3262</v>
      </c>
      <c r="HC948" s="3262" t="s">
        <v>3262</v>
      </c>
      <c r="HD948" s="3262" t="s">
        <v>3262</v>
      </c>
      <c r="HE948" s="3262" t="s">
        <v>3262</v>
      </c>
      <c r="HF948" s="3262" t="s">
        <v>3262</v>
      </c>
      <c r="HG948" s="3262" t="s">
        <v>3262</v>
      </c>
      <c r="HH948" s="3262" t="s">
        <v>3262</v>
      </c>
      <c r="HI948" s="3262" t="s">
        <v>3262</v>
      </c>
      <c r="HJ948" s="3262" t="s">
        <v>3262</v>
      </c>
      <c r="HK948" s="3262" t="s">
        <v>3262</v>
      </c>
      <c r="HL948" s="3262" t="s">
        <v>3262</v>
      </c>
      <c r="HM948" s="3262" t="s">
        <v>3262</v>
      </c>
      <c r="HN948" s="3262" t="s">
        <v>3262</v>
      </c>
      <c r="HO948" s="3262" t="s">
        <v>3262</v>
      </c>
      <c r="HP948" s="3262" t="s">
        <v>3262</v>
      </c>
      <c r="HQ948" s="3262" t="s">
        <v>3262</v>
      </c>
      <c r="HR948" s="3262" t="s">
        <v>3262</v>
      </c>
      <c r="HS948" s="3262" t="s">
        <v>3262</v>
      </c>
      <c r="HT948" s="3262" t="s">
        <v>3262</v>
      </c>
      <c r="HU948" s="3262" t="s">
        <v>3262</v>
      </c>
      <c r="HV948" s="3262" t="s">
        <v>3262</v>
      </c>
      <c r="HW948" s="3262" t="s">
        <v>3262</v>
      </c>
      <c r="HX948" s="3262" t="s">
        <v>3262</v>
      </c>
      <c r="HY948" s="3262" t="s">
        <v>3262</v>
      </c>
      <c r="HZ948" s="3262" t="s">
        <v>3262</v>
      </c>
      <c r="IA948" s="3262" t="s">
        <v>3262</v>
      </c>
      <c r="IB948" s="3262" t="s">
        <v>3262</v>
      </c>
      <c r="IC948" s="3262" t="s">
        <v>3262</v>
      </c>
      <c r="ID948" s="3262" t="s">
        <v>3262</v>
      </c>
      <c r="IE948" s="3262" t="s">
        <v>3262</v>
      </c>
      <c r="IF948" s="3262" t="s">
        <v>3262</v>
      </c>
      <c r="IG948" s="3262" t="s">
        <v>3262</v>
      </c>
      <c r="IH948" s="3262" t="s">
        <v>3262</v>
      </c>
      <c r="II948" s="3262" t="s">
        <v>3262</v>
      </c>
      <c r="IJ948" s="3262" t="s">
        <v>3262</v>
      </c>
      <c r="IK948" s="3262" t="s">
        <v>3262</v>
      </c>
    </row>
    <row r="949" spans="1:245" hidden="1">
      <c r="A949" s="3267" t="s">
        <v>9601</v>
      </c>
      <c r="B949" s="3267" t="s">
        <v>9602</v>
      </c>
      <c r="C949" s="3269" t="s">
        <v>9603</v>
      </c>
      <c r="D949" s="3269" t="s">
        <v>9604</v>
      </c>
      <c r="E949" s="3268" t="s">
        <v>2985</v>
      </c>
      <c r="F949" s="3268" t="s">
        <v>7565</v>
      </c>
      <c r="G949" s="3267"/>
      <c r="H949" s="3267" t="s">
        <v>3178</v>
      </c>
      <c r="I949" s="3268" t="s">
        <v>3608</v>
      </c>
      <c r="J949" s="3267" t="s">
        <v>9605</v>
      </c>
      <c r="K949" s="3267" t="s">
        <v>9606</v>
      </c>
      <c r="L949" s="3267">
        <v>50.54</v>
      </c>
      <c r="M949" s="3267">
        <v>6</v>
      </c>
      <c r="N949" s="3267" t="s">
        <v>3122</v>
      </c>
      <c r="O949" s="3267"/>
      <c r="P949" s="3267" t="s">
        <v>2963</v>
      </c>
      <c r="Q949" s="3271">
        <v>380000</v>
      </c>
      <c r="R949" s="3267">
        <v>7519</v>
      </c>
      <c r="S949" s="3272">
        <v>32.840000000000003</v>
      </c>
      <c r="T949" s="3273">
        <v>328400.00000000006</v>
      </c>
      <c r="U949" s="3267">
        <v>6498</v>
      </c>
      <c r="V949" s="3289">
        <v>0.2</v>
      </c>
      <c r="W949" s="3272">
        <v>26.27</v>
      </c>
      <c r="X949" s="3275">
        <v>262700</v>
      </c>
      <c r="Y949" s="3276">
        <v>2006</v>
      </c>
      <c r="Z949" s="3276">
        <v>12</v>
      </c>
      <c r="AA949" s="3276">
        <v>26</v>
      </c>
      <c r="AB949" s="3267">
        <v>985</v>
      </c>
      <c r="AC949" s="3267" t="s">
        <v>2980</v>
      </c>
      <c r="AD949" s="3280" t="s">
        <v>9607</v>
      </c>
      <c r="AE949" s="3279" t="s">
        <v>3344</v>
      </c>
      <c r="AF949" s="3267" t="s">
        <v>2966</v>
      </c>
      <c r="AG949" s="3279" t="s">
        <v>2967</v>
      </c>
      <c r="AH949" s="3267"/>
      <c r="AI949" s="3279" t="s">
        <v>2992</v>
      </c>
      <c r="AJ949" s="3284"/>
      <c r="AK949" s="3278" t="s">
        <v>3120</v>
      </c>
      <c r="AL949" s="3276">
        <v>28</v>
      </c>
      <c r="AM949" s="3276"/>
      <c r="AN949" s="3279" t="s">
        <v>3099</v>
      </c>
      <c r="AO949" s="3267"/>
      <c r="AP949" s="3279" t="s">
        <v>3537</v>
      </c>
      <c r="AQ949" s="3267" t="s">
        <v>3113</v>
      </c>
      <c r="AR949" s="3276"/>
      <c r="AS949" s="3276"/>
      <c r="AT949" s="3276"/>
      <c r="AU949" s="3276"/>
      <c r="AV949" s="3276" t="s">
        <v>2968</v>
      </c>
      <c r="AW949" s="3276" t="s">
        <v>3171</v>
      </c>
      <c r="AX949" s="3276"/>
      <c r="AY949" s="3291"/>
      <c r="AZ949" s="3267" t="s">
        <v>9606</v>
      </c>
      <c r="BA949" s="3296"/>
      <c r="BB949" s="3297"/>
      <c r="BC949" s="3296"/>
      <c r="BD949" s="3298"/>
      <c r="BE949" s="3276">
        <v>13611315307</v>
      </c>
      <c r="BF949" s="3281" t="s">
        <v>2968</v>
      </c>
      <c r="BG949" s="3293">
        <v>38994</v>
      </c>
      <c r="BH949" s="3267" t="s">
        <v>2998</v>
      </c>
      <c r="BI949" s="3314" t="s">
        <v>3305</v>
      </c>
      <c r="BJ949" s="3283">
        <v>39059</v>
      </c>
      <c r="BK949" s="3283"/>
      <c r="BL949" s="3267" t="s">
        <v>3249</v>
      </c>
      <c r="BM949" s="3276" t="s">
        <v>2879</v>
      </c>
      <c r="BN949" s="3276" t="s">
        <v>2999</v>
      </c>
      <c r="BO949" s="3276" t="s">
        <v>3146</v>
      </c>
      <c r="BP949" s="3276"/>
      <c r="BQ949" s="3276" t="e">
        <v>#DIV/0!</v>
      </c>
      <c r="BR949" s="3276" t="e">
        <v>#DIV/0!</v>
      </c>
      <c r="BS949" s="3285"/>
      <c r="BT949" s="3285"/>
      <c r="BU949" s="3285"/>
      <c r="BV949" s="3347"/>
      <c r="BW949" s="3347"/>
      <c r="BX949" s="3347"/>
      <c r="BY949" s="3347"/>
      <c r="BZ949" s="3347"/>
      <c r="CA949" s="3347"/>
      <c r="CB949" s="3347"/>
      <c r="CC949" s="3347"/>
      <c r="CD949" s="3347"/>
      <c r="CE949" s="3347"/>
      <c r="CF949" s="3347"/>
      <c r="CG949" s="3347"/>
      <c r="CH949" s="3347"/>
      <c r="CI949" s="3347"/>
      <c r="CJ949" s="3347"/>
      <c r="CK949" s="3347"/>
      <c r="CL949" s="3347"/>
      <c r="CM949" s="3347"/>
      <c r="CN949" s="3347"/>
      <c r="CO949" s="3347"/>
      <c r="CP949" s="3347"/>
      <c r="CQ949" s="3347"/>
      <c r="CR949" s="3347"/>
      <c r="CS949" s="3347"/>
      <c r="CT949" s="3347"/>
      <c r="CU949" s="3347"/>
      <c r="CV949" s="3347"/>
      <c r="CW949" s="3347"/>
      <c r="CX949" s="3347"/>
      <c r="CY949" s="3347"/>
      <c r="CZ949" s="3347"/>
      <c r="DA949" s="3347"/>
      <c r="DB949" s="3347"/>
      <c r="DC949" s="3347"/>
      <c r="DD949" s="3347"/>
      <c r="DE949" s="3347"/>
      <c r="DF949" s="3347"/>
      <c r="DG949" s="3347"/>
      <c r="DH949" s="3347"/>
      <c r="DI949" s="3347"/>
      <c r="DJ949" s="3347"/>
      <c r="DK949" s="3347"/>
      <c r="DL949" s="3347"/>
      <c r="DM949" s="3347"/>
      <c r="DN949" s="3347"/>
      <c r="DO949" s="3347"/>
      <c r="DP949" s="3347"/>
      <c r="DQ949" s="3347"/>
      <c r="DR949" s="3347"/>
      <c r="DS949" s="3347"/>
      <c r="DT949" s="3347"/>
      <c r="DU949" s="3347"/>
      <c r="DV949" s="3347"/>
      <c r="DW949" s="3347"/>
      <c r="DX949" s="3347"/>
      <c r="DY949" s="3347"/>
      <c r="DZ949" s="3347"/>
      <c r="EA949" s="3347"/>
      <c r="EB949" s="3347"/>
      <c r="EC949" s="3347"/>
      <c r="ED949" s="3347"/>
      <c r="EE949" s="3347"/>
      <c r="EF949" s="3347"/>
      <c r="EG949" s="3347"/>
      <c r="EH949" s="3347"/>
      <c r="EI949" s="3347"/>
      <c r="EJ949" s="3347"/>
      <c r="EK949" s="3347"/>
      <c r="EL949" s="3347"/>
      <c r="EM949" s="3347"/>
      <c r="EN949" s="3347"/>
      <c r="EO949" s="3347"/>
      <c r="EP949" s="3347"/>
      <c r="EQ949" s="3347"/>
      <c r="ER949" s="3347"/>
      <c r="ES949" s="3347"/>
      <c r="ET949" s="3347"/>
      <c r="EU949" s="3347"/>
      <c r="EV949" s="3347"/>
      <c r="EW949" s="3347"/>
      <c r="EX949" s="3347"/>
      <c r="EY949" s="3347"/>
      <c r="EZ949" s="3347"/>
      <c r="FA949" s="3347"/>
      <c r="FB949" s="3347"/>
      <c r="FC949" s="3347"/>
      <c r="FD949" s="3347"/>
      <c r="FE949" s="3347"/>
      <c r="FF949" s="3347"/>
      <c r="FG949" s="3347"/>
      <c r="FH949" s="3347"/>
      <c r="FI949" s="3347"/>
      <c r="FJ949" s="3347"/>
      <c r="FK949" s="3347"/>
      <c r="FL949" s="3347"/>
      <c r="FM949" s="3347"/>
      <c r="FN949" s="3347"/>
      <c r="FO949" s="3347"/>
      <c r="FP949" s="3347"/>
      <c r="FQ949" s="3347"/>
      <c r="FR949" s="3347"/>
      <c r="FS949" s="3347"/>
      <c r="FT949" s="3347"/>
      <c r="FU949" s="3347"/>
      <c r="FV949" s="3347"/>
      <c r="FW949" s="3347"/>
      <c r="FX949" s="3347"/>
      <c r="FY949" s="3347"/>
      <c r="FZ949" s="3347"/>
      <c r="GA949" s="3347"/>
      <c r="GB949" s="3347"/>
      <c r="GC949" s="3347"/>
      <c r="GD949" s="3347"/>
      <c r="GE949" s="3347"/>
      <c r="GF949" s="3347"/>
      <c r="GG949" s="3347"/>
      <c r="GH949" s="3347"/>
      <c r="GI949" s="3347"/>
      <c r="GJ949" s="3347"/>
      <c r="GK949" s="3347"/>
      <c r="GL949" s="3347"/>
      <c r="GM949" s="3347"/>
      <c r="GN949" s="3347"/>
      <c r="GO949" s="3347"/>
      <c r="GP949" s="3347"/>
      <c r="GQ949" s="3347"/>
      <c r="GR949" s="3347"/>
      <c r="GS949" s="3347"/>
      <c r="GT949" s="3347"/>
      <c r="GU949" s="3347"/>
      <c r="GV949" s="3347"/>
      <c r="GW949" s="3347"/>
      <c r="GX949" s="3347"/>
      <c r="GY949" s="3347"/>
      <c r="GZ949" s="3347"/>
      <c r="HA949" s="3347"/>
      <c r="HB949" s="3347"/>
      <c r="HC949" s="3347"/>
      <c r="HD949" s="3347"/>
      <c r="HE949" s="3347"/>
      <c r="HF949" s="3347"/>
      <c r="HG949" s="3347"/>
      <c r="HH949" s="3347"/>
      <c r="HI949" s="3347"/>
      <c r="HJ949" s="3347"/>
      <c r="HK949" s="3347"/>
      <c r="HL949" s="3347"/>
      <c r="HM949" s="3347"/>
      <c r="HN949" s="3347"/>
      <c r="HO949" s="3347"/>
      <c r="HP949" s="3347"/>
      <c r="HQ949" s="3347"/>
      <c r="HR949" s="3347"/>
      <c r="HS949" s="3347"/>
      <c r="HT949" s="3347"/>
      <c r="HU949" s="3347"/>
      <c r="HV949" s="3347"/>
      <c r="HW949" s="3347"/>
      <c r="HX949" s="3347"/>
      <c r="HY949" s="3347"/>
      <c r="HZ949" s="3347"/>
      <c r="IA949" s="3347"/>
      <c r="IB949" s="3347"/>
      <c r="IC949" s="3347"/>
      <c r="ID949" s="3347"/>
      <c r="IE949" s="3347"/>
      <c r="IF949" s="3347"/>
      <c r="IG949" s="3347"/>
      <c r="IH949" s="3347"/>
      <c r="II949" s="3347"/>
    </row>
    <row r="950" spans="1:245" hidden="1">
      <c r="A950" s="3267" t="s">
        <v>9608</v>
      </c>
      <c r="B950" s="3267" t="s">
        <v>9609</v>
      </c>
      <c r="C950" s="3269" t="s">
        <v>9610</v>
      </c>
      <c r="D950" s="3267">
        <v>13501080773</v>
      </c>
      <c r="E950" s="3267" t="s">
        <v>2985</v>
      </c>
      <c r="F950" s="3267" t="s">
        <v>9611</v>
      </c>
      <c r="G950" s="3267"/>
      <c r="H950" s="3267" t="s">
        <v>3167</v>
      </c>
      <c r="I950" s="3267" t="s">
        <v>3608</v>
      </c>
      <c r="J950" s="3267" t="s">
        <v>9612</v>
      </c>
      <c r="K950" s="3268" t="s">
        <v>9613</v>
      </c>
      <c r="L950" s="3267">
        <v>123.73</v>
      </c>
      <c r="M950" s="3267" t="s">
        <v>9614</v>
      </c>
      <c r="N950" s="3267" t="s">
        <v>3129</v>
      </c>
      <c r="O950" s="3267"/>
      <c r="P950" s="3267" t="s">
        <v>3495</v>
      </c>
      <c r="Q950" s="3267">
        <v>530000</v>
      </c>
      <c r="R950" s="3267">
        <v>4284</v>
      </c>
      <c r="S950" s="3272">
        <v>93.72</v>
      </c>
      <c r="T950" s="3273">
        <v>937200</v>
      </c>
      <c r="U950" s="3267">
        <v>7575</v>
      </c>
      <c r="V950" s="3274">
        <v>0.3</v>
      </c>
      <c r="W950" s="3272">
        <v>65.599999999999994</v>
      </c>
      <c r="X950" s="3275">
        <v>656000</v>
      </c>
      <c r="Y950" s="3267">
        <v>2006</v>
      </c>
      <c r="Z950" s="3267">
        <v>12</v>
      </c>
      <c r="AA950" s="3276">
        <v>14</v>
      </c>
      <c r="AB950" s="3267">
        <v>1500</v>
      </c>
      <c r="AC950" s="3267" t="s">
        <v>2980</v>
      </c>
      <c r="AD950" s="3280" t="s">
        <v>9615</v>
      </c>
      <c r="AE950" s="3267" t="s">
        <v>3069</v>
      </c>
      <c r="AF950" s="3267" t="s">
        <v>2966</v>
      </c>
      <c r="AG950" s="3267" t="s">
        <v>2967</v>
      </c>
      <c r="AH950" s="3267"/>
      <c r="AI950" s="3267" t="s">
        <v>2992</v>
      </c>
      <c r="AJ950" s="3284"/>
      <c r="AK950" s="3267" t="s">
        <v>3120</v>
      </c>
      <c r="AL950" s="3267" t="s">
        <v>8489</v>
      </c>
      <c r="AM950" s="3267"/>
      <c r="AN950" s="3267" t="s">
        <v>3114</v>
      </c>
      <c r="AO950" s="3267"/>
      <c r="AP950" s="3267" t="s">
        <v>3069</v>
      </c>
      <c r="AQ950" s="3276" t="s">
        <v>2996</v>
      </c>
      <c r="AR950" s="3267"/>
      <c r="AS950" s="3267"/>
      <c r="AT950" s="3267"/>
      <c r="AU950" s="3267"/>
      <c r="AV950" s="3267"/>
      <c r="AW950" s="3267" t="s">
        <v>3171</v>
      </c>
      <c r="AX950" s="3267"/>
      <c r="AY950" s="3269"/>
      <c r="AZ950" s="3268" t="s">
        <v>9613</v>
      </c>
      <c r="BA950" s="3267"/>
      <c r="BB950" s="3267"/>
      <c r="BC950" s="3267"/>
      <c r="BD950" s="3267"/>
      <c r="BE950" s="3267"/>
      <c r="BF950" s="3267"/>
      <c r="BG950" s="3307">
        <v>39062</v>
      </c>
      <c r="BH950" s="3267"/>
      <c r="BI950" s="3279" t="s">
        <v>3069</v>
      </c>
      <c r="BJ950" s="3307">
        <v>39062</v>
      </c>
      <c r="BK950" s="3283"/>
      <c r="BL950" s="3267" t="s">
        <v>2998</v>
      </c>
      <c r="BM950" s="3267" t="s">
        <v>2879</v>
      </c>
      <c r="BN950" s="3267" t="s">
        <v>2999</v>
      </c>
      <c r="BO950" s="3267" t="s">
        <v>3000</v>
      </c>
      <c r="BP950" s="3267"/>
      <c r="BQ950" s="3276" t="e">
        <v>#DIV/0!</v>
      </c>
      <c r="BR950" s="3276" t="e">
        <v>#DIV/0!</v>
      </c>
      <c r="BS950" s="3285"/>
      <c r="BT950" s="3285"/>
      <c r="BU950" s="3285"/>
      <c r="BV950" s="3347"/>
      <c r="BW950" s="3347"/>
      <c r="BX950" s="3347"/>
      <c r="BY950" s="3347"/>
      <c r="BZ950" s="3347"/>
      <c r="CA950" s="3347"/>
      <c r="CB950" s="3347"/>
      <c r="CC950" s="3347"/>
      <c r="CD950" s="3347"/>
      <c r="CE950" s="3347"/>
      <c r="CF950" s="3347"/>
      <c r="CG950" s="3347"/>
      <c r="CH950" s="3347"/>
      <c r="CI950" s="3347"/>
      <c r="CJ950" s="3347"/>
      <c r="CK950" s="3347"/>
      <c r="CL950" s="3347"/>
      <c r="CM950" s="3347"/>
      <c r="CN950" s="3347"/>
      <c r="CO950" s="3347"/>
      <c r="CP950" s="3347"/>
      <c r="CQ950" s="3347"/>
      <c r="CR950" s="3347"/>
      <c r="CS950" s="3347"/>
      <c r="CT950" s="3347"/>
      <c r="CU950" s="3347"/>
      <c r="CV950" s="3347"/>
      <c r="CW950" s="3347"/>
      <c r="CX950" s="3347"/>
      <c r="CY950" s="3347"/>
      <c r="CZ950" s="3347"/>
      <c r="DA950" s="3347"/>
      <c r="DB950" s="3347"/>
      <c r="DC950" s="3347"/>
      <c r="DD950" s="3347"/>
      <c r="DE950" s="3347"/>
      <c r="DF950" s="3347"/>
      <c r="DG950" s="3347"/>
      <c r="DH950" s="3347"/>
      <c r="DI950" s="3347"/>
      <c r="DJ950" s="3347"/>
      <c r="DK950" s="3347"/>
      <c r="DL950" s="3347"/>
      <c r="DM950" s="3347"/>
      <c r="DN950" s="3347"/>
      <c r="DO950" s="3347"/>
      <c r="DP950" s="3347"/>
      <c r="DQ950" s="3347"/>
      <c r="DR950" s="3347"/>
      <c r="DS950" s="3347"/>
      <c r="DT950" s="3347"/>
      <c r="DU950" s="3347"/>
      <c r="DV950" s="3347"/>
      <c r="DW950" s="3347"/>
      <c r="DX950" s="3347"/>
      <c r="DY950" s="3347"/>
      <c r="DZ950" s="3347"/>
      <c r="EA950" s="3347"/>
      <c r="EB950" s="3347"/>
      <c r="EC950" s="3347"/>
      <c r="ED950" s="3347"/>
      <c r="EE950" s="3347"/>
      <c r="EF950" s="3347"/>
      <c r="EG950" s="3347"/>
      <c r="EH950" s="3347"/>
      <c r="EI950" s="3347"/>
      <c r="EJ950" s="3347"/>
      <c r="EK950" s="3347"/>
      <c r="EL950" s="3347"/>
      <c r="EM950" s="3347"/>
      <c r="EN950" s="3347"/>
      <c r="EO950" s="3347"/>
      <c r="EP950" s="3347"/>
      <c r="EQ950" s="3347"/>
      <c r="ER950" s="3347"/>
      <c r="ES950" s="3347"/>
      <c r="ET950" s="3347"/>
      <c r="EU950" s="3347"/>
      <c r="EV950" s="3347"/>
      <c r="EW950" s="3347"/>
      <c r="EX950" s="3347"/>
      <c r="EY950" s="3347"/>
      <c r="EZ950" s="3347"/>
      <c r="FA950" s="3347"/>
      <c r="FB950" s="3347"/>
      <c r="FC950" s="3347"/>
      <c r="FD950" s="3347"/>
      <c r="FE950" s="3347"/>
      <c r="FF950" s="3347"/>
      <c r="FG950" s="3347"/>
      <c r="FH950" s="3347"/>
      <c r="FI950" s="3347"/>
      <c r="FJ950" s="3347"/>
      <c r="FK950" s="3347"/>
      <c r="FL950" s="3347"/>
      <c r="FM950" s="3347"/>
      <c r="FN950" s="3347"/>
      <c r="FO950" s="3347"/>
      <c r="FP950" s="3347"/>
      <c r="FQ950" s="3347"/>
      <c r="FR950" s="3347"/>
      <c r="FS950" s="3347"/>
      <c r="FT950" s="3347"/>
      <c r="FU950" s="3347"/>
      <c r="FV950" s="3347"/>
      <c r="FW950" s="3347"/>
      <c r="FX950" s="3347"/>
      <c r="FY950" s="3347"/>
      <c r="FZ950" s="3347"/>
      <c r="GA950" s="3347"/>
      <c r="GB950" s="3347"/>
      <c r="GC950" s="3347"/>
      <c r="GD950" s="3347"/>
      <c r="GE950" s="3347"/>
      <c r="GF950" s="3347"/>
      <c r="GG950" s="3347"/>
      <c r="GH950" s="3347"/>
      <c r="GI950" s="3347"/>
      <c r="GJ950" s="3347"/>
      <c r="GK950" s="3347"/>
      <c r="GL950" s="3347"/>
      <c r="GM950" s="3347"/>
      <c r="GN950" s="3347"/>
      <c r="GO950" s="3347"/>
      <c r="GP950" s="3347"/>
      <c r="GQ950" s="3347"/>
      <c r="GR950" s="3347"/>
      <c r="GS950" s="3347"/>
      <c r="GT950" s="3347"/>
      <c r="GU950" s="3347"/>
      <c r="GV950" s="3347"/>
      <c r="GW950" s="3347"/>
      <c r="GX950" s="3347"/>
      <c r="GY950" s="3347"/>
      <c r="GZ950" s="3347"/>
      <c r="HA950" s="3347"/>
      <c r="HB950" s="3347"/>
      <c r="HC950" s="3347"/>
      <c r="HD950" s="3347"/>
      <c r="HE950" s="3347"/>
      <c r="HF950" s="3347"/>
      <c r="HG950" s="3347"/>
      <c r="HH950" s="3347"/>
      <c r="HI950" s="3347"/>
      <c r="HJ950" s="3347"/>
      <c r="HK950" s="3347"/>
      <c r="HL950" s="3347"/>
      <c r="HM950" s="3347"/>
      <c r="HN950" s="3347"/>
      <c r="HO950" s="3347"/>
      <c r="HP950" s="3347"/>
      <c r="HQ950" s="3347"/>
      <c r="HR950" s="3347"/>
      <c r="HS950" s="3347"/>
      <c r="HT950" s="3347"/>
      <c r="HU950" s="3347"/>
      <c r="HV950" s="3347"/>
      <c r="HW950" s="3347"/>
      <c r="HX950" s="3347"/>
      <c r="HY950" s="3347"/>
      <c r="HZ950" s="3347"/>
      <c r="IA950" s="3347"/>
      <c r="IB950" s="3347"/>
      <c r="IC950" s="3347"/>
      <c r="ID950" s="3347"/>
      <c r="IE950" s="3347"/>
      <c r="IF950" s="3347"/>
      <c r="IG950" s="3347"/>
      <c r="IH950" s="3347"/>
      <c r="II950" s="3347"/>
    </row>
    <row r="951" spans="1:245" hidden="1">
      <c r="A951" s="3267" t="s">
        <v>9616</v>
      </c>
      <c r="B951" s="3267" t="s">
        <v>9617</v>
      </c>
      <c r="C951" s="3269" t="s">
        <v>9618</v>
      </c>
      <c r="D951" s="3269">
        <v>13586650675</v>
      </c>
      <c r="E951" s="3268" t="s">
        <v>2985</v>
      </c>
      <c r="F951" s="3268" t="s">
        <v>3324</v>
      </c>
      <c r="G951" s="3267"/>
      <c r="H951" s="3267" t="s">
        <v>9619</v>
      </c>
      <c r="I951" s="3268"/>
      <c r="J951" s="3267" t="s">
        <v>3558</v>
      </c>
      <c r="K951" s="3267" t="s">
        <v>9620</v>
      </c>
      <c r="L951" s="3267">
        <v>105.71</v>
      </c>
      <c r="M951" s="3267">
        <v>18</v>
      </c>
      <c r="N951" s="3267" t="s">
        <v>3122</v>
      </c>
      <c r="O951" s="3267"/>
      <c r="P951" s="3267" t="s">
        <v>2963</v>
      </c>
      <c r="Q951" s="3271">
        <v>743000</v>
      </c>
      <c r="R951" s="3288">
        <v>7029</v>
      </c>
      <c r="S951" s="3272">
        <v>71.48</v>
      </c>
      <c r="T951" s="3273">
        <v>714800</v>
      </c>
      <c r="U951" s="3267">
        <v>6762</v>
      </c>
      <c r="V951" s="3289">
        <v>0.3</v>
      </c>
      <c r="W951" s="3272">
        <v>50.03</v>
      </c>
      <c r="X951" s="3273">
        <v>500300</v>
      </c>
      <c r="Y951" s="3267">
        <v>2006</v>
      </c>
      <c r="Z951" s="3276">
        <v>12</v>
      </c>
      <c r="AA951" s="3276">
        <v>21</v>
      </c>
      <c r="AB951" s="3267">
        <v>1500</v>
      </c>
      <c r="AC951" s="3267" t="s">
        <v>2980</v>
      </c>
      <c r="AD951" s="3269" t="s">
        <v>9621</v>
      </c>
      <c r="AE951" s="3279" t="s">
        <v>3245</v>
      </c>
      <c r="AF951" s="3268" t="s">
        <v>2966</v>
      </c>
      <c r="AG951" s="3279" t="s">
        <v>2967</v>
      </c>
      <c r="AH951" s="3267" t="s">
        <v>9622</v>
      </c>
      <c r="AI951" s="3279" t="s">
        <v>2992</v>
      </c>
      <c r="AJ951" s="3284"/>
      <c r="AK951" s="3278" t="s">
        <v>3120</v>
      </c>
      <c r="AL951" s="3276">
        <v>51</v>
      </c>
      <c r="AM951" s="3267"/>
      <c r="AN951" s="3279" t="s">
        <v>2994</v>
      </c>
      <c r="AO951" s="3267"/>
      <c r="AP951" s="3279" t="s">
        <v>3305</v>
      </c>
      <c r="AQ951" s="3276" t="s">
        <v>3113</v>
      </c>
      <c r="AR951" s="3276"/>
      <c r="AS951" s="3276"/>
      <c r="AT951" s="3276"/>
      <c r="AU951" s="3276"/>
      <c r="AV951" s="3276"/>
      <c r="AW951" s="3276" t="s">
        <v>2997</v>
      </c>
      <c r="AX951" s="3276"/>
      <c r="AY951" s="3291"/>
      <c r="AZ951" s="3267" t="s">
        <v>9620</v>
      </c>
      <c r="BA951" s="3296"/>
      <c r="BB951" s="3297"/>
      <c r="BC951" s="3296"/>
      <c r="BD951" s="3298"/>
      <c r="BE951" s="3276" t="s">
        <v>9623</v>
      </c>
      <c r="BF951" s="3281"/>
      <c r="BG951" s="3293">
        <v>39048</v>
      </c>
      <c r="BH951" s="3267" t="s">
        <v>2998</v>
      </c>
      <c r="BI951" s="3314" t="s">
        <v>3305</v>
      </c>
      <c r="BJ951" s="3283">
        <v>39063</v>
      </c>
      <c r="BK951" s="3283"/>
      <c r="BL951" s="3267" t="s">
        <v>3249</v>
      </c>
      <c r="BM951" s="3276" t="s">
        <v>2879</v>
      </c>
      <c r="BN951" s="3276" t="s">
        <v>3111</v>
      </c>
      <c r="BO951" s="3276" t="s">
        <v>3146</v>
      </c>
      <c r="BP951" s="3276"/>
      <c r="BQ951" s="3276" t="e">
        <v>#DIV/0!</v>
      </c>
      <c r="BR951" s="3276" t="e">
        <v>#DIV/0!</v>
      </c>
      <c r="BS951" s="3285"/>
      <c r="BT951" s="3285"/>
      <c r="BU951" s="3285"/>
      <c r="BV951" s="3347"/>
      <c r="BW951" s="3347"/>
      <c r="BX951" s="3347"/>
      <c r="BY951" s="3347"/>
      <c r="BZ951" s="3347"/>
      <c r="CA951" s="3347"/>
      <c r="CB951" s="3347"/>
      <c r="CC951" s="3347"/>
      <c r="CD951" s="3347"/>
      <c r="CE951" s="3347"/>
      <c r="CF951" s="3347"/>
      <c r="CG951" s="3347"/>
      <c r="CH951" s="3347"/>
      <c r="CI951" s="3347"/>
      <c r="CJ951" s="3347"/>
      <c r="CK951" s="3347"/>
      <c r="CL951" s="3347"/>
      <c r="CM951" s="3347"/>
      <c r="CN951" s="3347"/>
      <c r="CO951" s="3347"/>
      <c r="CP951" s="3347"/>
      <c r="CQ951" s="3347"/>
      <c r="CR951" s="3347"/>
      <c r="CS951" s="3347"/>
      <c r="CT951" s="3347"/>
      <c r="CU951" s="3347"/>
      <c r="CV951" s="3347"/>
      <c r="CW951" s="3347"/>
      <c r="CX951" s="3347"/>
      <c r="CY951" s="3347"/>
      <c r="CZ951" s="3347"/>
      <c r="DA951" s="3347"/>
      <c r="DB951" s="3347"/>
      <c r="DC951" s="3347"/>
      <c r="DD951" s="3347"/>
      <c r="DE951" s="3347"/>
      <c r="DF951" s="3347"/>
      <c r="DG951" s="3347"/>
      <c r="DH951" s="3347"/>
      <c r="DI951" s="3347"/>
      <c r="DJ951" s="3347"/>
      <c r="DK951" s="3347"/>
      <c r="DL951" s="3347"/>
      <c r="DM951" s="3347"/>
      <c r="DN951" s="3347"/>
      <c r="DO951" s="3347"/>
      <c r="DP951" s="3347"/>
      <c r="DQ951" s="3347"/>
      <c r="DR951" s="3347"/>
      <c r="DS951" s="3347"/>
      <c r="DT951" s="3347"/>
      <c r="DU951" s="3347"/>
      <c r="DV951" s="3347"/>
      <c r="DW951" s="3347"/>
      <c r="DX951" s="3347"/>
      <c r="DY951" s="3347"/>
      <c r="DZ951" s="3347"/>
      <c r="EA951" s="3347"/>
      <c r="EB951" s="3347"/>
      <c r="EC951" s="3347"/>
      <c r="ED951" s="3347"/>
      <c r="EE951" s="3347"/>
      <c r="EF951" s="3347"/>
      <c r="EG951" s="3347"/>
      <c r="EH951" s="3347"/>
      <c r="EI951" s="3347"/>
      <c r="EJ951" s="3347"/>
      <c r="EK951" s="3347"/>
      <c r="EL951" s="3347"/>
      <c r="EM951" s="3347"/>
      <c r="EN951" s="3347"/>
      <c r="EO951" s="3347"/>
      <c r="EP951" s="3347"/>
      <c r="EQ951" s="3347"/>
      <c r="ER951" s="3347"/>
      <c r="ES951" s="3347"/>
      <c r="ET951" s="3347"/>
      <c r="EU951" s="3347"/>
      <c r="EV951" s="3347"/>
      <c r="EW951" s="3347"/>
      <c r="EX951" s="3347"/>
      <c r="EY951" s="3347"/>
      <c r="EZ951" s="3347"/>
      <c r="FA951" s="3347"/>
      <c r="FB951" s="3347"/>
      <c r="FC951" s="3347"/>
      <c r="FD951" s="3347"/>
      <c r="FE951" s="3347"/>
      <c r="FF951" s="3347"/>
      <c r="FG951" s="3347"/>
      <c r="FH951" s="3347"/>
      <c r="FI951" s="3347"/>
      <c r="FJ951" s="3347"/>
      <c r="FK951" s="3347"/>
      <c r="FL951" s="3347"/>
      <c r="FM951" s="3347"/>
      <c r="FN951" s="3347"/>
      <c r="FO951" s="3347"/>
      <c r="FP951" s="3347"/>
      <c r="FQ951" s="3347"/>
      <c r="FR951" s="3347"/>
      <c r="FS951" s="3347"/>
      <c r="FT951" s="3347"/>
      <c r="FU951" s="3347"/>
      <c r="FV951" s="3347"/>
      <c r="FW951" s="3347"/>
      <c r="FX951" s="3347"/>
      <c r="FY951" s="3347"/>
      <c r="FZ951" s="3347"/>
      <c r="GA951" s="3347"/>
      <c r="GB951" s="3347"/>
      <c r="GC951" s="3347"/>
      <c r="GD951" s="3347"/>
      <c r="GE951" s="3347"/>
      <c r="GF951" s="3347"/>
      <c r="GG951" s="3347"/>
      <c r="GH951" s="3347"/>
      <c r="GI951" s="3347"/>
      <c r="GJ951" s="3347"/>
      <c r="GK951" s="3347"/>
      <c r="GL951" s="3347"/>
      <c r="GM951" s="3347"/>
      <c r="GN951" s="3347"/>
      <c r="GO951" s="3347"/>
      <c r="GP951" s="3347"/>
      <c r="GQ951" s="3347"/>
      <c r="GR951" s="3347"/>
      <c r="GS951" s="3347"/>
      <c r="GT951" s="3347"/>
      <c r="GU951" s="3347"/>
      <c r="GV951" s="3347"/>
      <c r="GW951" s="3347"/>
      <c r="GX951" s="3347"/>
      <c r="GY951" s="3347"/>
      <c r="GZ951" s="3347"/>
      <c r="HA951" s="3347"/>
      <c r="HB951" s="3347"/>
      <c r="HC951" s="3347"/>
      <c r="HD951" s="3347"/>
      <c r="HE951" s="3347"/>
      <c r="HF951" s="3347"/>
      <c r="HG951" s="3347"/>
      <c r="HH951" s="3347"/>
      <c r="HI951" s="3347"/>
      <c r="HJ951" s="3347"/>
      <c r="HK951" s="3347"/>
      <c r="HL951" s="3347"/>
      <c r="HM951" s="3347"/>
      <c r="HN951" s="3347"/>
      <c r="HO951" s="3347"/>
      <c r="HP951" s="3347"/>
      <c r="HQ951" s="3347"/>
      <c r="HR951" s="3347"/>
      <c r="HS951" s="3347"/>
      <c r="HT951" s="3347"/>
      <c r="HU951" s="3347"/>
      <c r="HV951" s="3347"/>
      <c r="HW951" s="3347"/>
      <c r="HX951" s="3347"/>
      <c r="HY951" s="3347"/>
      <c r="HZ951" s="3347"/>
      <c r="IA951" s="3347"/>
      <c r="IB951" s="3347"/>
      <c r="IC951" s="3347"/>
      <c r="ID951" s="3347"/>
      <c r="IE951" s="3347"/>
      <c r="IF951" s="3347"/>
      <c r="IG951" s="3347"/>
      <c r="IH951" s="3347"/>
      <c r="II951" s="3347"/>
    </row>
    <row r="952" spans="1:245" ht="14.25" hidden="1">
      <c r="A952" s="3267" t="s">
        <v>9624</v>
      </c>
      <c r="B952" s="3267" t="s">
        <v>9625</v>
      </c>
      <c r="C952" s="3269" t="s">
        <v>9626</v>
      </c>
      <c r="D952" s="3269" t="s">
        <v>9627</v>
      </c>
      <c r="E952" s="3268" t="s">
        <v>2985</v>
      </c>
      <c r="F952" s="3268" t="s">
        <v>3273</v>
      </c>
      <c r="G952" s="3267"/>
      <c r="H952" s="3267" t="s">
        <v>3138</v>
      </c>
      <c r="I952" s="3268"/>
      <c r="J952" s="3267" t="s">
        <v>9628</v>
      </c>
      <c r="K952" s="3267" t="s">
        <v>9625</v>
      </c>
      <c r="L952" s="3267">
        <v>66.16</v>
      </c>
      <c r="M952" s="3267">
        <v>17</v>
      </c>
      <c r="N952" s="3267" t="s">
        <v>3098</v>
      </c>
      <c r="O952" s="3267"/>
      <c r="P952" s="3267" t="s">
        <v>2963</v>
      </c>
      <c r="Q952" s="3271">
        <v>450000</v>
      </c>
      <c r="R952" s="3267">
        <v>6802</v>
      </c>
      <c r="S952" s="3272">
        <v>51.65</v>
      </c>
      <c r="T952" s="3273">
        <v>516500</v>
      </c>
      <c r="U952" s="3267">
        <v>7808</v>
      </c>
      <c r="V952" s="3289">
        <v>0.2</v>
      </c>
      <c r="W952" s="3272">
        <v>41.32</v>
      </c>
      <c r="X952" s="3275">
        <v>413200</v>
      </c>
      <c r="Y952" s="3276">
        <v>2006</v>
      </c>
      <c r="Z952" s="3276">
        <v>12</v>
      </c>
      <c r="AA952" s="3276">
        <v>18</v>
      </c>
      <c r="AB952" s="3267">
        <v>1500</v>
      </c>
      <c r="AC952" s="3267" t="s">
        <v>2980</v>
      </c>
      <c r="AD952" s="3269" t="s">
        <v>9629</v>
      </c>
      <c r="AE952" s="3279" t="s">
        <v>3344</v>
      </c>
      <c r="AF952" s="3267" t="s">
        <v>2966</v>
      </c>
      <c r="AG952" s="3279" t="s">
        <v>2967</v>
      </c>
      <c r="AH952" s="3267"/>
      <c r="AI952" s="3279" t="s">
        <v>2992</v>
      </c>
      <c r="AJ952" s="3284"/>
      <c r="AK952" s="3278" t="s">
        <v>3120</v>
      </c>
      <c r="AL952" s="3276">
        <v>44</v>
      </c>
      <c r="AM952" s="3267" t="s">
        <v>9630</v>
      </c>
      <c r="AN952" s="3279" t="s">
        <v>2994</v>
      </c>
      <c r="AO952" s="3267"/>
      <c r="AP952" s="3279" t="s">
        <v>3305</v>
      </c>
      <c r="AQ952" s="3276" t="s">
        <v>3113</v>
      </c>
      <c r="AR952" s="3276"/>
      <c r="AS952" s="3276"/>
      <c r="AT952" s="3276"/>
      <c r="AU952" s="3276"/>
      <c r="AV952" s="3276" t="s">
        <v>2968</v>
      </c>
      <c r="AW952" s="3276" t="s">
        <v>3171</v>
      </c>
      <c r="AX952" s="3276"/>
      <c r="AY952" s="3291"/>
      <c r="AZ952" s="3267" t="s">
        <v>9631</v>
      </c>
      <c r="BA952" s="3296"/>
      <c r="BB952" s="3297"/>
      <c r="BC952" s="3296"/>
      <c r="BD952" s="3298"/>
      <c r="BE952" s="3276">
        <v>13910592935</v>
      </c>
      <c r="BF952" s="3281" t="s">
        <v>2968</v>
      </c>
      <c r="BG952" s="3293">
        <v>39056</v>
      </c>
      <c r="BH952" s="3267" t="s">
        <v>2998</v>
      </c>
      <c r="BI952" s="3314" t="s">
        <v>3305</v>
      </c>
      <c r="BJ952" s="3283">
        <v>39063</v>
      </c>
      <c r="BK952" s="3283"/>
      <c r="BL952" s="3267" t="s">
        <v>3249</v>
      </c>
      <c r="BM952" s="3276" t="s">
        <v>2879</v>
      </c>
      <c r="BN952" s="3276" t="s">
        <v>2999</v>
      </c>
      <c r="BO952" s="3276" t="s">
        <v>3146</v>
      </c>
      <c r="BP952" s="3276"/>
      <c r="BQ952" s="3276" t="e">
        <v>#DIV/0!</v>
      </c>
      <c r="BR952" s="3276" t="e">
        <v>#DIV/0!</v>
      </c>
      <c r="BS952" s="3285"/>
      <c r="BT952" s="3285"/>
      <c r="BU952" s="3285"/>
      <c r="BV952" s="3341"/>
      <c r="BW952" s="3341"/>
      <c r="BX952" s="3341"/>
      <c r="BY952" s="3341"/>
      <c r="BZ952" s="3341"/>
      <c r="CA952" s="3341"/>
      <c r="CB952" s="3341"/>
      <c r="CC952" s="3341"/>
      <c r="CD952" s="3341"/>
      <c r="CE952" s="3341"/>
      <c r="CF952" s="3341"/>
      <c r="CG952" s="3341"/>
      <c r="CH952" s="3341"/>
      <c r="CI952" s="3341"/>
      <c r="CJ952" s="3341"/>
      <c r="CK952" s="3341"/>
      <c r="CL952" s="3341"/>
      <c r="CM952" s="3341"/>
      <c r="CN952" s="3341"/>
      <c r="CO952" s="3341"/>
      <c r="CP952" s="3341"/>
      <c r="CQ952" s="3341"/>
      <c r="CR952" s="3341"/>
      <c r="CS952" s="3341"/>
      <c r="CT952" s="3341"/>
      <c r="CU952" s="3341"/>
      <c r="CV952" s="3341"/>
      <c r="CW952" s="3341"/>
      <c r="CX952" s="3341"/>
      <c r="CY952" s="3341"/>
      <c r="CZ952" s="3341"/>
      <c r="DA952" s="3341"/>
      <c r="DB952" s="3341"/>
      <c r="DC952" s="3341"/>
      <c r="DD952" s="3341"/>
      <c r="DE952" s="3341"/>
      <c r="DF952" s="3341"/>
      <c r="DG952" s="3341"/>
      <c r="DH952" s="3341"/>
      <c r="DI952" s="3341"/>
      <c r="DJ952" s="3341"/>
      <c r="DK952" s="3341"/>
      <c r="DL952" s="3341"/>
      <c r="DM952" s="3341"/>
      <c r="DN952" s="3341"/>
      <c r="DO952" s="3341"/>
      <c r="DP952" s="3341"/>
      <c r="DQ952" s="3341"/>
      <c r="DR952" s="3341"/>
      <c r="DS952" s="3341"/>
      <c r="DT952" s="3341"/>
      <c r="DU952" s="3341"/>
      <c r="DV952" s="3341"/>
      <c r="DW952" s="3341"/>
      <c r="DX952" s="3341"/>
      <c r="DY952" s="3341"/>
      <c r="DZ952" s="3341"/>
      <c r="EA952" s="3341"/>
      <c r="EB952" s="3341"/>
      <c r="EC952" s="3341"/>
      <c r="ED952" s="3341"/>
      <c r="EE952" s="3341"/>
      <c r="EF952" s="3341"/>
      <c r="EG952" s="3341"/>
      <c r="EH952" s="3341"/>
      <c r="EI952" s="3341"/>
      <c r="EJ952" s="3341"/>
      <c r="EK952" s="3341"/>
      <c r="EL952" s="3341"/>
      <c r="EM952" s="3341"/>
      <c r="EN952" s="3341"/>
      <c r="EO952" s="3341"/>
      <c r="EP952" s="3341"/>
      <c r="EQ952" s="3341"/>
      <c r="ER952" s="3341"/>
      <c r="ES952" s="3341"/>
      <c r="ET952" s="3341"/>
      <c r="EU952" s="3341"/>
      <c r="EV952" s="3341"/>
      <c r="EW952" s="3341"/>
      <c r="EX952" s="3341"/>
      <c r="EY952" s="3341"/>
      <c r="EZ952" s="3341"/>
      <c r="FA952" s="3341"/>
      <c r="FB952" s="3341"/>
      <c r="FC952" s="3341"/>
      <c r="FD952" s="3341"/>
      <c r="FE952" s="3341"/>
      <c r="FF952" s="3341"/>
      <c r="FG952" s="3341"/>
      <c r="FH952" s="3341"/>
      <c r="FI952" s="3341"/>
      <c r="FJ952" s="3341"/>
      <c r="FK952" s="3341"/>
      <c r="FL952" s="3341"/>
      <c r="FM952" s="3341"/>
      <c r="FN952" s="3341"/>
      <c r="FO952" s="3341"/>
      <c r="FP952" s="3341"/>
      <c r="FQ952" s="3341"/>
      <c r="FR952" s="3341"/>
      <c r="FS952" s="3341"/>
      <c r="FT952" s="3341"/>
      <c r="FU952" s="3341"/>
      <c r="FV952" s="3341"/>
      <c r="FW952" s="3341"/>
      <c r="FX952" s="3341"/>
      <c r="FY952" s="3341"/>
      <c r="FZ952" s="3341"/>
      <c r="GA952" s="3341"/>
      <c r="GB952" s="3341"/>
      <c r="GC952" s="3341"/>
      <c r="GD952" s="3341"/>
      <c r="GE952" s="3341"/>
      <c r="GF952" s="3341"/>
      <c r="GG952" s="3341"/>
      <c r="GH952" s="3341"/>
      <c r="GI952" s="3341"/>
      <c r="GJ952" s="3341"/>
      <c r="GK952" s="3341"/>
      <c r="GL952" s="3341"/>
      <c r="GM952" s="3341"/>
      <c r="GN952" s="3341"/>
      <c r="GO952" s="3341"/>
      <c r="GP952" s="3341"/>
      <c r="GQ952" s="3341"/>
      <c r="GR952" s="3341"/>
      <c r="GS952" s="3341"/>
      <c r="GT952" s="3341"/>
      <c r="GU952" s="3341"/>
      <c r="GV952" s="3341"/>
      <c r="GW952" s="3341"/>
      <c r="GX952" s="3341"/>
      <c r="GY952" s="3341"/>
      <c r="GZ952" s="3341"/>
      <c r="HA952" s="3341"/>
      <c r="HB952" s="3341"/>
      <c r="HC952" s="3341"/>
      <c r="HD952" s="3341"/>
      <c r="HE952" s="3341"/>
      <c r="HF952" s="3341"/>
      <c r="HG952" s="3341"/>
      <c r="HH952" s="3341"/>
      <c r="HI952" s="3341"/>
      <c r="HJ952" s="3341"/>
      <c r="HK952" s="3341"/>
      <c r="HL952" s="3341"/>
      <c r="HM952" s="3341"/>
      <c r="HN952" s="3341"/>
      <c r="HO952" s="3341"/>
      <c r="HP952" s="3341"/>
      <c r="HQ952" s="3341"/>
      <c r="HR952" s="3341"/>
      <c r="HS952" s="3341"/>
      <c r="HT952" s="3341"/>
      <c r="HU952" s="3341"/>
      <c r="HV952" s="3341"/>
      <c r="HW952" s="3341"/>
      <c r="HX952" s="3341"/>
      <c r="HY952" s="3341"/>
      <c r="HZ952" s="3341"/>
      <c r="IA952" s="3341"/>
      <c r="IB952" s="3341"/>
      <c r="IC952" s="3341"/>
      <c r="ID952" s="3341"/>
      <c r="IE952" s="3341"/>
      <c r="IF952" s="3341"/>
      <c r="IG952" s="3341"/>
      <c r="IH952" s="3341"/>
      <c r="II952" s="3341"/>
    </row>
    <row r="953" spans="1:245" hidden="1">
      <c r="A953" s="3267" t="s">
        <v>9632</v>
      </c>
      <c r="B953" s="3267" t="s">
        <v>9633</v>
      </c>
      <c r="C953" s="3269" t="s">
        <v>9634</v>
      </c>
      <c r="D953" s="3269" t="s">
        <v>9635</v>
      </c>
      <c r="E953" s="3268" t="s">
        <v>2985</v>
      </c>
      <c r="F953" s="3268" t="s">
        <v>9636</v>
      </c>
      <c r="G953" s="3267"/>
      <c r="H953" s="3267" t="s">
        <v>3225</v>
      </c>
      <c r="I953" s="3268" t="s">
        <v>3608</v>
      </c>
      <c r="J953" s="3267" t="s">
        <v>3165</v>
      </c>
      <c r="K953" s="3267" t="s">
        <v>9637</v>
      </c>
      <c r="L953" s="3267">
        <v>67.03</v>
      </c>
      <c r="M953" s="3267">
        <v>6</v>
      </c>
      <c r="N953" s="3267" t="s">
        <v>3125</v>
      </c>
      <c r="O953" s="3267"/>
      <c r="P953" s="3267" t="s">
        <v>2963</v>
      </c>
      <c r="Q953" s="3271">
        <v>540000</v>
      </c>
      <c r="R953" s="3267">
        <v>8056</v>
      </c>
      <c r="S953" s="3272">
        <v>50.88</v>
      </c>
      <c r="T953" s="3273">
        <v>508800</v>
      </c>
      <c r="U953" s="3267">
        <v>7592</v>
      </c>
      <c r="V953" s="3289">
        <v>0.2</v>
      </c>
      <c r="W953" s="3272">
        <v>40.700000000000003</v>
      </c>
      <c r="X953" s="3275">
        <v>407000</v>
      </c>
      <c r="Y953" s="3276">
        <v>2006</v>
      </c>
      <c r="Z953" s="3276">
        <v>12</v>
      </c>
      <c r="AA953" s="3276">
        <v>13</v>
      </c>
      <c r="AB953" s="3267">
        <v>1500</v>
      </c>
      <c r="AC953" s="3267" t="s">
        <v>2980</v>
      </c>
      <c r="AD953" s="3269" t="s">
        <v>9638</v>
      </c>
      <c r="AE953" s="3279" t="s">
        <v>3344</v>
      </c>
      <c r="AF953" s="3267" t="s">
        <v>2966</v>
      </c>
      <c r="AG953" s="3279" t="s">
        <v>2967</v>
      </c>
      <c r="AH953" s="3267"/>
      <c r="AI953" s="3279" t="s">
        <v>2992</v>
      </c>
      <c r="AJ953" s="3284"/>
      <c r="AK953" s="3278" t="s">
        <v>3120</v>
      </c>
      <c r="AL953" s="3276">
        <v>31</v>
      </c>
      <c r="AM953" s="3267"/>
      <c r="AN953" s="3279" t="s">
        <v>3114</v>
      </c>
      <c r="AO953" s="3267"/>
      <c r="AP953" s="3279" t="s">
        <v>3305</v>
      </c>
      <c r="AQ953" s="3276" t="s">
        <v>2996</v>
      </c>
      <c r="AR953" s="3276"/>
      <c r="AS953" s="3276"/>
      <c r="AT953" s="3276"/>
      <c r="AU953" s="3276"/>
      <c r="AV953" s="3276" t="s">
        <v>2968</v>
      </c>
      <c r="AW953" s="3276" t="s">
        <v>3171</v>
      </c>
      <c r="AX953" s="3276"/>
      <c r="AY953" s="3291"/>
      <c r="AZ953" s="3267" t="s">
        <v>9637</v>
      </c>
      <c r="BA953" s="3296"/>
      <c r="BB953" s="3297"/>
      <c r="BC953" s="3296"/>
      <c r="BD953" s="3298"/>
      <c r="BE953" s="3276" t="s">
        <v>9639</v>
      </c>
      <c r="BF953" s="3281" t="s">
        <v>2968</v>
      </c>
      <c r="BG953" s="3293">
        <v>39060</v>
      </c>
      <c r="BH953" s="3267" t="s">
        <v>2998</v>
      </c>
      <c r="BI953" s="3314" t="s">
        <v>3305</v>
      </c>
      <c r="BJ953" s="3283">
        <v>39063</v>
      </c>
      <c r="BK953" s="3283"/>
      <c r="BL953" s="3267" t="s">
        <v>3249</v>
      </c>
      <c r="BM953" s="3276" t="s">
        <v>2879</v>
      </c>
      <c r="BN953" s="3276" t="s">
        <v>2999</v>
      </c>
      <c r="BO953" s="3276" t="s">
        <v>3146</v>
      </c>
      <c r="BP953" s="3276"/>
      <c r="BQ953" s="3276" t="e">
        <v>#DIV/0!</v>
      </c>
      <c r="BR953" s="3276" t="e">
        <v>#DIV/0!</v>
      </c>
      <c r="BS953" s="3285"/>
      <c r="BT953" s="3285"/>
      <c r="BU953" s="3285"/>
      <c r="BV953" s="3262"/>
      <c r="BW953" s="3262"/>
      <c r="BX953" s="3262"/>
      <c r="BY953" s="3262"/>
      <c r="BZ953" s="3262"/>
      <c r="CA953" s="3262"/>
      <c r="CB953" s="3262"/>
      <c r="CC953" s="3262"/>
      <c r="CD953" s="3262"/>
      <c r="CE953" s="3262"/>
      <c r="CF953" s="3262"/>
      <c r="CG953" s="3262"/>
      <c r="CH953" s="3262"/>
      <c r="CI953" s="3262"/>
      <c r="CJ953" s="3262"/>
      <c r="CK953" s="3262"/>
      <c r="CL953" s="3262"/>
      <c r="CM953" s="3262"/>
      <c r="CN953" s="3262"/>
      <c r="CO953" s="3262"/>
      <c r="CP953" s="3262"/>
      <c r="CQ953" s="3262"/>
      <c r="CR953" s="3262"/>
      <c r="CS953" s="3262"/>
      <c r="CT953" s="3262"/>
      <c r="CU953" s="3262"/>
      <c r="CV953" s="3262"/>
      <c r="CW953" s="3262"/>
      <c r="CX953" s="3262"/>
      <c r="CY953" s="3262"/>
      <c r="CZ953" s="3262"/>
      <c r="DA953" s="3262"/>
      <c r="DB953" s="3262"/>
      <c r="DC953" s="3262"/>
      <c r="DD953" s="3262"/>
      <c r="DE953" s="3262"/>
      <c r="DF953" s="3262"/>
      <c r="DG953" s="3262"/>
      <c r="DH953" s="3262"/>
      <c r="DI953" s="3262"/>
      <c r="DJ953" s="3262"/>
      <c r="DK953" s="3262"/>
      <c r="DL953" s="3262"/>
      <c r="DM953" s="3262"/>
      <c r="DN953" s="3262"/>
      <c r="DO953" s="3262"/>
      <c r="DP953" s="3262"/>
      <c r="DQ953" s="3262"/>
      <c r="DR953" s="3262"/>
      <c r="DS953" s="3262"/>
      <c r="DT953" s="3262"/>
      <c r="DU953" s="3262"/>
      <c r="DV953" s="3262"/>
      <c r="DW953" s="3262"/>
      <c r="DX953" s="3262"/>
      <c r="DY953" s="3262"/>
      <c r="DZ953" s="3262"/>
      <c r="EA953" s="3262"/>
      <c r="EB953" s="3262"/>
      <c r="EC953" s="3262"/>
      <c r="ED953" s="3262"/>
      <c r="EE953" s="3262"/>
      <c r="EF953" s="3262"/>
      <c r="EG953" s="3262"/>
      <c r="EH953" s="3262"/>
      <c r="EI953" s="3262"/>
      <c r="EJ953" s="3262"/>
      <c r="EK953" s="3262"/>
      <c r="EL953" s="3262"/>
      <c r="EM953" s="3262"/>
      <c r="EN953" s="3262"/>
      <c r="EO953" s="3262"/>
      <c r="EP953" s="3262"/>
      <c r="EQ953" s="3262"/>
      <c r="ER953" s="3262"/>
      <c r="ES953" s="3262"/>
      <c r="ET953" s="3262"/>
      <c r="EU953" s="3262"/>
      <c r="EV953" s="3262"/>
      <c r="EW953" s="3262"/>
      <c r="EX953" s="3262"/>
      <c r="EY953" s="3262"/>
      <c r="EZ953" s="3262"/>
      <c r="FA953" s="3262"/>
      <c r="FB953" s="3262"/>
      <c r="FC953" s="3262"/>
      <c r="FD953" s="3262"/>
      <c r="FE953" s="3262"/>
      <c r="FF953" s="3262"/>
      <c r="FG953" s="3262"/>
      <c r="FH953" s="3262"/>
      <c r="FI953" s="3262"/>
      <c r="FJ953" s="3262"/>
      <c r="FK953" s="3262"/>
      <c r="FL953" s="3262"/>
      <c r="FM953" s="3262"/>
      <c r="FN953" s="3262"/>
      <c r="FO953" s="3262"/>
      <c r="FP953" s="3262"/>
      <c r="FQ953" s="3262"/>
      <c r="FR953" s="3262"/>
      <c r="FS953" s="3262"/>
      <c r="FT953" s="3262"/>
      <c r="FU953" s="3262"/>
      <c r="FV953" s="3262"/>
      <c r="FW953" s="3262"/>
      <c r="FX953" s="3262"/>
      <c r="FY953" s="3262"/>
      <c r="FZ953" s="3262"/>
      <c r="GA953" s="3262"/>
      <c r="GB953" s="3262"/>
      <c r="GC953" s="3262"/>
      <c r="GD953" s="3262"/>
      <c r="GE953" s="3262"/>
      <c r="GF953" s="3262"/>
      <c r="GG953" s="3262"/>
      <c r="GH953" s="3262"/>
      <c r="GI953" s="3262"/>
      <c r="GJ953" s="3262"/>
      <c r="GK953" s="3262"/>
      <c r="GL953" s="3262"/>
      <c r="GM953" s="3262"/>
      <c r="GN953" s="3262"/>
      <c r="GO953" s="3262"/>
      <c r="GP953" s="3262"/>
      <c r="GQ953" s="3262"/>
      <c r="GR953" s="3262"/>
      <c r="GS953" s="3262"/>
      <c r="GT953" s="3262"/>
      <c r="GU953" s="3262"/>
      <c r="GV953" s="3262"/>
      <c r="GW953" s="3262"/>
      <c r="GX953" s="3262"/>
      <c r="GY953" s="3262"/>
      <c r="GZ953" s="3262"/>
      <c r="HA953" s="3262"/>
      <c r="HB953" s="3262"/>
      <c r="HC953" s="3262"/>
      <c r="HD953" s="3262"/>
      <c r="HE953" s="3262"/>
      <c r="HF953" s="3262"/>
      <c r="HG953" s="3262"/>
      <c r="HH953" s="3262"/>
      <c r="HI953" s="3262"/>
      <c r="HJ953" s="3262"/>
      <c r="HK953" s="3262"/>
      <c r="HL953" s="3262"/>
      <c r="HM953" s="3262"/>
      <c r="HN953" s="3262"/>
      <c r="HO953" s="3262"/>
      <c r="HP953" s="3262"/>
      <c r="HQ953" s="3262"/>
      <c r="HR953" s="3262"/>
      <c r="HS953" s="3262"/>
      <c r="HT953" s="3262"/>
      <c r="HU953" s="3262"/>
      <c r="HV953" s="3262"/>
      <c r="HW953" s="3262"/>
      <c r="HX953" s="3262"/>
      <c r="HY953" s="3262"/>
      <c r="HZ953" s="3262"/>
      <c r="IA953" s="3262"/>
      <c r="IB953" s="3262"/>
      <c r="IC953" s="3262"/>
      <c r="ID953" s="3262"/>
      <c r="IE953" s="3262"/>
      <c r="IF953" s="3262"/>
      <c r="IG953" s="3262"/>
      <c r="IH953" s="3262"/>
      <c r="II953" s="3262"/>
    </row>
    <row r="954" spans="1:245" hidden="1">
      <c r="A954" s="3267" t="s">
        <v>9640</v>
      </c>
      <c r="B954" s="3267" t="s">
        <v>9641</v>
      </c>
      <c r="C954" s="3269" t="s">
        <v>9642</v>
      </c>
      <c r="D954" s="3269" t="s">
        <v>9643</v>
      </c>
      <c r="E954" s="3268" t="s">
        <v>2985</v>
      </c>
      <c r="F954" s="3268" t="s">
        <v>3309</v>
      </c>
      <c r="G954" s="3267"/>
      <c r="H954" s="3267" t="s">
        <v>3430</v>
      </c>
      <c r="I954" s="3268" t="s">
        <v>9644</v>
      </c>
      <c r="J954" s="3267" t="s">
        <v>3151</v>
      </c>
      <c r="K954" s="3267" t="s">
        <v>9645</v>
      </c>
      <c r="L954" s="3267">
        <v>67</v>
      </c>
      <c r="M954" s="3267">
        <v>5</v>
      </c>
      <c r="N954" s="3267" t="s">
        <v>3172</v>
      </c>
      <c r="O954" s="3267"/>
      <c r="P954" s="3267" t="s">
        <v>2963</v>
      </c>
      <c r="Q954" s="3271">
        <v>520000</v>
      </c>
      <c r="R954" s="3267">
        <v>7761</v>
      </c>
      <c r="S954" s="3272">
        <v>44.69</v>
      </c>
      <c r="T954" s="3273">
        <v>446900</v>
      </c>
      <c r="U954" s="3267">
        <v>6671</v>
      </c>
      <c r="V954" s="3289">
        <v>0.2</v>
      </c>
      <c r="W954" s="3272">
        <v>35.75</v>
      </c>
      <c r="X954" s="3275">
        <v>357500</v>
      </c>
      <c r="Y954" s="3276">
        <v>2006</v>
      </c>
      <c r="Z954" s="3276">
        <v>12</v>
      </c>
      <c r="AA954" s="3276">
        <v>15</v>
      </c>
      <c r="AB954" s="3267">
        <v>1340</v>
      </c>
      <c r="AC954" s="3267" t="s">
        <v>2980</v>
      </c>
      <c r="AD954" s="3280" t="s">
        <v>9646</v>
      </c>
      <c r="AE954" s="3279" t="s">
        <v>3344</v>
      </c>
      <c r="AF954" s="3267" t="s">
        <v>2966</v>
      </c>
      <c r="AG954" s="3279" t="s">
        <v>2967</v>
      </c>
      <c r="AH954" s="3267"/>
      <c r="AI954" s="3279" t="s">
        <v>2992</v>
      </c>
      <c r="AJ954" s="3284"/>
      <c r="AK954" s="3278" t="s">
        <v>3120</v>
      </c>
      <c r="AL954" s="3276">
        <v>50</v>
      </c>
      <c r="AM954" s="3267"/>
      <c r="AN954" s="3279" t="s">
        <v>3114</v>
      </c>
      <c r="AO954" s="3267"/>
      <c r="AP954" s="3279" t="s">
        <v>3305</v>
      </c>
      <c r="AQ954" s="3276" t="s">
        <v>2996</v>
      </c>
      <c r="AR954" s="3276"/>
      <c r="AS954" s="3276"/>
      <c r="AT954" s="3276"/>
      <c r="AU954" s="3276"/>
      <c r="AV954" s="3276" t="s">
        <v>2968</v>
      </c>
      <c r="AW954" s="3276" t="s">
        <v>3171</v>
      </c>
      <c r="AX954" s="3276"/>
      <c r="AY954" s="3291"/>
      <c r="AZ954" s="3267" t="s">
        <v>9645</v>
      </c>
      <c r="BA954" s="3296"/>
      <c r="BB954" s="3297"/>
      <c r="BC954" s="3296"/>
      <c r="BD954" s="3298"/>
      <c r="BE954" s="3276">
        <v>13651319895</v>
      </c>
      <c r="BF954" s="3281" t="s">
        <v>2968</v>
      </c>
      <c r="BG954" s="3293">
        <v>39034</v>
      </c>
      <c r="BH954" s="3354" t="s">
        <v>2998</v>
      </c>
      <c r="BI954" s="3314" t="s">
        <v>3305</v>
      </c>
      <c r="BJ954" s="3283">
        <v>39064</v>
      </c>
      <c r="BK954" s="3283"/>
      <c r="BL954" s="3267" t="s">
        <v>3249</v>
      </c>
      <c r="BM954" s="3276" t="s">
        <v>2879</v>
      </c>
      <c r="BN954" s="3276" t="s">
        <v>2999</v>
      </c>
      <c r="BO954" s="3276" t="s">
        <v>3146</v>
      </c>
      <c r="BP954" s="3276"/>
      <c r="BQ954" s="3276" t="e">
        <v>#DIV/0!</v>
      </c>
      <c r="BR954" s="3276" t="e">
        <v>#DIV/0!</v>
      </c>
      <c r="BS954" s="3285"/>
      <c r="BT954" s="3285"/>
      <c r="BU954" s="3285"/>
      <c r="BV954" s="3347"/>
      <c r="BW954" s="3347"/>
      <c r="BX954" s="3347"/>
      <c r="BY954" s="3347"/>
      <c r="BZ954" s="3347"/>
      <c r="CA954" s="3347"/>
      <c r="CB954" s="3347"/>
      <c r="CC954" s="3347"/>
      <c r="CD954" s="3347"/>
      <c r="CE954" s="3347"/>
      <c r="CF954" s="3347"/>
      <c r="CG954" s="3347"/>
      <c r="CH954" s="3347"/>
      <c r="CI954" s="3347"/>
      <c r="CJ954" s="3347"/>
      <c r="CK954" s="3347"/>
      <c r="CL954" s="3347"/>
      <c r="CM954" s="3347"/>
      <c r="CN954" s="3347"/>
      <c r="CO954" s="3347"/>
      <c r="CP954" s="3347"/>
      <c r="CQ954" s="3347"/>
      <c r="CR954" s="3347"/>
      <c r="CS954" s="3347"/>
      <c r="CT954" s="3347"/>
      <c r="CU954" s="3347"/>
      <c r="CV954" s="3347"/>
      <c r="CW954" s="3347"/>
      <c r="CX954" s="3347"/>
      <c r="CY954" s="3347"/>
      <c r="CZ954" s="3347"/>
      <c r="DA954" s="3347"/>
      <c r="DB954" s="3347"/>
      <c r="DC954" s="3347"/>
      <c r="DD954" s="3347"/>
      <c r="DE954" s="3347"/>
      <c r="DF954" s="3347"/>
      <c r="DG954" s="3347"/>
      <c r="DH954" s="3347"/>
      <c r="DI954" s="3347"/>
      <c r="DJ954" s="3347"/>
      <c r="DK954" s="3347"/>
      <c r="DL954" s="3347"/>
      <c r="DM954" s="3347"/>
      <c r="DN954" s="3347"/>
      <c r="DO954" s="3347"/>
      <c r="DP954" s="3347"/>
      <c r="DQ954" s="3347"/>
      <c r="DR954" s="3347"/>
      <c r="DS954" s="3347"/>
      <c r="DT954" s="3347"/>
      <c r="DU954" s="3347"/>
      <c r="DV954" s="3347"/>
      <c r="DW954" s="3347"/>
      <c r="DX954" s="3347"/>
      <c r="DY954" s="3347"/>
      <c r="DZ954" s="3347"/>
      <c r="EA954" s="3347"/>
      <c r="EB954" s="3347"/>
      <c r="EC954" s="3347"/>
      <c r="ED954" s="3347"/>
      <c r="EE954" s="3347"/>
      <c r="EF954" s="3347"/>
      <c r="EG954" s="3347"/>
      <c r="EH954" s="3347"/>
      <c r="EI954" s="3347"/>
      <c r="EJ954" s="3347"/>
      <c r="EK954" s="3347"/>
      <c r="EL954" s="3347"/>
      <c r="EM954" s="3347"/>
      <c r="EN954" s="3347"/>
      <c r="EO954" s="3347"/>
      <c r="EP954" s="3347"/>
      <c r="EQ954" s="3347"/>
      <c r="ER954" s="3347"/>
      <c r="ES954" s="3347"/>
      <c r="ET954" s="3347"/>
      <c r="EU954" s="3347"/>
      <c r="EV954" s="3347"/>
      <c r="EW954" s="3347"/>
      <c r="EX954" s="3347"/>
      <c r="EY954" s="3347"/>
      <c r="EZ954" s="3347"/>
      <c r="FA954" s="3347"/>
      <c r="FB954" s="3347"/>
      <c r="FC954" s="3347"/>
      <c r="FD954" s="3347"/>
      <c r="FE954" s="3347"/>
      <c r="FF954" s="3347"/>
      <c r="FG954" s="3347"/>
      <c r="FH954" s="3347"/>
      <c r="FI954" s="3347"/>
      <c r="FJ954" s="3347"/>
      <c r="FK954" s="3347"/>
      <c r="FL954" s="3347"/>
      <c r="FM954" s="3347"/>
      <c r="FN954" s="3347"/>
      <c r="FO954" s="3347"/>
      <c r="FP954" s="3347"/>
      <c r="FQ954" s="3347"/>
      <c r="FR954" s="3347"/>
      <c r="FS954" s="3347"/>
      <c r="FT954" s="3347"/>
      <c r="FU954" s="3347"/>
      <c r="FV954" s="3347"/>
      <c r="FW954" s="3347"/>
      <c r="FX954" s="3347"/>
      <c r="FY954" s="3347"/>
      <c r="FZ954" s="3347"/>
      <c r="GA954" s="3347"/>
      <c r="GB954" s="3347"/>
      <c r="GC954" s="3347"/>
      <c r="GD954" s="3347"/>
      <c r="GE954" s="3347"/>
      <c r="GF954" s="3347"/>
      <c r="GG954" s="3347"/>
      <c r="GH954" s="3347"/>
      <c r="GI954" s="3347"/>
      <c r="GJ954" s="3347"/>
      <c r="GK954" s="3347"/>
      <c r="GL954" s="3347"/>
      <c r="GM954" s="3347"/>
      <c r="GN954" s="3347"/>
      <c r="GO954" s="3347"/>
      <c r="GP954" s="3347"/>
      <c r="GQ954" s="3347"/>
      <c r="GR954" s="3347"/>
      <c r="GS954" s="3347"/>
      <c r="GT954" s="3347"/>
      <c r="GU954" s="3347"/>
      <c r="GV954" s="3347"/>
      <c r="GW954" s="3347"/>
      <c r="GX954" s="3347"/>
      <c r="GY954" s="3347"/>
      <c r="GZ954" s="3347"/>
      <c r="HA954" s="3347"/>
      <c r="HB954" s="3347"/>
      <c r="HC954" s="3347"/>
      <c r="HD954" s="3347"/>
      <c r="HE954" s="3347"/>
      <c r="HF954" s="3347"/>
      <c r="HG954" s="3347"/>
      <c r="HH954" s="3347"/>
      <c r="HI954" s="3347"/>
      <c r="HJ954" s="3347"/>
      <c r="HK954" s="3347"/>
      <c r="HL954" s="3347"/>
      <c r="HM954" s="3347"/>
      <c r="HN954" s="3347"/>
      <c r="HO954" s="3347"/>
      <c r="HP954" s="3347"/>
      <c r="HQ954" s="3347"/>
      <c r="HR954" s="3347"/>
      <c r="HS954" s="3347"/>
      <c r="HT954" s="3347"/>
      <c r="HU954" s="3347"/>
      <c r="HV954" s="3347"/>
      <c r="HW954" s="3347"/>
      <c r="HX954" s="3347"/>
      <c r="HY954" s="3347"/>
      <c r="HZ954" s="3347"/>
      <c r="IA954" s="3347"/>
      <c r="IB954" s="3347"/>
      <c r="IC954" s="3347"/>
      <c r="ID954" s="3347"/>
      <c r="IE954" s="3347"/>
      <c r="IF954" s="3347"/>
      <c r="IG954" s="3347"/>
      <c r="IH954" s="3347"/>
      <c r="II954" s="3347"/>
    </row>
    <row r="955" spans="1:245" hidden="1">
      <c r="A955" s="3267" t="s">
        <v>9647</v>
      </c>
      <c r="B955" s="3267" t="s">
        <v>9648</v>
      </c>
      <c r="C955" s="3269" t="s">
        <v>9649</v>
      </c>
      <c r="D955" s="3269" t="s">
        <v>9650</v>
      </c>
      <c r="E955" s="3268" t="s">
        <v>2985</v>
      </c>
      <c r="F955" s="3268" t="s">
        <v>5339</v>
      </c>
      <c r="G955" s="3267"/>
      <c r="H955" s="3267" t="s">
        <v>3178</v>
      </c>
      <c r="I955" s="3268"/>
      <c r="J955" s="3267" t="s">
        <v>9651</v>
      </c>
      <c r="K955" s="3267" t="s">
        <v>9652</v>
      </c>
      <c r="L955" s="3267">
        <v>65.819999999999993</v>
      </c>
      <c r="M955" s="3267">
        <v>14</v>
      </c>
      <c r="N955" s="3267" t="s">
        <v>3152</v>
      </c>
      <c r="O955" s="3267">
        <v>52.56</v>
      </c>
      <c r="P955" s="3267" t="s">
        <v>2963</v>
      </c>
      <c r="Q955" s="3271">
        <v>360000</v>
      </c>
      <c r="R955" s="3267">
        <v>5469</v>
      </c>
      <c r="S955" s="3272">
        <v>40.47</v>
      </c>
      <c r="T955" s="3273">
        <v>404700</v>
      </c>
      <c r="U955" s="3267">
        <v>6149</v>
      </c>
      <c r="V955" s="3289">
        <v>0.2</v>
      </c>
      <c r="W955" s="3272">
        <v>32.369999999999997</v>
      </c>
      <c r="X955" s="3275">
        <v>323700</v>
      </c>
      <c r="Y955" s="3276">
        <v>2006</v>
      </c>
      <c r="Z955" s="3276">
        <v>12</v>
      </c>
      <c r="AA955" s="3276">
        <v>26</v>
      </c>
      <c r="AB955" s="3267">
        <v>1210</v>
      </c>
      <c r="AC955" s="3267" t="s">
        <v>2980</v>
      </c>
      <c r="AD955" s="3280" t="s">
        <v>9653</v>
      </c>
      <c r="AE955" s="3279" t="s">
        <v>3344</v>
      </c>
      <c r="AF955" s="3267" t="s">
        <v>2966</v>
      </c>
      <c r="AG955" s="3279" t="s">
        <v>2967</v>
      </c>
      <c r="AH955" s="3267" t="s">
        <v>9654</v>
      </c>
      <c r="AI955" s="3279" t="s">
        <v>2992</v>
      </c>
      <c r="AJ955" s="3284"/>
      <c r="AK955" s="3278" t="s">
        <v>3120</v>
      </c>
      <c r="AL955" s="3276">
        <v>59</v>
      </c>
      <c r="AM955" s="3267"/>
      <c r="AN955" s="3279" t="s">
        <v>3099</v>
      </c>
      <c r="AO955" s="3267"/>
      <c r="AP955" s="3267" t="s">
        <v>3069</v>
      </c>
      <c r="AQ955" s="3276" t="s">
        <v>3113</v>
      </c>
      <c r="AR955" s="3276">
        <v>2006</v>
      </c>
      <c r="AS955" s="3276">
        <v>12</v>
      </c>
      <c r="AT955" s="3276">
        <v>26</v>
      </c>
      <c r="AU955" s="3276"/>
      <c r="AV955" s="3276" t="s">
        <v>2968</v>
      </c>
      <c r="AW955" s="3276" t="s">
        <v>3171</v>
      </c>
      <c r="AX955" s="3276"/>
      <c r="AY955" s="3291"/>
      <c r="AZ955" s="3267" t="s">
        <v>9652</v>
      </c>
      <c r="BA955" s="3296"/>
      <c r="BB955" s="3297"/>
      <c r="BC955" s="3296"/>
      <c r="BD955" s="3298"/>
      <c r="BE955" s="3276">
        <v>13671141924</v>
      </c>
      <c r="BF955" s="3281" t="s">
        <v>2968</v>
      </c>
      <c r="BG955" s="3293">
        <v>39058</v>
      </c>
      <c r="BH955" s="3354" t="s">
        <v>2998</v>
      </c>
      <c r="BI955" s="3279" t="s">
        <v>3069</v>
      </c>
      <c r="BJ955" s="3283">
        <v>39064</v>
      </c>
      <c r="BK955" s="3283"/>
      <c r="BL955" s="3267" t="s">
        <v>3249</v>
      </c>
      <c r="BM955" s="3276" t="s">
        <v>2879</v>
      </c>
      <c r="BN955" s="3276" t="s">
        <v>2999</v>
      </c>
      <c r="BO955" s="3276" t="s">
        <v>3146</v>
      </c>
      <c r="BP955" s="3276"/>
      <c r="BQ955" s="3276">
        <v>7700</v>
      </c>
      <c r="BR955" s="3276">
        <v>6849</v>
      </c>
      <c r="BS955" s="3285"/>
      <c r="BT955" s="3285"/>
      <c r="BU955" s="3285"/>
      <c r="BV955" s="3347"/>
      <c r="BW955" s="3347"/>
      <c r="BX955" s="3347"/>
      <c r="BY955" s="3347"/>
      <c r="BZ955" s="3347"/>
      <c r="CA955" s="3347"/>
      <c r="CB955" s="3347"/>
      <c r="CC955" s="3347"/>
      <c r="CD955" s="3347"/>
      <c r="CE955" s="3347"/>
      <c r="CF955" s="3347"/>
      <c r="CG955" s="3347"/>
      <c r="CH955" s="3347"/>
      <c r="CI955" s="3347"/>
      <c r="CJ955" s="3347"/>
      <c r="CK955" s="3347"/>
      <c r="CL955" s="3347"/>
      <c r="CM955" s="3347"/>
      <c r="CN955" s="3347"/>
      <c r="CO955" s="3347"/>
      <c r="CP955" s="3347"/>
      <c r="CQ955" s="3347"/>
      <c r="CR955" s="3347"/>
      <c r="CS955" s="3347"/>
      <c r="CT955" s="3347"/>
      <c r="CU955" s="3347"/>
      <c r="CV955" s="3347"/>
      <c r="CW955" s="3347"/>
      <c r="CX955" s="3347"/>
      <c r="CY955" s="3347"/>
      <c r="CZ955" s="3347"/>
      <c r="DA955" s="3347"/>
      <c r="DB955" s="3347"/>
      <c r="DC955" s="3347"/>
      <c r="DD955" s="3347"/>
      <c r="DE955" s="3347"/>
      <c r="DF955" s="3347"/>
      <c r="DG955" s="3347"/>
      <c r="DH955" s="3347"/>
      <c r="DI955" s="3347"/>
      <c r="DJ955" s="3347"/>
      <c r="DK955" s="3347"/>
      <c r="DL955" s="3347"/>
      <c r="DM955" s="3347"/>
      <c r="DN955" s="3347"/>
      <c r="DO955" s="3347"/>
      <c r="DP955" s="3347"/>
      <c r="DQ955" s="3347"/>
      <c r="DR955" s="3347"/>
      <c r="DS955" s="3347"/>
      <c r="DT955" s="3347"/>
      <c r="DU955" s="3347"/>
      <c r="DV955" s="3347"/>
      <c r="DW955" s="3347"/>
      <c r="DX955" s="3347"/>
      <c r="DY955" s="3347"/>
      <c r="DZ955" s="3347"/>
      <c r="EA955" s="3347"/>
      <c r="EB955" s="3347"/>
      <c r="EC955" s="3347"/>
      <c r="ED955" s="3347"/>
      <c r="EE955" s="3347"/>
      <c r="EF955" s="3347"/>
      <c r="EG955" s="3347"/>
      <c r="EH955" s="3347"/>
      <c r="EI955" s="3347"/>
      <c r="EJ955" s="3347"/>
      <c r="EK955" s="3347"/>
      <c r="EL955" s="3347"/>
      <c r="EM955" s="3347"/>
      <c r="EN955" s="3347"/>
      <c r="EO955" s="3347"/>
      <c r="EP955" s="3347"/>
      <c r="EQ955" s="3347"/>
      <c r="ER955" s="3347"/>
      <c r="ES955" s="3347"/>
      <c r="ET955" s="3347"/>
      <c r="EU955" s="3347"/>
      <c r="EV955" s="3347"/>
      <c r="EW955" s="3347"/>
      <c r="EX955" s="3347"/>
      <c r="EY955" s="3347"/>
      <c r="EZ955" s="3347"/>
      <c r="FA955" s="3347"/>
      <c r="FB955" s="3347"/>
      <c r="FC955" s="3347"/>
      <c r="FD955" s="3347"/>
      <c r="FE955" s="3347"/>
      <c r="FF955" s="3347"/>
      <c r="FG955" s="3347"/>
      <c r="FH955" s="3347"/>
      <c r="FI955" s="3347"/>
      <c r="FJ955" s="3347"/>
      <c r="FK955" s="3347"/>
      <c r="FL955" s="3347"/>
      <c r="FM955" s="3347"/>
      <c r="FN955" s="3347"/>
      <c r="FO955" s="3347"/>
      <c r="FP955" s="3347"/>
      <c r="FQ955" s="3347"/>
      <c r="FR955" s="3347"/>
      <c r="FS955" s="3347"/>
      <c r="FT955" s="3347"/>
      <c r="FU955" s="3347"/>
      <c r="FV955" s="3347"/>
      <c r="FW955" s="3347"/>
      <c r="FX955" s="3347"/>
      <c r="FY955" s="3347"/>
      <c r="FZ955" s="3347"/>
      <c r="GA955" s="3347"/>
      <c r="GB955" s="3347"/>
      <c r="GC955" s="3347"/>
      <c r="GD955" s="3347"/>
      <c r="GE955" s="3347"/>
      <c r="GF955" s="3347"/>
      <c r="GG955" s="3347"/>
      <c r="GH955" s="3347"/>
      <c r="GI955" s="3347"/>
      <c r="GJ955" s="3347"/>
      <c r="GK955" s="3347"/>
      <c r="GL955" s="3347"/>
      <c r="GM955" s="3347"/>
      <c r="GN955" s="3347"/>
      <c r="GO955" s="3347"/>
      <c r="GP955" s="3347"/>
      <c r="GQ955" s="3347"/>
      <c r="GR955" s="3347"/>
      <c r="GS955" s="3347"/>
      <c r="GT955" s="3347"/>
      <c r="GU955" s="3347"/>
      <c r="GV955" s="3347"/>
      <c r="GW955" s="3347"/>
      <c r="GX955" s="3347"/>
      <c r="GY955" s="3347"/>
      <c r="GZ955" s="3347"/>
      <c r="HA955" s="3347"/>
      <c r="HB955" s="3347"/>
      <c r="HC955" s="3347"/>
      <c r="HD955" s="3347"/>
      <c r="HE955" s="3347"/>
      <c r="HF955" s="3347"/>
      <c r="HG955" s="3347"/>
      <c r="HH955" s="3347"/>
      <c r="HI955" s="3347"/>
      <c r="HJ955" s="3347"/>
      <c r="HK955" s="3347"/>
      <c r="HL955" s="3347"/>
      <c r="HM955" s="3347"/>
      <c r="HN955" s="3347"/>
      <c r="HO955" s="3347"/>
      <c r="HP955" s="3347"/>
      <c r="HQ955" s="3347"/>
      <c r="HR955" s="3347"/>
      <c r="HS955" s="3347"/>
      <c r="HT955" s="3347"/>
      <c r="HU955" s="3347"/>
      <c r="HV955" s="3347"/>
      <c r="HW955" s="3347"/>
      <c r="HX955" s="3347"/>
      <c r="HY955" s="3347"/>
      <c r="HZ955" s="3347"/>
      <c r="IA955" s="3347"/>
      <c r="IB955" s="3347"/>
      <c r="IC955" s="3347"/>
      <c r="ID955" s="3347"/>
      <c r="IE955" s="3347"/>
      <c r="IF955" s="3347"/>
      <c r="IG955" s="3347"/>
      <c r="IH955" s="3347"/>
      <c r="II955" s="3347"/>
    </row>
    <row r="956" spans="1:245" hidden="1">
      <c r="A956" s="3267" t="s">
        <v>9655</v>
      </c>
      <c r="B956" s="3267" t="s">
        <v>9656</v>
      </c>
      <c r="C956" s="3269" t="s">
        <v>9657</v>
      </c>
      <c r="D956" s="3269" t="s">
        <v>9658</v>
      </c>
      <c r="E956" s="3268" t="s">
        <v>2985</v>
      </c>
      <c r="F956" s="3268" t="s">
        <v>3511</v>
      </c>
      <c r="G956" s="3267"/>
      <c r="H956" s="3267" t="s">
        <v>3118</v>
      </c>
      <c r="I956" s="3268" t="s">
        <v>3254</v>
      </c>
      <c r="J956" s="3267" t="s">
        <v>9659</v>
      </c>
      <c r="K956" s="3267" t="s">
        <v>9660</v>
      </c>
      <c r="L956" s="3267">
        <v>69.319999999999993</v>
      </c>
      <c r="M956" s="3267">
        <v>0</v>
      </c>
      <c r="N956" s="3267" t="s">
        <v>3098</v>
      </c>
      <c r="O956" s="3267"/>
      <c r="P956" s="3267" t="s">
        <v>2963</v>
      </c>
      <c r="Q956" s="3271">
        <v>550000</v>
      </c>
      <c r="R956" s="3267">
        <v>7934</v>
      </c>
      <c r="S956" s="3272">
        <v>43.81</v>
      </c>
      <c r="T956" s="3273">
        <v>438100</v>
      </c>
      <c r="U956" s="3267">
        <v>6320</v>
      </c>
      <c r="V956" s="3289">
        <v>0.2</v>
      </c>
      <c r="W956" s="3272">
        <v>35.04</v>
      </c>
      <c r="X956" s="3275">
        <v>350400</v>
      </c>
      <c r="Y956" s="3276">
        <v>2006</v>
      </c>
      <c r="Z956" s="3276">
        <v>12</v>
      </c>
      <c r="AA956" s="3276">
        <v>14</v>
      </c>
      <c r="AB956" s="3267">
        <v>1310</v>
      </c>
      <c r="AC956" s="3267" t="s">
        <v>2980</v>
      </c>
      <c r="AD956" s="3269" t="s">
        <v>9661</v>
      </c>
      <c r="AE956" s="3279" t="s">
        <v>3304</v>
      </c>
      <c r="AF956" s="3268" t="s">
        <v>2966</v>
      </c>
      <c r="AG956" s="3279" t="s">
        <v>2967</v>
      </c>
      <c r="AH956" s="3267"/>
      <c r="AI956" s="3279" t="s">
        <v>2992</v>
      </c>
      <c r="AJ956" s="3284"/>
      <c r="AK956" s="3278" t="s">
        <v>3120</v>
      </c>
      <c r="AL956" s="3276">
        <v>39</v>
      </c>
      <c r="AM956" s="3267"/>
      <c r="AN956" s="3279" t="s">
        <v>3114</v>
      </c>
      <c r="AO956" s="3267"/>
      <c r="AP956" s="3279" t="s">
        <v>3305</v>
      </c>
      <c r="AQ956" s="3276" t="s">
        <v>2996</v>
      </c>
      <c r="AR956" s="3276"/>
      <c r="AS956" s="3276"/>
      <c r="AT956" s="3276"/>
      <c r="AU956" s="3276"/>
      <c r="AV956" s="3276"/>
      <c r="AW956" s="3276" t="s">
        <v>3119</v>
      </c>
      <c r="AX956" s="3276"/>
      <c r="AY956" s="3291"/>
      <c r="AZ956" s="3267" t="s">
        <v>9660</v>
      </c>
      <c r="BA956" s="3296"/>
      <c r="BB956" s="3297"/>
      <c r="BC956" s="3296"/>
      <c r="BD956" s="3296"/>
      <c r="BE956" s="3276"/>
      <c r="BF956" s="3281"/>
      <c r="BG956" s="3293">
        <v>39016</v>
      </c>
      <c r="BH956" s="3267" t="s">
        <v>2998</v>
      </c>
      <c r="BI956" s="3314" t="s">
        <v>3305</v>
      </c>
      <c r="BJ956" s="3283">
        <v>39065</v>
      </c>
      <c r="BK956" s="3283"/>
      <c r="BL956" s="3267" t="s">
        <v>3249</v>
      </c>
      <c r="BM956" s="3276" t="s">
        <v>2879</v>
      </c>
      <c r="BN956" s="3276" t="s">
        <v>3111</v>
      </c>
      <c r="BO956" s="3276" t="s">
        <v>5779</v>
      </c>
      <c r="BP956" s="3276"/>
      <c r="BQ956" s="3276" t="e">
        <v>#DIV/0!</v>
      </c>
      <c r="BR956" s="3276" t="e">
        <v>#DIV/0!</v>
      </c>
      <c r="BS956" s="3285"/>
      <c r="BT956" s="3285"/>
      <c r="BU956" s="3285"/>
      <c r="BV956" s="3347"/>
      <c r="BW956" s="3347"/>
      <c r="BX956" s="3347"/>
      <c r="BY956" s="3347"/>
      <c r="BZ956" s="3347"/>
      <c r="CA956" s="3347"/>
      <c r="CB956" s="3347"/>
      <c r="CC956" s="3347"/>
      <c r="CD956" s="3347"/>
      <c r="CE956" s="3347"/>
      <c r="CF956" s="3347"/>
      <c r="CG956" s="3347"/>
      <c r="CH956" s="3347"/>
      <c r="CI956" s="3347"/>
      <c r="CJ956" s="3347"/>
      <c r="CK956" s="3347"/>
      <c r="CL956" s="3347"/>
      <c r="CM956" s="3347"/>
      <c r="CN956" s="3347"/>
      <c r="CO956" s="3347"/>
      <c r="CP956" s="3347"/>
      <c r="CQ956" s="3347"/>
      <c r="CR956" s="3347"/>
      <c r="CS956" s="3347"/>
      <c r="CT956" s="3347"/>
      <c r="CU956" s="3347"/>
      <c r="CV956" s="3347"/>
      <c r="CW956" s="3347"/>
      <c r="CX956" s="3347"/>
      <c r="CY956" s="3347"/>
      <c r="CZ956" s="3347"/>
      <c r="DA956" s="3347"/>
      <c r="DB956" s="3347"/>
      <c r="DC956" s="3347"/>
      <c r="DD956" s="3347"/>
      <c r="DE956" s="3347"/>
      <c r="DF956" s="3347"/>
      <c r="DG956" s="3347"/>
      <c r="DH956" s="3347"/>
      <c r="DI956" s="3347"/>
      <c r="DJ956" s="3347"/>
      <c r="DK956" s="3347"/>
      <c r="DL956" s="3347"/>
      <c r="DM956" s="3347"/>
      <c r="DN956" s="3347"/>
      <c r="DO956" s="3347"/>
      <c r="DP956" s="3347"/>
      <c r="DQ956" s="3347"/>
      <c r="DR956" s="3347"/>
      <c r="DS956" s="3347"/>
      <c r="DT956" s="3347"/>
      <c r="DU956" s="3347"/>
      <c r="DV956" s="3347"/>
      <c r="DW956" s="3347"/>
      <c r="DX956" s="3347"/>
      <c r="DY956" s="3347"/>
      <c r="DZ956" s="3347"/>
      <c r="EA956" s="3347"/>
      <c r="EB956" s="3347"/>
      <c r="EC956" s="3347"/>
      <c r="ED956" s="3347"/>
      <c r="EE956" s="3347"/>
      <c r="EF956" s="3347"/>
      <c r="EG956" s="3347"/>
      <c r="EH956" s="3347"/>
      <c r="EI956" s="3347"/>
      <c r="EJ956" s="3347"/>
      <c r="EK956" s="3347"/>
      <c r="EL956" s="3347"/>
      <c r="EM956" s="3347"/>
      <c r="EN956" s="3347"/>
      <c r="EO956" s="3347"/>
      <c r="EP956" s="3347"/>
      <c r="EQ956" s="3347"/>
      <c r="ER956" s="3347"/>
      <c r="ES956" s="3347"/>
      <c r="ET956" s="3347"/>
      <c r="EU956" s="3347"/>
      <c r="EV956" s="3347"/>
      <c r="EW956" s="3347"/>
      <c r="EX956" s="3347"/>
      <c r="EY956" s="3347"/>
      <c r="EZ956" s="3347"/>
      <c r="FA956" s="3347"/>
      <c r="FB956" s="3347"/>
      <c r="FC956" s="3347"/>
      <c r="FD956" s="3347"/>
      <c r="FE956" s="3347"/>
      <c r="FF956" s="3347"/>
      <c r="FG956" s="3347"/>
      <c r="FH956" s="3347"/>
      <c r="FI956" s="3347"/>
      <c r="FJ956" s="3347"/>
      <c r="FK956" s="3347"/>
      <c r="FL956" s="3347"/>
      <c r="FM956" s="3347"/>
      <c r="FN956" s="3347"/>
      <c r="FO956" s="3347"/>
      <c r="FP956" s="3347"/>
      <c r="FQ956" s="3347"/>
      <c r="FR956" s="3347"/>
      <c r="FS956" s="3347"/>
      <c r="FT956" s="3347"/>
      <c r="FU956" s="3347"/>
      <c r="FV956" s="3347"/>
      <c r="FW956" s="3347"/>
      <c r="FX956" s="3347"/>
      <c r="FY956" s="3347"/>
      <c r="FZ956" s="3347"/>
      <c r="GA956" s="3347"/>
      <c r="GB956" s="3347"/>
      <c r="GC956" s="3347"/>
      <c r="GD956" s="3347"/>
      <c r="GE956" s="3347"/>
      <c r="GF956" s="3347"/>
      <c r="GG956" s="3347"/>
      <c r="GH956" s="3347"/>
      <c r="GI956" s="3347"/>
      <c r="GJ956" s="3347"/>
      <c r="GK956" s="3347"/>
      <c r="GL956" s="3347"/>
      <c r="GM956" s="3347"/>
      <c r="GN956" s="3347"/>
      <c r="GO956" s="3347"/>
      <c r="GP956" s="3347"/>
      <c r="GQ956" s="3347"/>
      <c r="GR956" s="3347"/>
      <c r="GS956" s="3347"/>
      <c r="GT956" s="3347"/>
      <c r="GU956" s="3347"/>
      <c r="GV956" s="3347"/>
      <c r="GW956" s="3347"/>
      <c r="GX956" s="3347"/>
      <c r="GY956" s="3347"/>
      <c r="GZ956" s="3347"/>
      <c r="HA956" s="3347"/>
      <c r="HB956" s="3347"/>
      <c r="HC956" s="3347"/>
      <c r="HD956" s="3347"/>
      <c r="HE956" s="3347"/>
      <c r="HF956" s="3347"/>
      <c r="HG956" s="3347"/>
      <c r="HH956" s="3347"/>
      <c r="HI956" s="3347"/>
      <c r="HJ956" s="3347"/>
      <c r="HK956" s="3347"/>
      <c r="HL956" s="3347"/>
      <c r="HM956" s="3347"/>
      <c r="HN956" s="3347"/>
      <c r="HO956" s="3347"/>
      <c r="HP956" s="3347"/>
      <c r="HQ956" s="3347"/>
      <c r="HR956" s="3347"/>
      <c r="HS956" s="3347"/>
      <c r="HT956" s="3347"/>
      <c r="HU956" s="3347"/>
      <c r="HV956" s="3347"/>
      <c r="HW956" s="3347"/>
      <c r="HX956" s="3347"/>
      <c r="HY956" s="3347"/>
      <c r="HZ956" s="3347"/>
      <c r="IA956" s="3347"/>
      <c r="IB956" s="3347"/>
      <c r="IC956" s="3347"/>
      <c r="ID956" s="3347"/>
      <c r="IE956" s="3347"/>
      <c r="IF956" s="3347"/>
      <c r="IG956" s="3347"/>
      <c r="IH956" s="3347"/>
      <c r="II956" s="3347"/>
    </row>
    <row r="957" spans="1:245" hidden="1">
      <c r="A957" s="3267" t="s">
        <v>9662</v>
      </c>
      <c r="B957" s="3267" t="s">
        <v>9663</v>
      </c>
      <c r="C957" s="3269" t="s">
        <v>9664</v>
      </c>
      <c r="D957" s="3269" t="s">
        <v>9665</v>
      </c>
      <c r="E957" s="3268" t="s">
        <v>2985</v>
      </c>
      <c r="F957" s="3268" t="s">
        <v>7099</v>
      </c>
      <c r="G957" s="3267" t="s">
        <v>3262</v>
      </c>
      <c r="H957" s="3268" t="s">
        <v>3130</v>
      </c>
      <c r="I957" s="3268" t="s">
        <v>2968</v>
      </c>
      <c r="J957" s="3267" t="s">
        <v>9666</v>
      </c>
      <c r="K957" s="3267" t="s">
        <v>9667</v>
      </c>
      <c r="L957" s="3267" t="s">
        <v>9668</v>
      </c>
      <c r="M957" s="3267" t="s">
        <v>7435</v>
      </c>
      <c r="N957" s="3267" t="s">
        <v>3122</v>
      </c>
      <c r="O957" s="3267" t="s">
        <v>3262</v>
      </c>
      <c r="P957" s="3267" t="s">
        <v>2963</v>
      </c>
      <c r="Q957" s="3271" t="s">
        <v>9669</v>
      </c>
      <c r="R957" s="3267" t="s">
        <v>9670</v>
      </c>
      <c r="S957" s="3272" t="s">
        <v>9671</v>
      </c>
      <c r="T957" s="3273">
        <v>389799.99999999994</v>
      </c>
      <c r="U957" s="3267" t="s">
        <v>9672</v>
      </c>
      <c r="V957" s="3289" t="s">
        <v>6079</v>
      </c>
      <c r="W957" s="3272" t="s">
        <v>9673</v>
      </c>
      <c r="X957" s="3273">
        <v>311800</v>
      </c>
      <c r="Y957" s="3276" t="s">
        <v>4007</v>
      </c>
      <c r="Z957" s="3276" t="s">
        <v>4029</v>
      </c>
      <c r="AA957" s="3276">
        <v>27</v>
      </c>
      <c r="AB957" s="3267" t="s">
        <v>9674</v>
      </c>
      <c r="AC957" s="3267" t="s">
        <v>2980</v>
      </c>
      <c r="AD957" s="3280" t="s">
        <v>9675</v>
      </c>
      <c r="AE957" s="3268" t="s">
        <v>2979</v>
      </c>
      <c r="AF957" s="3268" t="s">
        <v>2966</v>
      </c>
      <c r="AG957" s="3279" t="s">
        <v>2967</v>
      </c>
      <c r="AH957" s="3267" t="s">
        <v>2968</v>
      </c>
      <c r="AI957" s="3267" t="s">
        <v>2992</v>
      </c>
      <c r="AJ957" s="3284" t="s">
        <v>3262</v>
      </c>
      <c r="AK957" s="3278" t="s">
        <v>3120</v>
      </c>
      <c r="AL957" s="3276" t="s">
        <v>9676</v>
      </c>
      <c r="AM957" s="3267" t="s">
        <v>9677</v>
      </c>
      <c r="AN957" s="3279" t="s">
        <v>2994</v>
      </c>
      <c r="AO957" s="3267" t="s">
        <v>2968</v>
      </c>
      <c r="AP957" s="3279" t="s">
        <v>2979</v>
      </c>
      <c r="AQ957" s="3276" t="s">
        <v>3113</v>
      </c>
      <c r="AR957" s="3276">
        <v>2006</v>
      </c>
      <c r="AS957" s="3276">
        <v>12</v>
      </c>
      <c r="AT957" s="3276">
        <v>27</v>
      </c>
      <c r="AU957" s="3276" t="s">
        <v>3262</v>
      </c>
      <c r="AV957" s="3276" t="s">
        <v>2968</v>
      </c>
      <c r="AW957" s="3276" t="s">
        <v>3171</v>
      </c>
      <c r="AX957" s="3276" t="s">
        <v>3262</v>
      </c>
      <c r="AY957" s="3291" t="s">
        <v>3262</v>
      </c>
      <c r="AZ957" s="3267" t="s">
        <v>9667</v>
      </c>
      <c r="BA957" s="3296" t="s">
        <v>3262</v>
      </c>
      <c r="BB957" s="3297" t="s">
        <v>3262</v>
      </c>
      <c r="BC957" s="3296" t="s">
        <v>3262</v>
      </c>
      <c r="BD957" s="3298" t="s">
        <v>3262</v>
      </c>
      <c r="BE957" s="3276" t="s">
        <v>3262</v>
      </c>
      <c r="BF957" s="3281" t="s">
        <v>3262</v>
      </c>
      <c r="BG957" s="3293" t="s">
        <v>9678</v>
      </c>
      <c r="BH957" s="3267" t="s">
        <v>3262</v>
      </c>
      <c r="BI957" s="3314" t="s">
        <v>2979</v>
      </c>
      <c r="BJ957" s="3283" t="s">
        <v>9679</v>
      </c>
      <c r="BK957" s="3283" t="s">
        <v>3262</v>
      </c>
      <c r="BL957" s="3267" t="s">
        <v>2998</v>
      </c>
      <c r="BM957" s="3276" t="s">
        <v>2879</v>
      </c>
      <c r="BN957" s="3276" t="s">
        <v>2999</v>
      </c>
      <c r="BO957" s="3276" t="s">
        <v>3146</v>
      </c>
      <c r="BP957" s="3276" t="s">
        <v>3262</v>
      </c>
      <c r="BQ957" s="3276" t="s">
        <v>4010</v>
      </c>
      <c r="BR957" s="3276" t="s">
        <v>4010</v>
      </c>
      <c r="BS957" s="3285"/>
      <c r="BT957" s="3285"/>
      <c r="BU957" s="3285"/>
      <c r="BV957" s="3262"/>
      <c r="BW957" s="3262"/>
      <c r="BX957" s="3262"/>
      <c r="BY957" s="3262"/>
      <c r="BZ957" s="3262"/>
      <c r="CA957" s="3262"/>
      <c r="CB957" s="3262"/>
      <c r="CC957" s="3262"/>
      <c r="CD957" s="3262"/>
      <c r="CE957" s="3262"/>
      <c r="CF957" s="3262"/>
      <c r="CG957" s="3262"/>
      <c r="CH957" s="3262"/>
      <c r="CI957" s="3262"/>
      <c r="CJ957" s="3262"/>
      <c r="CK957" s="3262"/>
      <c r="CL957" s="3262"/>
      <c r="CM957" s="3262"/>
      <c r="CN957" s="3262"/>
      <c r="CO957" s="3262"/>
      <c r="CP957" s="3262"/>
      <c r="CQ957" s="3262"/>
      <c r="CR957" s="3262"/>
      <c r="CS957" s="3262"/>
      <c r="CT957" s="3262"/>
      <c r="CU957" s="3262"/>
      <c r="CV957" s="3262"/>
      <c r="CW957" s="3262"/>
      <c r="CX957" s="3262"/>
      <c r="CY957" s="3262"/>
      <c r="CZ957" s="3262"/>
      <c r="DA957" s="3262"/>
      <c r="DB957" s="3262"/>
      <c r="DC957" s="3262"/>
      <c r="DD957" s="3262"/>
      <c r="DE957" s="3262"/>
      <c r="DF957" s="3262"/>
      <c r="DG957" s="3262"/>
      <c r="DH957" s="3262"/>
      <c r="DI957" s="3262"/>
      <c r="DJ957" s="3262"/>
      <c r="DK957" s="3262"/>
      <c r="DL957" s="3262"/>
      <c r="DM957" s="3262"/>
      <c r="DN957" s="3262"/>
      <c r="DO957" s="3262"/>
      <c r="DP957" s="3262"/>
      <c r="DQ957" s="3262"/>
      <c r="DR957" s="3262"/>
      <c r="DS957" s="3262"/>
      <c r="DT957" s="3262"/>
      <c r="DU957" s="3262"/>
      <c r="DV957" s="3262"/>
      <c r="DW957" s="3262"/>
      <c r="DX957" s="3262"/>
      <c r="DY957" s="3262"/>
      <c r="DZ957" s="3262"/>
      <c r="EA957" s="3262"/>
      <c r="EB957" s="3262"/>
      <c r="EC957" s="3262"/>
      <c r="ED957" s="3262"/>
      <c r="EE957" s="3262"/>
      <c r="EF957" s="3262"/>
      <c r="EG957" s="3262"/>
      <c r="EH957" s="3262"/>
      <c r="EI957" s="3262"/>
      <c r="EJ957" s="3262"/>
      <c r="EK957" s="3262"/>
      <c r="EL957" s="3262"/>
      <c r="EM957" s="3262"/>
      <c r="EN957" s="3262"/>
      <c r="EO957" s="3262"/>
      <c r="EP957" s="3262"/>
      <c r="EQ957" s="3262"/>
      <c r="ER957" s="3262"/>
      <c r="ES957" s="3262"/>
      <c r="ET957" s="3262"/>
      <c r="EU957" s="3262"/>
      <c r="EV957" s="3262"/>
      <c r="EW957" s="3262"/>
      <c r="EX957" s="3262"/>
      <c r="EY957" s="3262"/>
      <c r="EZ957" s="3262"/>
      <c r="FA957" s="3262"/>
      <c r="FB957" s="3262"/>
      <c r="FC957" s="3262"/>
      <c r="FD957" s="3262"/>
      <c r="FE957" s="3262"/>
      <c r="FF957" s="3262"/>
      <c r="FG957" s="3262"/>
      <c r="FH957" s="3262"/>
      <c r="FI957" s="3262"/>
      <c r="FJ957" s="3262"/>
      <c r="FK957" s="3262"/>
      <c r="FL957" s="3262"/>
      <c r="FM957" s="3262"/>
      <c r="FN957" s="3262"/>
      <c r="FO957" s="3262"/>
      <c r="FP957" s="3262"/>
      <c r="FQ957" s="3262"/>
      <c r="FR957" s="3262"/>
      <c r="FS957" s="3262"/>
      <c r="FT957" s="3262"/>
      <c r="FU957" s="3262"/>
      <c r="FV957" s="3262"/>
      <c r="FW957" s="3262"/>
      <c r="FX957" s="3262"/>
      <c r="FY957" s="3262"/>
      <c r="FZ957" s="3262"/>
      <c r="GA957" s="3262"/>
      <c r="GB957" s="3262"/>
      <c r="GC957" s="3262"/>
      <c r="GD957" s="3262"/>
      <c r="GE957" s="3262"/>
      <c r="GF957" s="3262"/>
      <c r="GG957" s="3262"/>
      <c r="GH957" s="3262"/>
      <c r="GI957" s="3262"/>
      <c r="GJ957" s="3262"/>
      <c r="GK957" s="3262"/>
      <c r="GL957" s="3262"/>
      <c r="GM957" s="3262"/>
      <c r="GN957" s="3262"/>
      <c r="GO957" s="3262"/>
      <c r="GP957" s="3262"/>
      <c r="GQ957" s="3262"/>
      <c r="GR957" s="3262"/>
      <c r="GS957" s="3262"/>
      <c r="GT957" s="3262"/>
      <c r="GU957" s="3262"/>
      <c r="GV957" s="3262"/>
      <c r="GW957" s="3262"/>
      <c r="GX957" s="3262"/>
      <c r="GY957" s="3262"/>
      <c r="GZ957" s="3262"/>
      <c r="HA957" s="3262"/>
      <c r="HB957" s="3262"/>
      <c r="HC957" s="3262"/>
      <c r="HD957" s="3262"/>
      <c r="HE957" s="3262"/>
      <c r="HF957" s="3262"/>
      <c r="HG957" s="3262"/>
      <c r="HH957" s="3262"/>
      <c r="HI957" s="3262"/>
      <c r="HJ957" s="3262"/>
      <c r="HK957" s="3262"/>
      <c r="HL957" s="3262"/>
      <c r="HM957" s="3262"/>
      <c r="HN957" s="3262"/>
      <c r="HO957" s="3262"/>
      <c r="HP957" s="3262"/>
      <c r="HQ957" s="3262"/>
      <c r="HR957" s="3262"/>
      <c r="HS957" s="3262"/>
      <c r="HT957" s="3262"/>
      <c r="HU957" s="3262"/>
      <c r="HV957" s="3262"/>
      <c r="HW957" s="3262"/>
      <c r="HX957" s="3262"/>
      <c r="HY957" s="3262"/>
      <c r="HZ957" s="3262"/>
      <c r="IA957" s="3262"/>
      <c r="IB957" s="3262"/>
      <c r="IC957" s="3262"/>
      <c r="ID957" s="3262"/>
      <c r="IE957" s="3262"/>
      <c r="IF957" s="3262"/>
      <c r="IG957" s="3262"/>
      <c r="IH957" s="3262"/>
      <c r="II957" s="3262"/>
    </row>
    <row r="958" spans="1:245" ht="14.25" hidden="1">
      <c r="A958" s="3267" t="s">
        <v>9680</v>
      </c>
      <c r="B958" s="3267" t="s">
        <v>9681</v>
      </c>
      <c r="C958" s="3269" t="s">
        <v>9682</v>
      </c>
      <c r="D958" s="3268">
        <v>13810528641</v>
      </c>
      <c r="E958" s="3267" t="s">
        <v>2985</v>
      </c>
      <c r="F958" s="3267" t="s">
        <v>6280</v>
      </c>
      <c r="G958" s="3267"/>
      <c r="H958" s="3270" t="s">
        <v>3194</v>
      </c>
      <c r="I958" s="3268"/>
      <c r="J958" s="3270" t="s">
        <v>9683</v>
      </c>
      <c r="K958" s="3267" t="s">
        <v>9684</v>
      </c>
      <c r="L958" s="3286">
        <v>79.150000000000006</v>
      </c>
      <c r="M958" s="3270">
        <v>6</v>
      </c>
      <c r="N958" s="3267" t="s">
        <v>3125</v>
      </c>
      <c r="O958" s="3267"/>
      <c r="P958" s="3267" t="s">
        <v>2963</v>
      </c>
      <c r="Q958" s="3287">
        <v>540000</v>
      </c>
      <c r="R958" s="3267">
        <v>6822</v>
      </c>
      <c r="S958" s="3272">
        <v>47.21</v>
      </c>
      <c r="T958" s="3273">
        <v>472100</v>
      </c>
      <c r="U958" s="3287">
        <v>5965</v>
      </c>
      <c r="V958" s="3289">
        <v>0.2</v>
      </c>
      <c r="W958" s="3272">
        <v>37.76</v>
      </c>
      <c r="X958" s="3275">
        <v>377600</v>
      </c>
      <c r="Y958" s="3276">
        <v>2006</v>
      </c>
      <c r="Z958" s="3276">
        <v>12</v>
      </c>
      <c r="AA958" s="3276">
        <v>19</v>
      </c>
      <c r="AB958" s="3267">
        <v>1415</v>
      </c>
      <c r="AC958" s="3267" t="s">
        <v>2980</v>
      </c>
      <c r="AD958" s="3269" t="s">
        <v>9685</v>
      </c>
      <c r="AE958" s="3276" t="s">
        <v>3304</v>
      </c>
      <c r="AF958" s="3267" t="s">
        <v>2966</v>
      </c>
      <c r="AG958" s="3279" t="s">
        <v>2967</v>
      </c>
      <c r="AH958" s="3267"/>
      <c r="AI958" s="3267" t="s">
        <v>3115</v>
      </c>
      <c r="AJ958" s="3270"/>
      <c r="AK958" s="3278" t="s">
        <v>3120</v>
      </c>
      <c r="AL958" s="3267">
        <v>40</v>
      </c>
      <c r="AM958" s="3267"/>
      <c r="AN958" s="3279" t="s">
        <v>2994</v>
      </c>
      <c r="AO958" s="3267"/>
      <c r="AP958" s="3279" t="s">
        <v>3537</v>
      </c>
      <c r="AQ958" s="3276" t="s">
        <v>2996</v>
      </c>
      <c r="AR958" s="3267"/>
      <c r="AS958" s="3267"/>
      <c r="AT958" s="3267"/>
      <c r="AU958" s="3267"/>
      <c r="AV958" s="3267"/>
      <c r="AW958" s="3276" t="s">
        <v>3119</v>
      </c>
      <c r="AX958" s="3267"/>
      <c r="AY958" s="3279"/>
      <c r="AZ958" s="3267" t="s">
        <v>9684</v>
      </c>
      <c r="BA958" s="3267"/>
      <c r="BB958" s="3267"/>
      <c r="BC958" s="3267"/>
      <c r="BD958" s="3267"/>
      <c r="BE958" s="3267">
        <v>13699299618</v>
      </c>
      <c r="BF958" s="3267"/>
      <c r="BG958" s="3293">
        <v>39059</v>
      </c>
      <c r="BH958" s="3267"/>
      <c r="BI958" s="3314" t="s">
        <v>3537</v>
      </c>
      <c r="BJ958" s="3284">
        <v>39065</v>
      </c>
      <c r="BK958" s="3284"/>
      <c r="BL958" s="3267" t="s">
        <v>2998</v>
      </c>
      <c r="BM958" s="3267" t="s">
        <v>2879</v>
      </c>
      <c r="BN958" s="3267" t="s">
        <v>2999</v>
      </c>
      <c r="BO958" s="3267" t="s">
        <v>3000</v>
      </c>
      <c r="BP958" s="3267"/>
      <c r="BQ958" s="3276" t="e">
        <v>#DIV/0!</v>
      </c>
      <c r="BR958" s="3276" t="e">
        <v>#DIV/0!</v>
      </c>
      <c r="BS958" s="3285"/>
      <c r="BT958" s="3285"/>
      <c r="BU958" s="3285"/>
      <c r="BV958" s="3341"/>
      <c r="BW958" s="3341"/>
      <c r="BX958" s="3341"/>
      <c r="BY958" s="3341"/>
      <c r="BZ958" s="3341"/>
      <c r="CA958" s="3341"/>
      <c r="CB958" s="3341"/>
      <c r="CC958" s="3341"/>
      <c r="CD958" s="3341"/>
      <c r="CE958" s="3341"/>
      <c r="CF958" s="3341"/>
      <c r="CG958" s="3341"/>
      <c r="CH958" s="3341"/>
      <c r="CI958" s="3341"/>
      <c r="CJ958" s="3341"/>
      <c r="CK958" s="3341"/>
      <c r="CL958" s="3341"/>
      <c r="CM958" s="3341"/>
      <c r="CN958" s="3341"/>
      <c r="CO958" s="3341"/>
      <c r="CP958" s="3341"/>
      <c r="CQ958" s="3341"/>
      <c r="CR958" s="3341"/>
      <c r="CS958" s="3341"/>
      <c r="CT958" s="3341"/>
      <c r="CU958" s="3341"/>
      <c r="CV958" s="3341"/>
      <c r="CW958" s="3341"/>
      <c r="CX958" s="3341"/>
      <c r="CY958" s="3341"/>
      <c r="CZ958" s="3341"/>
      <c r="DA958" s="3341"/>
      <c r="DB958" s="3341"/>
      <c r="DC958" s="3341"/>
      <c r="DD958" s="3341"/>
      <c r="DE958" s="3341"/>
      <c r="DF958" s="3341"/>
      <c r="DG958" s="3341"/>
      <c r="DH958" s="3341"/>
      <c r="DI958" s="3341"/>
      <c r="DJ958" s="3341"/>
      <c r="DK958" s="3341"/>
      <c r="DL958" s="3341"/>
      <c r="DM958" s="3341"/>
      <c r="DN958" s="3341"/>
      <c r="DO958" s="3341"/>
      <c r="DP958" s="3341"/>
      <c r="DQ958" s="3341"/>
      <c r="DR958" s="3341"/>
      <c r="DS958" s="3341"/>
      <c r="DT958" s="3341"/>
      <c r="DU958" s="3341"/>
      <c r="DV958" s="3341"/>
      <c r="DW958" s="3341"/>
      <c r="DX958" s="3341"/>
      <c r="DY958" s="3341"/>
      <c r="DZ958" s="3341"/>
      <c r="EA958" s="3341"/>
      <c r="EB958" s="3341"/>
      <c r="EC958" s="3341"/>
      <c r="ED958" s="3341"/>
      <c r="EE958" s="3341"/>
      <c r="EF958" s="3341"/>
      <c r="EG958" s="3341"/>
      <c r="EH958" s="3341"/>
      <c r="EI958" s="3341"/>
      <c r="EJ958" s="3341"/>
      <c r="EK958" s="3341"/>
      <c r="EL958" s="3341"/>
      <c r="EM958" s="3341"/>
      <c r="EN958" s="3341"/>
      <c r="EO958" s="3341"/>
      <c r="EP958" s="3341"/>
      <c r="EQ958" s="3341"/>
      <c r="ER958" s="3341"/>
      <c r="ES958" s="3341"/>
      <c r="ET958" s="3341"/>
      <c r="EU958" s="3341"/>
      <c r="EV958" s="3341"/>
      <c r="EW958" s="3341"/>
      <c r="EX958" s="3341"/>
      <c r="EY958" s="3341"/>
      <c r="EZ958" s="3341"/>
      <c r="FA958" s="3341"/>
      <c r="FB958" s="3341"/>
      <c r="FC958" s="3341"/>
      <c r="FD958" s="3341"/>
      <c r="FE958" s="3341"/>
      <c r="FF958" s="3341"/>
      <c r="FG958" s="3341"/>
      <c r="FH958" s="3341"/>
      <c r="FI958" s="3341"/>
      <c r="FJ958" s="3341"/>
      <c r="FK958" s="3341"/>
      <c r="FL958" s="3341"/>
      <c r="FM958" s="3341"/>
      <c r="FN958" s="3341"/>
      <c r="FO958" s="3341"/>
      <c r="FP958" s="3341"/>
      <c r="FQ958" s="3341"/>
      <c r="FR958" s="3341"/>
      <c r="FS958" s="3341"/>
      <c r="FT958" s="3341"/>
      <c r="FU958" s="3341"/>
      <c r="FV958" s="3341"/>
      <c r="FW958" s="3341"/>
      <c r="FX958" s="3341"/>
      <c r="FY958" s="3341"/>
      <c r="FZ958" s="3341"/>
      <c r="GA958" s="3341"/>
      <c r="GB958" s="3341"/>
      <c r="GC958" s="3341"/>
      <c r="GD958" s="3341"/>
      <c r="GE958" s="3341"/>
      <c r="GF958" s="3341"/>
      <c r="GG958" s="3341"/>
      <c r="GH958" s="3341"/>
      <c r="GI958" s="3341"/>
      <c r="GJ958" s="3341"/>
      <c r="GK958" s="3341"/>
      <c r="GL958" s="3341"/>
      <c r="GM958" s="3341"/>
      <c r="GN958" s="3341"/>
      <c r="GO958" s="3341"/>
      <c r="GP958" s="3341"/>
      <c r="GQ958" s="3341"/>
      <c r="GR958" s="3341"/>
      <c r="GS958" s="3341"/>
      <c r="GT958" s="3341"/>
      <c r="GU958" s="3341"/>
      <c r="GV958" s="3341"/>
      <c r="GW958" s="3341"/>
      <c r="GX958" s="3341"/>
      <c r="GY958" s="3341"/>
      <c r="GZ958" s="3341"/>
      <c r="HA958" s="3341"/>
      <c r="HB958" s="3341"/>
      <c r="HC958" s="3341"/>
      <c r="HD958" s="3341"/>
      <c r="HE958" s="3341"/>
      <c r="HF958" s="3341"/>
      <c r="HG958" s="3341"/>
      <c r="HH958" s="3341"/>
      <c r="HI958" s="3341"/>
      <c r="HJ958" s="3341"/>
      <c r="HK958" s="3341"/>
      <c r="HL958" s="3341"/>
      <c r="HM958" s="3341"/>
      <c r="HN958" s="3341"/>
      <c r="HO958" s="3341"/>
      <c r="HP958" s="3341"/>
      <c r="HQ958" s="3341"/>
      <c r="HR958" s="3341"/>
      <c r="HS958" s="3341"/>
      <c r="HT958" s="3341"/>
      <c r="HU958" s="3341"/>
      <c r="HV958" s="3341"/>
      <c r="HW958" s="3341"/>
      <c r="HX958" s="3341"/>
      <c r="HY958" s="3341"/>
      <c r="HZ958" s="3341"/>
      <c r="IA958" s="3341"/>
      <c r="IB958" s="3341"/>
      <c r="IC958" s="3341"/>
      <c r="ID958" s="3341"/>
      <c r="IE958" s="3341"/>
      <c r="IF958" s="3341"/>
      <c r="IG958" s="3341"/>
      <c r="IH958" s="3341"/>
      <c r="II958" s="3341"/>
    </row>
    <row r="959" spans="1:245" hidden="1">
      <c r="A959" s="3267" t="s">
        <v>9686</v>
      </c>
      <c r="B959" s="3267" t="s">
        <v>9687</v>
      </c>
      <c r="C959" s="3269" t="s">
        <v>9688</v>
      </c>
      <c r="D959" s="3267" t="s">
        <v>9689</v>
      </c>
      <c r="E959" s="3267" t="s">
        <v>2985</v>
      </c>
      <c r="F959" s="3267" t="s">
        <v>9690</v>
      </c>
      <c r="G959" s="3267"/>
      <c r="H959" s="3270" t="s">
        <v>3225</v>
      </c>
      <c r="I959" s="3267"/>
      <c r="J959" s="3267" t="s">
        <v>8644</v>
      </c>
      <c r="K959" s="3268" t="s">
        <v>9691</v>
      </c>
      <c r="L959" s="3267">
        <v>102.48</v>
      </c>
      <c r="M959" s="3267">
        <v>20</v>
      </c>
      <c r="N959" s="3267" t="s">
        <v>3122</v>
      </c>
      <c r="O959" s="3267"/>
      <c r="P959" s="3267" t="s">
        <v>2963</v>
      </c>
      <c r="Q959" s="3267">
        <v>690000</v>
      </c>
      <c r="R959" s="3267">
        <v>6733</v>
      </c>
      <c r="S959" s="3272">
        <v>64.88</v>
      </c>
      <c r="T959" s="3273">
        <v>648800</v>
      </c>
      <c r="U959" s="3267">
        <v>6331</v>
      </c>
      <c r="V959" s="3274">
        <v>0.3</v>
      </c>
      <c r="W959" s="3272">
        <v>45.41</v>
      </c>
      <c r="X959" s="3275">
        <v>454099.99999999994</v>
      </c>
      <c r="Y959" s="3276">
        <v>2006</v>
      </c>
      <c r="Z959" s="3276">
        <v>12</v>
      </c>
      <c r="AA959" s="3276">
        <v>31</v>
      </c>
      <c r="AB959" s="3267">
        <v>1500</v>
      </c>
      <c r="AC959" s="3267" t="s">
        <v>2980</v>
      </c>
      <c r="AD959" s="3269" t="s">
        <v>9692</v>
      </c>
      <c r="AE959" s="3267" t="s">
        <v>3069</v>
      </c>
      <c r="AF959" s="3267" t="s">
        <v>2966</v>
      </c>
      <c r="AG959" s="3267" t="s">
        <v>2967</v>
      </c>
      <c r="AH959" s="3267"/>
      <c r="AI959" s="3267" t="s">
        <v>2992</v>
      </c>
      <c r="AJ959" s="3284"/>
      <c r="AK959" s="3278" t="s">
        <v>3120</v>
      </c>
      <c r="AL959" s="3267">
        <v>58</v>
      </c>
      <c r="AM959" s="3267"/>
      <c r="AN959" s="3279" t="s">
        <v>3099</v>
      </c>
      <c r="AO959" s="3267"/>
      <c r="AP959" s="3279" t="s">
        <v>3537</v>
      </c>
      <c r="AQ959" s="3267" t="s">
        <v>3113</v>
      </c>
      <c r="AR959" s="3267"/>
      <c r="AS959" s="3267"/>
      <c r="AT959" s="3267"/>
      <c r="AU959" s="3267"/>
      <c r="AV959" s="3267"/>
      <c r="AW959" s="3267" t="s">
        <v>3112</v>
      </c>
      <c r="AX959" s="3267"/>
      <c r="AY959" s="3269"/>
      <c r="AZ959" s="3268" t="s">
        <v>9691</v>
      </c>
      <c r="BA959" s="3267"/>
      <c r="BB959" s="3267"/>
      <c r="BC959" s="3267"/>
      <c r="BD959" s="3267"/>
      <c r="BE959" s="3267"/>
      <c r="BF959" s="3267"/>
      <c r="BG959" s="3284">
        <v>39065</v>
      </c>
      <c r="BH959" s="3267"/>
      <c r="BI959" s="3314" t="s">
        <v>3537</v>
      </c>
      <c r="BJ959" s="3284">
        <v>39065</v>
      </c>
      <c r="BK959" s="3283"/>
      <c r="BL959" s="3267" t="s">
        <v>2998</v>
      </c>
      <c r="BM959" s="3267" t="s">
        <v>2879</v>
      </c>
      <c r="BN959" s="3267" t="s">
        <v>2999</v>
      </c>
      <c r="BO959" s="3267" t="s">
        <v>3000</v>
      </c>
      <c r="BP959" s="3267"/>
      <c r="BQ959" s="3276" t="e">
        <v>#DIV/0!</v>
      </c>
      <c r="BR959" s="3276" t="e">
        <v>#DIV/0!</v>
      </c>
      <c r="BS959" s="3285"/>
      <c r="BT959" s="3285"/>
      <c r="BU959" s="3285"/>
      <c r="BV959" s="3347"/>
      <c r="BW959" s="3347"/>
      <c r="BX959" s="3347"/>
      <c r="BY959" s="3347"/>
      <c r="BZ959" s="3347"/>
      <c r="CA959" s="3347"/>
      <c r="CB959" s="3347"/>
      <c r="CC959" s="3347"/>
      <c r="CD959" s="3347"/>
      <c r="CE959" s="3347"/>
      <c r="CF959" s="3347"/>
      <c r="CG959" s="3347"/>
      <c r="CH959" s="3347"/>
      <c r="CI959" s="3347"/>
      <c r="CJ959" s="3347"/>
      <c r="CK959" s="3347"/>
      <c r="CL959" s="3347"/>
      <c r="CM959" s="3347"/>
      <c r="CN959" s="3347"/>
      <c r="CO959" s="3347"/>
      <c r="CP959" s="3347"/>
      <c r="CQ959" s="3347"/>
      <c r="CR959" s="3347"/>
      <c r="CS959" s="3347"/>
      <c r="CT959" s="3347"/>
      <c r="CU959" s="3347"/>
      <c r="CV959" s="3347"/>
      <c r="CW959" s="3347"/>
      <c r="CX959" s="3347"/>
      <c r="CY959" s="3347"/>
      <c r="CZ959" s="3347"/>
      <c r="DA959" s="3347"/>
      <c r="DB959" s="3347"/>
      <c r="DC959" s="3347"/>
      <c r="DD959" s="3347"/>
      <c r="DE959" s="3347"/>
      <c r="DF959" s="3347"/>
      <c r="DG959" s="3347"/>
      <c r="DH959" s="3347"/>
      <c r="DI959" s="3347"/>
      <c r="DJ959" s="3347"/>
      <c r="DK959" s="3347"/>
      <c r="DL959" s="3347"/>
      <c r="DM959" s="3347"/>
      <c r="DN959" s="3347"/>
      <c r="DO959" s="3347"/>
      <c r="DP959" s="3347"/>
      <c r="DQ959" s="3347"/>
      <c r="DR959" s="3347"/>
      <c r="DS959" s="3347"/>
      <c r="DT959" s="3347"/>
      <c r="DU959" s="3347"/>
      <c r="DV959" s="3347"/>
      <c r="DW959" s="3347"/>
      <c r="DX959" s="3347"/>
      <c r="DY959" s="3347"/>
      <c r="DZ959" s="3347"/>
      <c r="EA959" s="3347"/>
      <c r="EB959" s="3347"/>
      <c r="EC959" s="3347"/>
      <c r="ED959" s="3347"/>
      <c r="EE959" s="3347"/>
      <c r="EF959" s="3347"/>
      <c r="EG959" s="3347"/>
      <c r="EH959" s="3347"/>
      <c r="EI959" s="3347"/>
      <c r="EJ959" s="3347"/>
      <c r="EK959" s="3347"/>
      <c r="EL959" s="3347"/>
      <c r="EM959" s="3347"/>
      <c r="EN959" s="3347"/>
      <c r="EO959" s="3347"/>
      <c r="EP959" s="3347"/>
      <c r="EQ959" s="3347"/>
      <c r="ER959" s="3347"/>
      <c r="ES959" s="3347"/>
      <c r="ET959" s="3347"/>
      <c r="EU959" s="3347"/>
      <c r="EV959" s="3347"/>
      <c r="EW959" s="3347"/>
      <c r="EX959" s="3347"/>
      <c r="EY959" s="3347"/>
      <c r="EZ959" s="3347"/>
      <c r="FA959" s="3347"/>
      <c r="FB959" s="3347"/>
      <c r="FC959" s="3347"/>
      <c r="FD959" s="3347"/>
      <c r="FE959" s="3347"/>
      <c r="FF959" s="3347"/>
      <c r="FG959" s="3347"/>
      <c r="FH959" s="3347"/>
      <c r="FI959" s="3347"/>
      <c r="FJ959" s="3347"/>
      <c r="FK959" s="3347"/>
      <c r="FL959" s="3347"/>
      <c r="FM959" s="3347"/>
      <c r="FN959" s="3347"/>
      <c r="FO959" s="3347"/>
      <c r="FP959" s="3347"/>
      <c r="FQ959" s="3347"/>
      <c r="FR959" s="3347"/>
      <c r="FS959" s="3347"/>
      <c r="FT959" s="3347"/>
      <c r="FU959" s="3347"/>
      <c r="FV959" s="3347"/>
      <c r="FW959" s="3347"/>
      <c r="FX959" s="3347"/>
      <c r="FY959" s="3347"/>
      <c r="FZ959" s="3347"/>
      <c r="GA959" s="3347"/>
      <c r="GB959" s="3347"/>
      <c r="GC959" s="3347"/>
      <c r="GD959" s="3347"/>
      <c r="GE959" s="3347"/>
      <c r="GF959" s="3347"/>
      <c r="GG959" s="3347"/>
      <c r="GH959" s="3347"/>
      <c r="GI959" s="3347"/>
      <c r="GJ959" s="3347"/>
      <c r="GK959" s="3347"/>
      <c r="GL959" s="3347"/>
      <c r="GM959" s="3347"/>
      <c r="GN959" s="3347"/>
      <c r="GO959" s="3347"/>
      <c r="GP959" s="3347"/>
      <c r="GQ959" s="3347"/>
      <c r="GR959" s="3347"/>
      <c r="GS959" s="3347"/>
      <c r="GT959" s="3347"/>
      <c r="GU959" s="3347"/>
      <c r="GV959" s="3347"/>
      <c r="GW959" s="3347"/>
      <c r="GX959" s="3347"/>
      <c r="GY959" s="3347"/>
      <c r="GZ959" s="3347"/>
      <c r="HA959" s="3347"/>
      <c r="HB959" s="3347"/>
      <c r="HC959" s="3347"/>
      <c r="HD959" s="3347"/>
      <c r="HE959" s="3347"/>
      <c r="HF959" s="3347"/>
      <c r="HG959" s="3347"/>
      <c r="HH959" s="3347"/>
      <c r="HI959" s="3347"/>
      <c r="HJ959" s="3347"/>
      <c r="HK959" s="3347"/>
      <c r="HL959" s="3347"/>
      <c r="HM959" s="3347"/>
      <c r="HN959" s="3347"/>
      <c r="HO959" s="3347"/>
      <c r="HP959" s="3347"/>
      <c r="HQ959" s="3347"/>
      <c r="HR959" s="3347"/>
      <c r="HS959" s="3347"/>
      <c r="HT959" s="3347"/>
      <c r="HU959" s="3347"/>
      <c r="HV959" s="3347"/>
      <c r="HW959" s="3347"/>
      <c r="HX959" s="3347"/>
      <c r="HY959" s="3347"/>
      <c r="HZ959" s="3347"/>
      <c r="IA959" s="3347"/>
      <c r="IB959" s="3347"/>
      <c r="IC959" s="3347"/>
      <c r="ID959" s="3347"/>
      <c r="IE959" s="3347"/>
      <c r="IF959" s="3347"/>
      <c r="IG959" s="3347"/>
      <c r="IH959" s="3347"/>
      <c r="II959" s="3347"/>
    </row>
    <row r="960" spans="1:245" hidden="1">
      <c r="A960" s="3267" t="s">
        <v>9693</v>
      </c>
      <c r="B960" s="3267" t="s">
        <v>9694</v>
      </c>
      <c r="C960" s="3269" t="s">
        <v>9695</v>
      </c>
      <c r="D960" s="3269" t="s">
        <v>9696</v>
      </c>
      <c r="E960" s="3268" t="s">
        <v>2985</v>
      </c>
      <c r="F960" s="3268" t="s">
        <v>4779</v>
      </c>
      <c r="G960" s="3267"/>
      <c r="H960" s="3267" t="s">
        <v>4645</v>
      </c>
      <c r="I960" s="3268"/>
      <c r="J960" s="3267" t="s">
        <v>5008</v>
      </c>
      <c r="K960" s="3267" t="s">
        <v>9697</v>
      </c>
      <c r="L960" s="3267">
        <v>40.19</v>
      </c>
      <c r="M960" s="3267">
        <v>1</v>
      </c>
      <c r="N960" s="3267" t="s">
        <v>9698</v>
      </c>
      <c r="O960" s="3267">
        <v>29.41</v>
      </c>
      <c r="P960" s="3267" t="s">
        <v>2963</v>
      </c>
      <c r="Q960" s="3271">
        <v>215000</v>
      </c>
      <c r="R960" s="3267">
        <v>5350</v>
      </c>
      <c r="S960" s="3272">
        <v>26.12</v>
      </c>
      <c r="T960" s="3273">
        <v>261200</v>
      </c>
      <c r="U960" s="3267">
        <v>6501</v>
      </c>
      <c r="V960" s="3289">
        <v>0.2</v>
      </c>
      <c r="W960" s="3272">
        <v>20.89</v>
      </c>
      <c r="X960" s="3275">
        <v>208900</v>
      </c>
      <c r="Y960" s="3276">
        <v>2006</v>
      </c>
      <c r="Z960" s="3276">
        <v>12</v>
      </c>
      <c r="AA960" s="3276">
        <v>18</v>
      </c>
      <c r="AB960" s="3267">
        <v>780</v>
      </c>
      <c r="AC960" s="3267" t="s">
        <v>2980</v>
      </c>
      <c r="AD960" s="3269" t="s">
        <v>9699</v>
      </c>
      <c r="AE960" s="3279" t="s">
        <v>3344</v>
      </c>
      <c r="AF960" s="3268" t="s">
        <v>2966</v>
      </c>
      <c r="AG960" s="3279" t="s">
        <v>2967</v>
      </c>
      <c r="AH960" s="3267"/>
      <c r="AI960" s="3279" t="s">
        <v>2992</v>
      </c>
      <c r="AJ960" s="3284"/>
      <c r="AK960" s="3278" t="s">
        <v>3120</v>
      </c>
      <c r="AL960" s="3276">
        <v>57</v>
      </c>
      <c r="AM960" s="3267"/>
      <c r="AN960" s="3279" t="s">
        <v>2994</v>
      </c>
      <c r="AO960" s="3267"/>
      <c r="AP960" s="3279" t="s">
        <v>3305</v>
      </c>
      <c r="AQ960" s="3276" t="s">
        <v>2996</v>
      </c>
      <c r="AR960" s="3276"/>
      <c r="AS960" s="3276"/>
      <c r="AT960" s="3276"/>
      <c r="AU960" s="3276"/>
      <c r="AV960" s="3276" t="s">
        <v>2968</v>
      </c>
      <c r="AW960" s="3276" t="s">
        <v>3171</v>
      </c>
      <c r="AX960" s="3276"/>
      <c r="AY960" s="3291"/>
      <c r="AZ960" s="3267" t="s">
        <v>9697</v>
      </c>
      <c r="BA960" s="3296"/>
      <c r="BB960" s="3297"/>
      <c r="BC960" s="3296"/>
      <c r="BD960" s="3296"/>
      <c r="BE960" s="3276">
        <v>13522709171</v>
      </c>
      <c r="BF960" s="3281" t="s">
        <v>2968</v>
      </c>
      <c r="BG960" s="3293">
        <v>39062</v>
      </c>
      <c r="BH960" s="3267" t="s">
        <v>2998</v>
      </c>
      <c r="BI960" s="3314" t="s">
        <v>3305</v>
      </c>
      <c r="BJ960" s="3283">
        <v>39066</v>
      </c>
      <c r="BK960" s="3283"/>
      <c r="BL960" s="3267" t="s">
        <v>3249</v>
      </c>
      <c r="BM960" s="3276" t="s">
        <v>2879</v>
      </c>
      <c r="BN960" s="3276" t="s">
        <v>2999</v>
      </c>
      <c r="BO960" s="3276" t="s">
        <v>3146</v>
      </c>
      <c r="BP960" s="3276"/>
      <c r="BQ960" s="3276">
        <v>8881</v>
      </c>
      <c r="BR960" s="3276">
        <v>7310</v>
      </c>
      <c r="BS960" s="3285"/>
      <c r="BT960" s="3285"/>
      <c r="BU960" s="3285"/>
      <c r="BV960" s="3262"/>
      <c r="BW960" s="3262"/>
      <c r="BX960" s="3262"/>
      <c r="BY960" s="3262"/>
      <c r="BZ960" s="3262"/>
      <c r="CA960" s="3262"/>
      <c r="CB960" s="3262"/>
      <c r="CC960" s="3262"/>
      <c r="CD960" s="3262"/>
      <c r="CE960" s="3262"/>
      <c r="CF960" s="3262"/>
      <c r="CG960" s="3262"/>
      <c r="CH960" s="3262"/>
      <c r="CI960" s="3262"/>
      <c r="CJ960" s="3262"/>
      <c r="CK960" s="3262"/>
      <c r="CL960" s="3262"/>
      <c r="CM960" s="3262"/>
      <c r="CN960" s="3262"/>
      <c r="CO960" s="3262"/>
      <c r="CP960" s="3262"/>
      <c r="CQ960" s="3262"/>
      <c r="CR960" s="3262"/>
      <c r="CS960" s="3262"/>
      <c r="CT960" s="3262"/>
      <c r="CU960" s="3262"/>
      <c r="CV960" s="3262"/>
      <c r="CW960" s="3262"/>
      <c r="CX960" s="3262"/>
      <c r="CY960" s="3262"/>
      <c r="CZ960" s="3262"/>
      <c r="DA960" s="3262"/>
      <c r="DB960" s="3262"/>
      <c r="DC960" s="3262"/>
      <c r="DD960" s="3262"/>
      <c r="DE960" s="3262"/>
      <c r="DF960" s="3262"/>
      <c r="DG960" s="3262"/>
      <c r="DH960" s="3262"/>
      <c r="DI960" s="3262"/>
      <c r="DJ960" s="3262"/>
      <c r="DK960" s="3262"/>
      <c r="DL960" s="3262"/>
      <c r="DM960" s="3262"/>
      <c r="DN960" s="3262"/>
      <c r="DO960" s="3262"/>
      <c r="DP960" s="3262"/>
      <c r="DQ960" s="3262"/>
      <c r="DR960" s="3262"/>
      <c r="DS960" s="3262"/>
      <c r="DT960" s="3262"/>
      <c r="DU960" s="3262"/>
      <c r="DV960" s="3262"/>
      <c r="DW960" s="3262"/>
      <c r="DX960" s="3262"/>
      <c r="DY960" s="3262"/>
      <c r="DZ960" s="3262"/>
      <c r="EA960" s="3262"/>
      <c r="EB960" s="3262"/>
      <c r="EC960" s="3262"/>
      <c r="ED960" s="3262"/>
      <c r="EE960" s="3262"/>
      <c r="EF960" s="3262"/>
      <c r="EG960" s="3262"/>
      <c r="EH960" s="3262"/>
      <c r="EI960" s="3262"/>
      <c r="EJ960" s="3262"/>
      <c r="EK960" s="3262"/>
      <c r="EL960" s="3262"/>
      <c r="EM960" s="3262"/>
      <c r="EN960" s="3262"/>
      <c r="EO960" s="3262"/>
      <c r="EP960" s="3262"/>
      <c r="EQ960" s="3262"/>
      <c r="ER960" s="3262"/>
      <c r="ES960" s="3262"/>
      <c r="ET960" s="3262"/>
      <c r="EU960" s="3262"/>
      <c r="EV960" s="3262"/>
      <c r="EW960" s="3262"/>
      <c r="EX960" s="3262"/>
      <c r="EY960" s="3262"/>
      <c r="EZ960" s="3262"/>
      <c r="FA960" s="3262"/>
      <c r="FB960" s="3262"/>
      <c r="FC960" s="3262"/>
      <c r="FD960" s="3262"/>
      <c r="FE960" s="3262"/>
      <c r="FF960" s="3262"/>
      <c r="FG960" s="3262"/>
      <c r="FH960" s="3262"/>
      <c r="FI960" s="3262"/>
      <c r="FJ960" s="3262"/>
      <c r="FK960" s="3262"/>
      <c r="FL960" s="3262"/>
      <c r="FM960" s="3262"/>
      <c r="FN960" s="3262"/>
      <c r="FO960" s="3262"/>
      <c r="FP960" s="3262"/>
      <c r="FQ960" s="3262"/>
      <c r="FR960" s="3262"/>
      <c r="FS960" s="3262"/>
      <c r="FT960" s="3262"/>
      <c r="FU960" s="3262"/>
      <c r="FV960" s="3262"/>
      <c r="FW960" s="3262"/>
      <c r="FX960" s="3262"/>
      <c r="FY960" s="3262"/>
      <c r="FZ960" s="3262"/>
      <c r="GA960" s="3262"/>
      <c r="GB960" s="3262"/>
      <c r="GC960" s="3262"/>
      <c r="GD960" s="3262"/>
      <c r="GE960" s="3262"/>
      <c r="GF960" s="3262"/>
      <c r="GG960" s="3262"/>
      <c r="GH960" s="3262"/>
      <c r="GI960" s="3262"/>
      <c r="GJ960" s="3262"/>
      <c r="GK960" s="3262"/>
      <c r="GL960" s="3262"/>
      <c r="GM960" s="3262"/>
      <c r="GN960" s="3262"/>
      <c r="GO960" s="3262"/>
      <c r="GP960" s="3262"/>
      <c r="GQ960" s="3262"/>
      <c r="GR960" s="3262"/>
      <c r="GS960" s="3262"/>
      <c r="GT960" s="3262"/>
      <c r="GU960" s="3262"/>
      <c r="GV960" s="3262"/>
      <c r="GW960" s="3262"/>
      <c r="GX960" s="3262"/>
      <c r="GY960" s="3262"/>
      <c r="GZ960" s="3262"/>
      <c r="HA960" s="3262"/>
      <c r="HB960" s="3262"/>
      <c r="HC960" s="3262"/>
      <c r="HD960" s="3262"/>
      <c r="HE960" s="3262"/>
      <c r="HF960" s="3262"/>
      <c r="HG960" s="3262"/>
      <c r="HH960" s="3262"/>
      <c r="HI960" s="3262"/>
      <c r="HJ960" s="3262"/>
      <c r="HK960" s="3262"/>
      <c r="HL960" s="3262"/>
      <c r="HM960" s="3262"/>
      <c r="HN960" s="3262"/>
      <c r="HO960" s="3262"/>
      <c r="HP960" s="3262"/>
      <c r="HQ960" s="3262"/>
      <c r="HR960" s="3262"/>
      <c r="HS960" s="3262"/>
      <c r="HT960" s="3262"/>
      <c r="HU960" s="3262"/>
      <c r="HV960" s="3262"/>
      <c r="HW960" s="3262"/>
      <c r="HX960" s="3262"/>
      <c r="HY960" s="3262"/>
      <c r="HZ960" s="3262"/>
      <c r="IA960" s="3262"/>
      <c r="IB960" s="3262"/>
      <c r="IC960" s="3262"/>
      <c r="ID960" s="3262"/>
      <c r="IE960" s="3262"/>
      <c r="IF960" s="3262"/>
      <c r="IG960" s="3262"/>
      <c r="IH960" s="3262"/>
      <c r="II960" s="3262"/>
    </row>
    <row r="961" spans="1:245" hidden="1">
      <c r="A961" s="3268" t="s">
        <v>9700</v>
      </c>
      <c r="B961" s="3267" t="s">
        <v>9701</v>
      </c>
      <c r="C961" s="3269" t="s">
        <v>9702</v>
      </c>
      <c r="D961" s="3268">
        <v>13466575578</v>
      </c>
      <c r="E961" s="3267" t="s">
        <v>2985</v>
      </c>
      <c r="F961" s="3267" t="s">
        <v>7811</v>
      </c>
      <c r="G961" s="3267"/>
      <c r="H961" s="3270" t="s">
        <v>9703</v>
      </c>
      <c r="I961" s="3268"/>
      <c r="J961" s="3270" t="s">
        <v>4531</v>
      </c>
      <c r="K961" s="3267" t="s">
        <v>9704</v>
      </c>
      <c r="L961" s="3286">
        <v>77.180000000000007</v>
      </c>
      <c r="M961" s="3270">
        <v>9</v>
      </c>
      <c r="N961" s="3267" t="s">
        <v>4124</v>
      </c>
      <c r="O961" s="3267"/>
      <c r="P961" s="3267" t="s">
        <v>2963</v>
      </c>
      <c r="Q961" s="3287">
        <v>570000</v>
      </c>
      <c r="R961" s="3267">
        <v>7385</v>
      </c>
      <c r="S961" s="3272">
        <v>54.96</v>
      </c>
      <c r="T961" s="3273">
        <v>549600</v>
      </c>
      <c r="U961" s="3287">
        <v>7122</v>
      </c>
      <c r="V961" s="3274">
        <v>0.2</v>
      </c>
      <c r="W961" s="3272">
        <v>43.96</v>
      </c>
      <c r="X961" s="3275">
        <v>439600</v>
      </c>
      <c r="Y961" s="3267">
        <v>2006</v>
      </c>
      <c r="Z961" s="3276">
        <v>12</v>
      </c>
      <c r="AA961" s="3276">
        <v>30</v>
      </c>
      <c r="AB961" s="3267">
        <v>1500</v>
      </c>
      <c r="AC961" s="3267" t="s">
        <v>2980</v>
      </c>
      <c r="AD961" s="3269" t="s">
        <v>9705</v>
      </c>
      <c r="AE961" s="3268" t="s">
        <v>3304</v>
      </c>
      <c r="AF961" s="3267" t="s">
        <v>2966</v>
      </c>
      <c r="AG961" s="3267" t="s">
        <v>2967</v>
      </c>
      <c r="AH961" s="3267"/>
      <c r="AI961" s="3267" t="s">
        <v>2992</v>
      </c>
      <c r="AJ961" s="3270"/>
      <c r="AK961" s="3278" t="s">
        <v>3120</v>
      </c>
      <c r="AL961" s="3276">
        <v>37</v>
      </c>
      <c r="AM961" s="3267"/>
      <c r="AN961" s="3279" t="s">
        <v>3099</v>
      </c>
      <c r="AO961" s="3267"/>
      <c r="AP961" s="3279" t="s">
        <v>3537</v>
      </c>
      <c r="AQ961" s="3267" t="s">
        <v>3113</v>
      </c>
      <c r="AR961" s="3267"/>
      <c r="AS961" s="3267"/>
      <c r="AT961" s="3267"/>
      <c r="AU961" s="3267"/>
      <c r="AV961" s="3267"/>
      <c r="AW961" s="3267" t="s">
        <v>3112</v>
      </c>
      <c r="AX961" s="3267"/>
      <c r="AY961" s="3279"/>
      <c r="AZ961" s="3267" t="s">
        <v>9704</v>
      </c>
      <c r="BA961" s="3267"/>
      <c r="BB961" s="3267"/>
      <c r="BC961" s="3267"/>
      <c r="BD961" s="3267"/>
      <c r="BE961" s="3267">
        <v>13051318600</v>
      </c>
      <c r="BF961" s="3281"/>
      <c r="BG961" s="3307">
        <v>39046</v>
      </c>
      <c r="BH961" s="3268"/>
      <c r="BI961" s="3314" t="s">
        <v>3537</v>
      </c>
      <c r="BJ961" s="3283">
        <v>39066</v>
      </c>
      <c r="BK961" s="3284"/>
      <c r="BL961" s="3267" t="s">
        <v>3249</v>
      </c>
      <c r="BM961" s="3267" t="s">
        <v>2879</v>
      </c>
      <c r="BN961" s="3267" t="s">
        <v>3111</v>
      </c>
      <c r="BO961" s="3267" t="s">
        <v>3146</v>
      </c>
      <c r="BP961" s="3267"/>
      <c r="BQ961" s="3276"/>
      <c r="BR961" s="3276"/>
      <c r="BS961" s="3285"/>
      <c r="BT961" s="3285"/>
      <c r="BU961" s="3285"/>
      <c r="BV961" s="3347"/>
      <c r="BW961" s="3347"/>
      <c r="BX961" s="3347"/>
      <c r="BY961" s="3347"/>
      <c r="BZ961" s="3347"/>
      <c r="CA961" s="3347"/>
      <c r="CB961" s="3347"/>
      <c r="CC961" s="3347"/>
      <c r="CD961" s="3347"/>
      <c r="CE961" s="3347"/>
      <c r="CF961" s="3347"/>
      <c r="CG961" s="3347"/>
      <c r="CH961" s="3347"/>
      <c r="CI961" s="3347"/>
      <c r="CJ961" s="3347"/>
      <c r="CK961" s="3347"/>
      <c r="CL961" s="3347"/>
      <c r="CM961" s="3347"/>
      <c r="CN961" s="3347"/>
      <c r="CO961" s="3347"/>
      <c r="CP961" s="3347"/>
      <c r="CQ961" s="3347"/>
      <c r="CR961" s="3347"/>
      <c r="CS961" s="3347"/>
      <c r="CT961" s="3347"/>
      <c r="CU961" s="3347"/>
      <c r="CV961" s="3347"/>
      <c r="CW961" s="3347"/>
      <c r="CX961" s="3347"/>
      <c r="CY961" s="3347"/>
      <c r="CZ961" s="3347"/>
      <c r="DA961" s="3347"/>
      <c r="DB961" s="3347"/>
      <c r="DC961" s="3347"/>
      <c r="DD961" s="3347"/>
      <c r="DE961" s="3347"/>
      <c r="DF961" s="3347"/>
      <c r="DG961" s="3347"/>
      <c r="DH961" s="3347"/>
      <c r="DI961" s="3347"/>
      <c r="DJ961" s="3347"/>
      <c r="DK961" s="3347"/>
      <c r="DL961" s="3347"/>
      <c r="DM961" s="3347"/>
      <c r="DN961" s="3347"/>
      <c r="DO961" s="3347"/>
      <c r="DP961" s="3347"/>
      <c r="DQ961" s="3347"/>
      <c r="DR961" s="3347"/>
      <c r="DS961" s="3347"/>
      <c r="DT961" s="3347"/>
      <c r="DU961" s="3347"/>
      <c r="DV961" s="3347"/>
      <c r="DW961" s="3347"/>
      <c r="DX961" s="3347"/>
      <c r="DY961" s="3347"/>
      <c r="DZ961" s="3347"/>
      <c r="EA961" s="3347"/>
      <c r="EB961" s="3347"/>
      <c r="EC961" s="3347"/>
      <c r="ED961" s="3347"/>
      <c r="EE961" s="3347"/>
      <c r="EF961" s="3347"/>
      <c r="EG961" s="3347"/>
      <c r="EH961" s="3347"/>
      <c r="EI961" s="3347"/>
      <c r="EJ961" s="3347"/>
      <c r="EK961" s="3347"/>
      <c r="EL961" s="3347"/>
      <c r="EM961" s="3347"/>
      <c r="EN961" s="3347"/>
      <c r="EO961" s="3347"/>
      <c r="EP961" s="3347"/>
      <c r="EQ961" s="3347"/>
      <c r="ER961" s="3347"/>
      <c r="ES961" s="3347"/>
      <c r="ET961" s="3347"/>
      <c r="EU961" s="3347"/>
      <c r="EV961" s="3347"/>
      <c r="EW961" s="3347"/>
      <c r="EX961" s="3347"/>
      <c r="EY961" s="3347"/>
      <c r="EZ961" s="3347"/>
      <c r="FA961" s="3347"/>
      <c r="FB961" s="3347"/>
      <c r="FC961" s="3347"/>
      <c r="FD961" s="3347"/>
      <c r="FE961" s="3347"/>
      <c r="FF961" s="3347"/>
      <c r="FG961" s="3347"/>
      <c r="FH961" s="3347"/>
      <c r="FI961" s="3347"/>
      <c r="FJ961" s="3347"/>
      <c r="FK961" s="3347"/>
      <c r="FL961" s="3347"/>
      <c r="FM961" s="3347"/>
      <c r="FN961" s="3347"/>
      <c r="FO961" s="3347"/>
      <c r="FP961" s="3347"/>
      <c r="FQ961" s="3347"/>
      <c r="FR961" s="3347"/>
      <c r="FS961" s="3347"/>
      <c r="FT961" s="3347"/>
      <c r="FU961" s="3347"/>
      <c r="FV961" s="3347"/>
      <c r="FW961" s="3347"/>
      <c r="FX961" s="3347"/>
      <c r="FY961" s="3347"/>
      <c r="FZ961" s="3347"/>
      <c r="GA961" s="3347"/>
      <c r="GB961" s="3347"/>
      <c r="GC961" s="3347"/>
      <c r="GD961" s="3347"/>
      <c r="GE961" s="3347"/>
      <c r="GF961" s="3347"/>
      <c r="GG961" s="3347"/>
      <c r="GH961" s="3347"/>
      <c r="GI961" s="3347"/>
      <c r="GJ961" s="3347"/>
      <c r="GK961" s="3347"/>
      <c r="GL961" s="3347"/>
      <c r="GM961" s="3347"/>
      <c r="GN961" s="3347"/>
      <c r="GO961" s="3347"/>
      <c r="GP961" s="3347"/>
      <c r="GQ961" s="3347"/>
      <c r="GR961" s="3347"/>
      <c r="GS961" s="3347"/>
      <c r="GT961" s="3347"/>
      <c r="GU961" s="3347"/>
      <c r="GV961" s="3347"/>
      <c r="GW961" s="3347"/>
      <c r="GX961" s="3347"/>
      <c r="GY961" s="3347"/>
      <c r="GZ961" s="3347"/>
      <c r="HA961" s="3347"/>
      <c r="HB961" s="3347"/>
      <c r="HC961" s="3347"/>
      <c r="HD961" s="3347"/>
      <c r="HE961" s="3347"/>
      <c r="HF961" s="3347"/>
      <c r="HG961" s="3347"/>
      <c r="HH961" s="3347"/>
      <c r="HI961" s="3347"/>
      <c r="HJ961" s="3347"/>
      <c r="HK961" s="3347"/>
      <c r="HL961" s="3347"/>
      <c r="HM961" s="3347"/>
      <c r="HN961" s="3347"/>
      <c r="HO961" s="3347"/>
      <c r="HP961" s="3347"/>
      <c r="HQ961" s="3347"/>
      <c r="HR961" s="3347"/>
      <c r="HS961" s="3347"/>
      <c r="HT961" s="3347"/>
      <c r="HU961" s="3347"/>
      <c r="HV961" s="3347"/>
      <c r="HW961" s="3347"/>
      <c r="HX961" s="3347"/>
      <c r="HY961" s="3347"/>
      <c r="HZ961" s="3347"/>
      <c r="IA961" s="3347"/>
      <c r="IB961" s="3347"/>
      <c r="IC961" s="3347"/>
      <c r="ID961" s="3347"/>
      <c r="IE961" s="3347"/>
      <c r="IF961" s="3347"/>
      <c r="IG961" s="3347"/>
      <c r="IH961" s="3347"/>
      <c r="II961" s="3347"/>
    </row>
    <row r="962" spans="1:245" hidden="1">
      <c r="A962" s="3267" t="s">
        <v>9706</v>
      </c>
      <c r="B962" s="3268" t="s">
        <v>9707</v>
      </c>
      <c r="C962" s="3269" t="s">
        <v>9708</v>
      </c>
      <c r="D962" s="3269" t="s">
        <v>9709</v>
      </c>
      <c r="E962" s="3268" t="s">
        <v>2985</v>
      </c>
      <c r="F962" s="3268" t="s">
        <v>4360</v>
      </c>
      <c r="G962" s="3268"/>
      <c r="H962" s="3268" t="s">
        <v>7046</v>
      </c>
      <c r="I962" s="3268"/>
      <c r="J962" s="3268" t="s">
        <v>6265</v>
      </c>
      <c r="K962" s="3268" t="s">
        <v>9707</v>
      </c>
      <c r="L962" s="3270">
        <v>42.36</v>
      </c>
      <c r="M962" s="3270">
        <v>3</v>
      </c>
      <c r="N962" s="3267" t="s">
        <v>3152</v>
      </c>
      <c r="O962" s="3270"/>
      <c r="P962" s="3268" t="s">
        <v>2963</v>
      </c>
      <c r="Q962" s="3271">
        <v>300000</v>
      </c>
      <c r="R962" s="3271">
        <v>7082</v>
      </c>
      <c r="S962" s="3272">
        <v>29.4</v>
      </c>
      <c r="T962" s="3273">
        <v>294000</v>
      </c>
      <c r="U962" s="3267">
        <v>6941</v>
      </c>
      <c r="V962" s="3289">
        <v>0.2</v>
      </c>
      <c r="W962" s="3272">
        <v>23.52</v>
      </c>
      <c r="X962" s="3273">
        <v>235200</v>
      </c>
      <c r="Y962" s="3276">
        <v>2006</v>
      </c>
      <c r="Z962" s="3267">
        <v>12</v>
      </c>
      <c r="AA962" s="3276">
        <v>27</v>
      </c>
      <c r="AB962" s="3267">
        <v>880</v>
      </c>
      <c r="AC962" s="3267" t="s">
        <v>2980</v>
      </c>
      <c r="AD962" s="3280" t="s">
        <v>9710</v>
      </c>
      <c r="AE962" s="3276" t="s">
        <v>3304</v>
      </c>
      <c r="AF962" s="3267" t="s">
        <v>2966</v>
      </c>
      <c r="AG962" s="3279" t="s">
        <v>2967</v>
      </c>
      <c r="AH962" s="3267"/>
      <c r="AI962" s="3267" t="s">
        <v>2992</v>
      </c>
      <c r="AJ962" s="3290"/>
      <c r="AK962" s="3278" t="s">
        <v>3120</v>
      </c>
      <c r="AL962" s="3276">
        <v>43</v>
      </c>
      <c r="AM962" s="3276"/>
      <c r="AN962" s="3279" t="s">
        <v>3099</v>
      </c>
      <c r="AO962" s="3267" t="s">
        <v>2968</v>
      </c>
      <c r="AP962" s="3276" t="s">
        <v>4532</v>
      </c>
      <c r="AQ962" s="3276" t="s">
        <v>3113</v>
      </c>
      <c r="AR962" s="3276">
        <v>2006</v>
      </c>
      <c r="AS962" s="3276">
        <v>12</v>
      </c>
      <c r="AT962" s="3276">
        <v>27</v>
      </c>
      <c r="AU962" s="3276"/>
      <c r="AV962" s="3277"/>
      <c r="AW962" s="3267" t="s">
        <v>3112</v>
      </c>
      <c r="AX962" s="3268"/>
      <c r="AY962" s="3268"/>
      <c r="AZ962" s="3268" t="s">
        <v>9711</v>
      </c>
      <c r="BA962" s="3268"/>
      <c r="BB962" s="3280"/>
      <c r="BC962" s="3268"/>
      <c r="BD962" s="3268"/>
      <c r="BE962" s="3268">
        <v>13901105725</v>
      </c>
      <c r="BF962" s="3281"/>
      <c r="BG962" s="3284">
        <v>39064</v>
      </c>
      <c r="BH962" s="3268"/>
      <c r="BI962" s="3314" t="s">
        <v>4532</v>
      </c>
      <c r="BJ962" s="3299">
        <v>39069</v>
      </c>
      <c r="BK962" s="3284"/>
      <c r="BL962" s="3267" t="s">
        <v>2998</v>
      </c>
      <c r="BM962" s="3267" t="s">
        <v>2879</v>
      </c>
      <c r="BN962" s="3276" t="s">
        <v>2999</v>
      </c>
      <c r="BO962" s="3267" t="s">
        <v>3446</v>
      </c>
      <c r="BP962" s="3276"/>
      <c r="BQ962" s="3276" t="e">
        <v>#DIV/0!</v>
      </c>
      <c r="BR962" s="3276" t="e">
        <v>#DIV/0!</v>
      </c>
      <c r="BS962" s="3285"/>
      <c r="BT962" s="3285"/>
      <c r="BU962" s="3285"/>
    </row>
    <row r="963" spans="1:245" hidden="1">
      <c r="A963" s="3267" t="s">
        <v>9712</v>
      </c>
      <c r="B963" s="3267" t="s">
        <v>9713</v>
      </c>
      <c r="C963" s="3269" t="s">
        <v>9714</v>
      </c>
      <c r="D963" s="3269" t="s">
        <v>9715</v>
      </c>
      <c r="E963" s="3268" t="s">
        <v>2985</v>
      </c>
      <c r="F963" s="3268" t="s">
        <v>7276</v>
      </c>
      <c r="G963" s="3267"/>
      <c r="H963" s="3267" t="s">
        <v>3366</v>
      </c>
      <c r="I963" s="3268"/>
      <c r="J963" s="3268" t="s">
        <v>5616</v>
      </c>
      <c r="K963" s="3268" t="s">
        <v>9713</v>
      </c>
      <c r="L963" s="3267">
        <v>86.74</v>
      </c>
      <c r="M963" s="3267">
        <v>8</v>
      </c>
      <c r="N963" s="3267" t="s">
        <v>3152</v>
      </c>
      <c r="O963" s="3267"/>
      <c r="P963" s="3267" t="s">
        <v>2963</v>
      </c>
      <c r="Q963" s="3271">
        <v>700000</v>
      </c>
      <c r="R963" s="3267">
        <v>8070</v>
      </c>
      <c r="S963" s="3272">
        <v>63.53</v>
      </c>
      <c r="T963" s="3273">
        <v>635300</v>
      </c>
      <c r="U963" s="3267">
        <v>7325</v>
      </c>
      <c r="V963" s="3289">
        <v>0.2</v>
      </c>
      <c r="W963" s="3272">
        <v>50.82</v>
      </c>
      <c r="X963" s="3275">
        <v>508200</v>
      </c>
      <c r="Y963" s="3276">
        <v>2006</v>
      </c>
      <c r="Z963" s="3267">
        <v>12</v>
      </c>
      <c r="AA963" s="3276">
        <v>20</v>
      </c>
      <c r="AB963" s="3267">
        <v>1500</v>
      </c>
      <c r="AC963" s="3267" t="s">
        <v>2980</v>
      </c>
      <c r="AD963" s="3280" t="s">
        <v>9716</v>
      </c>
      <c r="AE963" s="3276" t="s">
        <v>3304</v>
      </c>
      <c r="AF963" s="3267" t="s">
        <v>2966</v>
      </c>
      <c r="AG963" s="3279" t="s">
        <v>2967</v>
      </c>
      <c r="AH963" s="3267"/>
      <c r="AI963" s="3279" t="s">
        <v>2992</v>
      </c>
      <c r="AJ963" s="3284"/>
      <c r="AK963" s="3278" t="s">
        <v>3120</v>
      </c>
      <c r="AL963" s="3276">
        <v>56</v>
      </c>
      <c r="AM963" s="3276" t="s">
        <v>9717</v>
      </c>
      <c r="AN963" s="3276" t="s">
        <v>2994</v>
      </c>
      <c r="AO963" s="3267" t="s">
        <v>2968</v>
      </c>
      <c r="AP963" s="3276" t="s">
        <v>4532</v>
      </c>
      <c r="AQ963" s="3267" t="s">
        <v>3228</v>
      </c>
      <c r="AR963" s="3267">
        <v>2006</v>
      </c>
      <c r="AS963" s="3267">
        <v>12</v>
      </c>
      <c r="AT963" s="3276">
        <v>20</v>
      </c>
      <c r="AU963" s="3276"/>
      <c r="AV963" s="3276"/>
      <c r="AW963" s="3276" t="s">
        <v>2997</v>
      </c>
      <c r="AX963" s="3276"/>
      <c r="AY963" s="3291"/>
      <c r="AZ963" s="3267" t="s">
        <v>9718</v>
      </c>
      <c r="BA963" s="3296"/>
      <c r="BB963" s="3297"/>
      <c r="BC963" s="3296"/>
      <c r="BD963" s="3298"/>
      <c r="BE963" s="3276">
        <v>13801098843</v>
      </c>
      <c r="BF963" s="3281"/>
      <c r="BG963" s="3293">
        <v>39063</v>
      </c>
      <c r="BH963" s="3267"/>
      <c r="BI963" s="3314" t="s">
        <v>4532</v>
      </c>
      <c r="BJ963" s="3299">
        <v>39069</v>
      </c>
      <c r="BK963" s="3283" t="s">
        <v>2968</v>
      </c>
      <c r="BL963" s="3267" t="s">
        <v>2998</v>
      </c>
      <c r="BM963" s="3276" t="s">
        <v>2879</v>
      </c>
      <c r="BN963" s="3276" t="s">
        <v>2999</v>
      </c>
      <c r="BO963" s="3276" t="s">
        <v>3146</v>
      </c>
      <c r="BP963" s="3276"/>
      <c r="BQ963" s="3276" t="e">
        <v>#DIV/0!</v>
      </c>
      <c r="BR963" s="3276" t="e">
        <v>#DIV/0!</v>
      </c>
      <c r="BS963" s="3285"/>
      <c r="BT963" s="3285"/>
      <c r="BU963" s="3285"/>
      <c r="BW963" s="3262" t="s">
        <v>3262</v>
      </c>
      <c r="BX963" s="3262" t="s">
        <v>3262</v>
      </c>
      <c r="BY963" s="3262" t="s">
        <v>3262</v>
      </c>
      <c r="BZ963" s="3262" t="s">
        <v>3262</v>
      </c>
      <c r="CA963" s="3262" t="s">
        <v>3262</v>
      </c>
      <c r="CB963" s="3262" t="s">
        <v>3262</v>
      </c>
      <c r="CC963" s="3262" t="s">
        <v>3262</v>
      </c>
      <c r="CD963" s="3262" t="s">
        <v>3262</v>
      </c>
      <c r="CE963" s="3262" t="s">
        <v>3262</v>
      </c>
      <c r="CF963" s="3262" t="s">
        <v>3262</v>
      </c>
      <c r="CG963" s="3262" t="s">
        <v>3262</v>
      </c>
      <c r="CH963" s="3262" t="s">
        <v>3262</v>
      </c>
      <c r="CI963" s="3262" t="s">
        <v>3262</v>
      </c>
      <c r="CJ963" s="3262" t="s">
        <v>3262</v>
      </c>
      <c r="CK963" s="3262" t="s">
        <v>3262</v>
      </c>
      <c r="CL963" s="3262" t="s">
        <v>3262</v>
      </c>
      <c r="CM963" s="3262" t="s">
        <v>3262</v>
      </c>
      <c r="CN963" s="3262" t="s">
        <v>3262</v>
      </c>
      <c r="CO963" s="3262" t="s">
        <v>3262</v>
      </c>
      <c r="CP963" s="3262" t="s">
        <v>3262</v>
      </c>
      <c r="CQ963" s="3262" t="s">
        <v>3262</v>
      </c>
      <c r="CR963" s="3262" t="s">
        <v>3262</v>
      </c>
      <c r="CS963" s="3262" t="s">
        <v>3262</v>
      </c>
      <c r="CT963" s="3262" t="s">
        <v>3262</v>
      </c>
      <c r="CU963" s="3262" t="s">
        <v>3262</v>
      </c>
      <c r="CV963" s="3262" t="s">
        <v>3262</v>
      </c>
      <c r="CW963" s="3262" t="s">
        <v>3262</v>
      </c>
      <c r="CX963" s="3262" t="s">
        <v>3262</v>
      </c>
      <c r="CY963" s="3262" t="s">
        <v>3262</v>
      </c>
      <c r="CZ963" s="3262" t="s">
        <v>3262</v>
      </c>
      <c r="DA963" s="3262" t="s">
        <v>3262</v>
      </c>
      <c r="DB963" s="3262" t="s">
        <v>3262</v>
      </c>
      <c r="DC963" s="3262" t="s">
        <v>3262</v>
      </c>
      <c r="DD963" s="3262" t="s">
        <v>3262</v>
      </c>
      <c r="DE963" s="3262" t="s">
        <v>3262</v>
      </c>
      <c r="DF963" s="3262" t="s">
        <v>3262</v>
      </c>
      <c r="DG963" s="3262" t="s">
        <v>3262</v>
      </c>
      <c r="DH963" s="3262" t="s">
        <v>3262</v>
      </c>
      <c r="DI963" s="3262" t="s">
        <v>3262</v>
      </c>
      <c r="DJ963" s="3262" t="s">
        <v>3262</v>
      </c>
      <c r="DK963" s="3262" t="s">
        <v>3262</v>
      </c>
      <c r="DL963" s="3262" t="s">
        <v>3262</v>
      </c>
      <c r="DM963" s="3262" t="s">
        <v>3262</v>
      </c>
      <c r="DN963" s="3262" t="s">
        <v>3262</v>
      </c>
      <c r="DO963" s="3262" t="s">
        <v>3262</v>
      </c>
      <c r="DP963" s="3262" t="s">
        <v>3262</v>
      </c>
      <c r="DQ963" s="3262" t="s">
        <v>3262</v>
      </c>
      <c r="DR963" s="3262" t="s">
        <v>3262</v>
      </c>
      <c r="DS963" s="3262" t="s">
        <v>3262</v>
      </c>
      <c r="DT963" s="3262" t="s">
        <v>3262</v>
      </c>
      <c r="DU963" s="3262" t="s">
        <v>3262</v>
      </c>
      <c r="DV963" s="3262" t="s">
        <v>3262</v>
      </c>
      <c r="DW963" s="3262" t="s">
        <v>3262</v>
      </c>
      <c r="DX963" s="3262" t="s">
        <v>3262</v>
      </c>
      <c r="DY963" s="3262" t="s">
        <v>3262</v>
      </c>
      <c r="DZ963" s="3262" t="s">
        <v>3262</v>
      </c>
      <c r="EA963" s="3262" t="s">
        <v>3262</v>
      </c>
      <c r="EB963" s="3262" t="s">
        <v>3262</v>
      </c>
      <c r="EC963" s="3262" t="s">
        <v>3262</v>
      </c>
      <c r="ED963" s="3262" t="s">
        <v>3262</v>
      </c>
      <c r="EE963" s="3262" t="s">
        <v>3262</v>
      </c>
      <c r="EF963" s="3262" t="s">
        <v>3262</v>
      </c>
      <c r="EG963" s="3262" t="s">
        <v>3262</v>
      </c>
      <c r="EH963" s="3262" t="s">
        <v>3262</v>
      </c>
      <c r="EI963" s="3262" t="s">
        <v>3262</v>
      </c>
      <c r="EJ963" s="3262" t="s">
        <v>3262</v>
      </c>
      <c r="EK963" s="3262" t="s">
        <v>3262</v>
      </c>
      <c r="EL963" s="3262" t="s">
        <v>3262</v>
      </c>
      <c r="EM963" s="3262" t="s">
        <v>3262</v>
      </c>
      <c r="EN963" s="3262" t="s">
        <v>3262</v>
      </c>
      <c r="EO963" s="3262" t="s">
        <v>3262</v>
      </c>
      <c r="EP963" s="3262" t="s">
        <v>3262</v>
      </c>
      <c r="EQ963" s="3262" t="s">
        <v>3262</v>
      </c>
      <c r="ER963" s="3262" t="s">
        <v>3262</v>
      </c>
      <c r="ES963" s="3262" t="s">
        <v>3262</v>
      </c>
      <c r="ET963" s="3262" t="s">
        <v>3262</v>
      </c>
      <c r="EU963" s="3262" t="s">
        <v>3262</v>
      </c>
      <c r="EV963" s="3262" t="s">
        <v>3262</v>
      </c>
      <c r="EW963" s="3262" t="s">
        <v>3262</v>
      </c>
      <c r="EX963" s="3262" t="s">
        <v>3262</v>
      </c>
      <c r="EY963" s="3262" t="s">
        <v>3262</v>
      </c>
      <c r="EZ963" s="3262" t="s">
        <v>3262</v>
      </c>
      <c r="FA963" s="3262" t="s">
        <v>3262</v>
      </c>
      <c r="FB963" s="3262" t="s">
        <v>3262</v>
      </c>
      <c r="FC963" s="3262" t="s">
        <v>3262</v>
      </c>
      <c r="FD963" s="3262" t="s">
        <v>3262</v>
      </c>
      <c r="FE963" s="3262" t="s">
        <v>3262</v>
      </c>
      <c r="FF963" s="3262" t="s">
        <v>3262</v>
      </c>
      <c r="FG963" s="3262" t="s">
        <v>3262</v>
      </c>
      <c r="FH963" s="3262" t="s">
        <v>3262</v>
      </c>
      <c r="FI963" s="3262" t="s">
        <v>3262</v>
      </c>
      <c r="FJ963" s="3262" t="s">
        <v>3262</v>
      </c>
      <c r="FK963" s="3262" t="s">
        <v>3262</v>
      </c>
      <c r="FL963" s="3262" t="s">
        <v>3262</v>
      </c>
      <c r="FM963" s="3262" t="s">
        <v>3262</v>
      </c>
      <c r="FN963" s="3262" t="s">
        <v>3262</v>
      </c>
      <c r="FO963" s="3262" t="s">
        <v>3262</v>
      </c>
      <c r="FP963" s="3262" t="s">
        <v>3262</v>
      </c>
      <c r="FQ963" s="3262" t="s">
        <v>3262</v>
      </c>
      <c r="FR963" s="3262" t="s">
        <v>3262</v>
      </c>
      <c r="FS963" s="3262" t="s">
        <v>3262</v>
      </c>
      <c r="FT963" s="3262" t="s">
        <v>3262</v>
      </c>
      <c r="FU963" s="3262" t="s">
        <v>3262</v>
      </c>
      <c r="FV963" s="3262" t="s">
        <v>3262</v>
      </c>
      <c r="FW963" s="3262" t="s">
        <v>3262</v>
      </c>
      <c r="FX963" s="3262" t="s">
        <v>3262</v>
      </c>
      <c r="FY963" s="3262" t="s">
        <v>3262</v>
      </c>
      <c r="FZ963" s="3262" t="s">
        <v>3262</v>
      </c>
      <c r="GA963" s="3262" t="s">
        <v>3262</v>
      </c>
      <c r="GB963" s="3262" t="s">
        <v>3262</v>
      </c>
      <c r="GC963" s="3262" t="s">
        <v>3262</v>
      </c>
      <c r="GD963" s="3262" t="s">
        <v>3262</v>
      </c>
      <c r="GE963" s="3262" t="s">
        <v>3262</v>
      </c>
      <c r="GF963" s="3262" t="s">
        <v>3262</v>
      </c>
      <c r="GG963" s="3262" t="s">
        <v>3262</v>
      </c>
      <c r="GH963" s="3262" t="s">
        <v>3262</v>
      </c>
      <c r="GI963" s="3262" t="s">
        <v>3262</v>
      </c>
      <c r="GJ963" s="3262" t="s">
        <v>3262</v>
      </c>
      <c r="GK963" s="3262" t="s">
        <v>3262</v>
      </c>
      <c r="GL963" s="3262" t="s">
        <v>3262</v>
      </c>
      <c r="GM963" s="3262" t="s">
        <v>3262</v>
      </c>
      <c r="GN963" s="3262" t="s">
        <v>3262</v>
      </c>
      <c r="GO963" s="3262" t="s">
        <v>3262</v>
      </c>
      <c r="GP963" s="3262" t="s">
        <v>3262</v>
      </c>
      <c r="GQ963" s="3262" t="s">
        <v>3262</v>
      </c>
      <c r="GR963" s="3262" t="s">
        <v>3262</v>
      </c>
      <c r="GS963" s="3262" t="s">
        <v>3262</v>
      </c>
      <c r="GT963" s="3262" t="s">
        <v>3262</v>
      </c>
      <c r="GU963" s="3262" t="s">
        <v>3262</v>
      </c>
      <c r="GV963" s="3262" t="s">
        <v>3262</v>
      </c>
      <c r="GW963" s="3262" t="s">
        <v>3262</v>
      </c>
      <c r="GX963" s="3262" t="s">
        <v>3262</v>
      </c>
      <c r="GY963" s="3262" t="s">
        <v>3262</v>
      </c>
      <c r="GZ963" s="3262" t="s">
        <v>3262</v>
      </c>
      <c r="HA963" s="3262" t="s">
        <v>3262</v>
      </c>
      <c r="HB963" s="3262" t="s">
        <v>3262</v>
      </c>
      <c r="HC963" s="3262" t="s">
        <v>3262</v>
      </c>
      <c r="HD963" s="3262" t="s">
        <v>3262</v>
      </c>
      <c r="HE963" s="3262" t="s">
        <v>3262</v>
      </c>
      <c r="HF963" s="3262" t="s">
        <v>3262</v>
      </c>
      <c r="HG963" s="3262" t="s">
        <v>3262</v>
      </c>
      <c r="HH963" s="3262" t="s">
        <v>3262</v>
      </c>
      <c r="HI963" s="3262" t="s">
        <v>3262</v>
      </c>
      <c r="HJ963" s="3262" t="s">
        <v>3262</v>
      </c>
      <c r="HK963" s="3262" t="s">
        <v>3262</v>
      </c>
      <c r="HL963" s="3262" t="s">
        <v>3262</v>
      </c>
      <c r="HM963" s="3262" t="s">
        <v>3262</v>
      </c>
      <c r="HN963" s="3262" t="s">
        <v>3262</v>
      </c>
      <c r="HO963" s="3262" t="s">
        <v>3262</v>
      </c>
      <c r="HP963" s="3262" t="s">
        <v>3262</v>
      </c>
      <c r="HQ963" s="3262" t="s">
        <v>3262</v>
      </c>
      <c r="HR963" s="3262" t="s">
        <v>3262</v>
      </c>
      <c r="HS963" s="3262" t="s">
        <v>3262</v>
      </c>
      <c r="HT963" s="3262" t="s">
        <v>3262</v>
      </c>
      <c r="HU963" s="3262" t="s">
        <v>3262</v>
      </c>
      <c r="HV963" s="3262" t="s">
        <v>3262</v>
      </c>
      <c r="HW963" s="3262" t="s">
        <v>3262</v>
      </c>
      <c r="HX963" s="3262" t="s">
        <v>3262</v>
      </c>
      <c r="HY963" s="3262" t="s">
        <v>3262</v>
      </c>
      <c r="HZ963" s="3262" t="s">
        <v>3262</v>
      </c>
      <c r="IA963" s="3262" t="s">
        <v>3262</v>
      </c>
      <c r="IB963" s="3262" t="s">
        <v>3262</v>
      </c>
      <c r="IC963" s="3262" t="s">
        <v>3262</v>
      </c>
      <c r="ID963" s="3262" t="s">
        <v>3262</v>
      </c>
      <c r="IE963" s="3262" t="s">
        <v>3262</v>
      </c>
      <c r="IF963" s="3262" t="s">
        <v>3262</v>
      </c>
    </row>
    <row r="964" spans="1:245" hidden="1">
      <c r="A964" s="3267" t="s">
        <v>9719</v>
      </c>
      <c r="B964" s="3267" t="s">
        <v>9720</v>
      </c>
      <c r="C964" s="3269" t="s">
        <v>9721</v>
      </c>
      <c r="D964" s="3269" t="s">
        <v>9722</v>
      </c>
      <c r="E964" s="3268" t="s">
        <v>2985</v>
      </c>
      <c r="F964" s="3268" t="s">
        <v>3764</v>
      </c>
      <c r="G964" s="3267"/>
      <c r="H964" s="3267" t="s">
        <v>9723</v>
      </c>
      <c r="I964" s="3268" t="s">
        <v>3281</v>
      </c>
      <c r="J964" s="3267" t="s">
        <v>6730</v>
      </c>
      <c r="K964" s="3267" t="s">
        <v>9724</v>
      </c>
      <c r="L964" s="3267">
        <v>53.2</v>
      </c>
      <c r="M964" s="3267">
        <v>4</v>
      </c>
      <c r="N964" s="3267" t="s">
        <v>3122</v>
      </c>
      <c r="O964" s="3267"/>
      <c r="P964" s="3267" t="s">
        <v>2963</v>
      </c>
      <c r="Q964" s="3271">
        <v>420000</v>
      </c>
      <c r="R964" s="3267">
        <v>7895</v>
      </c>
      <c r="S964" s="3272">
        <v>36.31</v>
      </c>
      <c r="T964" s="3273">
        <v>363100</v>
      </c>
      <c r="U964" s="3267">
        <v>6827</v>
      </c>
      <c r="V964" s="3289">
        <v>0.2</v>
      </c>
      <c r="W964" s="3272">
        <v>29.04</v>
      </c>
      <c r="X964" s="3275">
        <v>290400</v>
      </c>
      <c r="Y964" s="3276">
        <v>2006</v>
      </c>
      <c r="Z964" s="3276">
        <v>12</v>
      </c>
      <c r="AA964" s="3276">
        <v>26</v>
      </c>
      <c r="AB964" s="3267">
        <v>1085</v>
      </c>
      <c r="AC964" s="3267" t="s">
        <v>2980</v>
      </c>
      <c r="AD964" s="3269" t="s">
        <v>9725</v>
      </c>
      <c r="AE964" s="3279" t="s">
        <v>3344</v>
      </c>
      <c r="AF964" s="3268" t="s">
        <v>2966</v>
      </c>
      <c r="AG964" s="3279" t="s">
        <v>2967</v>
      </c>
      <c r="AH964" s="3267"/>
      <c r="AI964" s="3279" t="s">
        <v>2992</v>
      </c>
      <c r="AJ964" s="3284"/>
      <c r="AK964" s="3278" t="s">
        <v>3120</v>
      </c>
      <c r="AL964" s="3276">
        <v>37</v>
      </c>
      <c r="AM964" s="3267"/>
      <c r="AN964" s="3279" t="s">
        <v>3099</v>
      </c>
      <c r="AO964" s="3267"/>
      <c r="AP964" s="3267" t="s">
        <v>3069</v>
      </c>
      <c r="AQ964" s="3276" t="s">
        <v>3113</v>
      </c>
      <c r="AR964" s="3276">
        <v>2006</v>
      </c>
      <c r="AS964" s="3276">
        <v>12</v>
      </c>
      <c r="AT964" s="3276">
        <v>26</v>
      </c>
      <c r="AU964" s="3276"/>
      <c r="AV964" s="3276"/>
      <c r="AW964" s="3276" t="s">
        <v>3171</v>
      </c>
      <c r="AX964" s="3276"/>
      <c r="AY964" s="3291"/>
      <c r="AZ964" s="3267" t="s">
        <v>9724</v>
      </c>
      <c r="BA964" s="3296"/>
      <c r="BB964" s="3297"/>
      <c r="BC964" s="3296"/>
      <c r="BD964" s="3296"/>
      <c r="BE964" s="3276">
        <v>86984831</v>
      </c>
      <c r="BF964" s="3281"/>
      <c r="BG964" s="3293">
        <v>39056</v>
      </c>
      <c r="BH964" s="3267" t="s">
        <v>2998</v>
      </c>
      <c r="BI964" s="3279" t="s">
        <v>3069</v>
      </c>
      <c r="BJ964" s="3283">
        <v>39069</v>
      </c>
      <c r="BK964" s="3283"/>
      <c r="BL964" s="3267" t="s">
        <v>3249</v>
      </c>
      <c r="BM964" s="3276" t="s">
        <v>2879</v>
      </c>
      <c r="BN964" s="3276" t="s">
        <v>2999</v>
      </c>
      <c r="BO964" s="3276" t="s">
        <v>3146</v>
      </c>
      <c r="BP964" s="3276"/>
      <c r="BQ964" s="3276" t="e">
        <v>#DIV/0!</v>
      </c>
      <c r="BR964" s="3276" t="e">
        <v>#DIV/0!</v>
      </c>
      <c r="BS964" s="3285"/>
      <c r="BT964" s="3285"/>
      <c r="BU964" s="3285"/>
    </row>
    <row r="965" spans="1:245" hidden="1">
      <c r="A965" s="3267" t="s">
        <v>9726</v>
      </c>
      <c r="B965" s="3267" t="s">
        <v>9727</v>
      </c>
      <c r="C965" s="3269" t="s">
        <v>9728</v>
      </c>
      <c r="D965" s="3269" t="s">
        <v>9729</v>
      </c>
      <c r="E965" s="3268" t="s">
        <v>2985</v>
      </c>
      <c r="F965" s="3268" t="s">
        <v>9730</v>
      </c>
      <c r="G965" s="3267"/>
      <c r="H965" s="3267" t="s">
        <v>3130</v>
      </c>
      <c r="I965" s="3268" t="s">
        <v>3586</v>
      </c>
      <c r="J965" s="3267" t="s">
        <v>5968</v>
      </c>
      <c r="K965" s="3267" t="s">
        <v>9731</v>
      </c>
      <c r="L965" s="3267">
        <v>152.08000000000001</v>
      </c>
      <c r="M965" s="3267">
        <v>9</v>
      </c>
      <c r="N965" s="3267" t="s">
        <v>3395</v>
      </c>
      <c r="O965" s="3267">
        <v>121.25</v>
      </c>
      <c r="P965" s="3267" t="s">
        <v>2963</v>
      </c>
      <c r="Q965" s="3271">
        <v>530000</v>
      </c>
      <c r="R965" s="3267">
        <v>3485</v>
      </c>
      <c r="S965" s="3272">
        <v>103.67</v>
      </c>
      <c r="T965" s="3273">
        <v>1036700</v>
      </c>
      <c r="U965" s="3267">
        <v>6817</v>
      </c>
      <c r="V965" s="3289">
        <v>0.3</v>
      </c>
      <c r="W965" s="3272">
        <v>72.56</v>
      </c>
      <c r="X965" s="3275">
        <v>725600</v>
      </c>
      <c r="Y965" s="3276">
        <v>2006</v>
      </c>
      <c r="Z965" s="3276">
        <v>12</v>
      </c>
      <c r="AA965" s="3276">
        <v>22</v>
      </c>
      <c r="AB965" s="3267">
        <v>1500</v>
      </c>
      <c r="AC965" s="3267" t="s">
        <v>2980</v>
      </c>
      <c r="AD965" s="3269" t="s">
        <v>9732</v>
      </c>
      <c r="AE965" s="3279" t="s">
        <v>3245</v>
      </c>
      <c r="AF965" s="3267" t="s">
        <v>2966</v>
      </c>
      <c r="AG965" s="3279" t="s">
        <v>2967</v>
      </c>
      <c r="AH965" s="3267"/>
      <c r="AI965" s="3279" t="s">
        <v>2992</v>
      </c>
      <c r="AJ965" s="3284"/>
      <c r="AK965" s="3278" t="s">
        <v>3120</v>
      </c>
      <c r="AL965" s="3276">
        <v>55</v>
      </c>
      <c r="AM965" s="3276"/>
      <c r="AN965" s="3279" t="s">
        <v>2994</v>
      </c>
      <c r="AO965" s="3267"/>
      <c r="AP965" s="3279" t="s">
        <v>3305</v>
      </c>
      <c r="AQ965" s="3276" t="s">
        <v>2996</v>
      </c>
      <c r="AR965" s="3276"/>
      <c r="AS965" s="3276"/>
      <c r="AT965" s="3276"/>
      <c r="AU965" s="3276"/>
      <c r="AV965" s="3276"/>
      <c r="AW965" s="3276" t="s">
        <v>3119</v>
      </c>
      <c r="AX965" s="3276"/>
      <c r="AY965" s="3291"/>
      <c r="AZ965" s="3267" t="s">
        <v>9731</v>
      </c>
      <c r="BA965" s="3296"/>
      <c r="BB965" s="3297"/>
      <c r="BC965" s="3296"/>
      <c r="BD965" s="3298"/>
      <c r="BE965" s="3276">
        <v>13901394482</v>
      </c>
      <c r="BF965" s="3281"/>
      <c r="BG965" s="3293">
        <v>39062</v>
      </c>
      <c r="BH965" s="3267" t="s">
        <v>2998</v>
      </c>
      <c r="BI965" s="3314" t="s">
        <v>3305</v>
      </c>
      <c r="BJ965" s="3283">
        <v>39070</v>
      </c>
      <c r="BK965" s="3283"/>
      <c r="BL965" s="3267" t="s">
        <v>3249</v>
      </c>
      <c r="BM965" s="3276" t="s">
        <v>2879</v>
      </c>
      <c r="BN965" s="3276" t="s">
        <v>3111</v>
      </c>
      <c r="BO965" s="3276" t="s">
        <v>3146</v>
      </c>
      <c r="BP965" s="3276"/>
      <c r="BQ965" s="3276">
        <v>8550</v>
      </c>
      <c r="BR965" s="3276">
        <v>4371</v>
      </c>
      <c r="BS965" s="3285"/>
      <c r="BT965" s="3285"/>
      <c r="BU965" s="3285"/>
    </row>
    <row r="966" spans="1:245" hidden="1">
      <c r="A966" s="3267" t="s">
        <v>9733</v>
      </c>
      <c r="B966" s="3267" t="s">
        <v>9734</v>
      </c>
      <c r="C966" s="3269" t="s">
        <v>9735</v>
      </c>
      <c r="D966" s="3269" t="s">
        <v>9736</v>
      </c>
      <c r="E966" s="3268" t="s">
        <v>2985</v>
      </c>
      <c r="F966" s="3268" t="s">
        <v>9737</v>
      </c>
      <c r="G966" s="3267"/>
      <c r="H966" s="3267" t="s">
        <v>6258</v>
      </c>
      <c r="I966" s="3268"/>
      <c r="J966" s="3267" t="s">
        <v>9738</v>
      </c>
      <c r="K966" s="3267" t="s">
        <v>9739</v>
      </c>
      <c r="L966" s="3267">
        <v>74.290000000000006</v>
      </c>
      <c r="M966" s="3267">
        <v>17</v>
      </c>
      <c r="N966" s="3267" t="s">
        <v>3122</v>
      </c>
      <c r="O966" s="3267"/>
      <c r="P966" s="3267" t="s">
        <v>2963</v>
      </c>
      <c r="Q966" s="3271">
        <v>740000</v>
      </c>
      <c r="R966" s="3267">
        <v>9961</v>
      </c>
      <c r="S966" s="3272">
        <v>62.98</v>
      </c>
      <c r="T966" s="3273">
        <v>629800</v>
      </c>
      <c r="U966" s="3267">
        <v>8478</v>
      </c>
      <c r="V966" s="3289">
        <v>0.2</v>
      </c>
      <c r="W966" s="3272">
        <v>50.38</v>
      </c>
      <c r="X966" s="3275">
        <v>503800</v>
      </c>
      <c r="Y966" s="3276">
        <v>2006</v>
      </c>
      <c r="Z966" s="3276">
        <v>12</v>
      </c>
      <c r="AA966" s="3276">
        <v>22</v>
      </c>
      <c r="AB966" s="3267">
        <v>1500</v>
      </c>
      <c r="AC966" s="3267" t="s">
        <v>2980</v>
      </c>
      <c r="AD966" s="3280" t="s">
        <v>9740</v>
      </c>
      <c r="AE966" s="3279" t="s">
        <v>3344</v>
      </c>
      <c r="AF966" s="3268" t="s">
        <v>2966</v>
      </c>
      <c r="AG966" s="3279" t="s">
        <v>2967</v>
      </c>
      <c r="AH966" s="3267"/>
      <c r="AI966" s="3279" t="s">
        <v>2992</v>
      </c>
      <c r="AJ966" s="3284"/>
      <c r="AK966" s="3278" t="s">
        <v>3120</v>
      </c>
      <c r="AL966" s="3276">
        <v>48</v>
      </c>
      <c r="AM966" s="3267"/>
      <c r="AN966" s="3279" t="s">
        <v>2994</v>
      </c>
      <c r="AO966" s="3267"/>
      <c r="AP966" s="3279" t="s">
        <v>3305</v>
      </c>
      <c r="AQ966" s="3276" t="s">
        <v>2996</v>
      </c>
      <c r="AR966" s="3276"/>
      <c r="AS966" s="3276"/>
      <c r="AT966" s="3276"/>
      <c r="AU966" s="3276"/>
      <c r="AV966" s="3276"/>
      <c r="AW966" s="3276" t="s">
        <v>3171</v>
      </c>
      <c r="AX966" s="3276"/>
      <c r="AY966" s="3291"/>
      <c r="AZ966" s="3267" t="s">
        <v>9739</v>
      </c>
      <c r="BA966" s="3296"/>
      <c r="BB966" s="3297"/>
      <c r="BC966" s="3296"/>
      <c r="BD966" s="3298"/>
      <c r="BE966" s="3276">
        <v>13161572713</v>
      </c>
      <c r="BF966" s="3281"/>
      <c r="BG966" s="3293">
        <v>39051</v>
      </c>
      <c r="BH966" s="3267" t="s">
        <v>2998</v>
      </c>
      <c r="BI966" s="3314" t="s">
        <v>3305</v>
      </c>
      <c r="BJ966" s="3283">
        <v>39069</v>
      </c>
      <c r="BK966" s="3283"/>
      <c r="BL966" s="3267" t="s">
        <v>3249</v>
      </c>
      <c r="BM966" s="3276" t="s">
        <v>2879</v>
      </c>
      <c r="BN966" s="3276" t="s">
        <v>2999</v>
      </c>
      <c r="BO966" s="3276" t="s">
        <v>3146</v>
      </c>
      <c r="BP966" s="3276"/>
      <c r="BQ966" s="3276" t="e">
        <v>#DIV/0!</v>
      </c>
      <c r="BR966" s="3276" t="e">
        <v>#DIV/0!</v>
      </c>
      <c r="BS966" s="3285"/>
      <c r="BT966" s="3285"/>
      <c r="BU966" s="3285"/>
    </row>
    <row r="967" spans="1:245" hidden="1">
      <c r="A967" s="3267" t="s">
        <v>9741</v>
      </c>
      <c r="B967" s="3267" t="s">
        <v>9742</v>
      </c>
      <c r="C967" s="3269" t="s">
        <v>9743</v>
      </c>
      <c r="D967" s="3267">
        <v>13810002064</v>
      </c>
      <c r="E967" s="3267" t="s">
        <v>2985</v>
      </c>
      <c r="F967" s="3267" t="s">
        <v>9744</v>
      </c>
      <c r="G967" s="3267"/>
      <c r="H967" s="3267" t="s">
        <v>3765</v>
      </c>
      <c r="I967" s="3267"/>
      <c r="J967" s="3267" t="s">
        <v>3413</v>
      </c>
      <c r="K967" s="3268" t="s">
        <v>9745</v>
      </c>
      <c r="L967" s="3267">
        <v>97.52</v>
      </c>
      <c r="M967" s="3267">
        <v>16</v>
      </c>
      <c r="N967" s="3267" t="s">
        <v>3122</v>
      </c>
      <c r="O967" s="3267"/>
      <c r="P967" s="3267" t="s">
        <v>2963</v>
      </c>
      <c r="Q967" s="3267">
        <v>600000</v>
      </c>
      <c r="R967" s="3267">
        <v>6153</v>
      </c>
      <c r="S967" s="3272">
        <v>64.09</v>
      </c>
      <c r="T967" s="3273">
        <v>640900</v>
      </c>
      <c r="U967" s="3267">
        <v>6572</v>
      </c>
      <c r="V967" s="3274">
        <v>0.3</v>
      </c>
      <c r="W967" s="3272">
        <v>44.86</v>
      </c>
      <c r="X967" s="3275">
        <v>448600</v>
      </c>
      <c r="Y967" s="3267">
        <v>2006</v>
      </c>
      <c r="Z967" s="3267">
        <v>12</v>
      </c>
      <c r="AA967" s="3276">
        <v>21</v>
      </c>
      <c r="AB967" s="3267">
        <v>1500</v>
      </c>
      <c r="AC967" s="3267" t="s">
        <v>2980</v>
      </c>
      <c r="AD967" s="3280" t="s">
        <v>9746</v>
      </c>
      <c r="AE967" s="3267" t="s">
        <v>3069</v>
      </c>
      <c r="AF967" s="3267" t="s">
        <v>2966</v>
      </c>
      <c r="AG967" s="3267" t="s">
        <v>2967</v>
      </c>
      <c r="AH967" s="3267"/>
      <c r="AI967" s="3267" t="s">
        <v>2992</v>
      </c>
      <c r="AJ967" s="3284"/>
      <c r="AK967" s="3267" t="s">
        <v>3120</v>
      </c>
      <c r="AL967" s="3267" t="s">
        <v>8392</v>
      </c>
      <c r="AM967" s="3267"/>
      <c r="AN967" s="3267" t="s">
        <v>2994</v>
      </c>
      <c r="AO967" s="3267"/>
      <c r="AP967" s="3267" t="s">
        <v>3069</v>
      </c>
      <c r="AQ967" s="3276" t="s">
        <v>2996</v>
      </c>
      <c r="AR967" s="3267"/>
      <c r="AS967" s="3267"/>
      <c r="AT967" s="3267"/>
      <c r="AU967" s="3267"/>
      <c r="AV967" s="3267"/>
      <c r="AW967" s="3267" t="s">
        <v>3171</v>
      </c>
      <c r="AX967" s="3267"/>
      <c r="AY967" s="3269"/>
      <c r="AZ967" s="3268" t="s">
        <v>9745</v>
      </c>
      <c r="BA967" s="3267"/>
      <c r="BB967" s="3267"/>
      <c r="BC967" s="3267"/>
      <c r="BD967" s="3267"/>
      <c r="BE967" s="3267"/>
      <c r="BF967" s="3267"/>
      <c r="BG967" s="3307">
        <v>39070</v>
      </c>
      <c r="BH967" s="3267"/>
      <c r="BI967" s="3279" t="s">
        <v>3069</v>
      </c>
      <c r="BJ967" s="3307">
        <v>39070</v>
      </c>
      <c r="BK967" s="3283"/>
      <c r="BL967" s="3267" t="s">
        <v>2998</v>
      </c>
      <c r="BM967" s="3267" t="s">
        <v>2879</v>
      </c>
      <c r="BN967" s="3267" t="s">
        <v>3111</v>
      </c>
      <c r="BO967" s="3267" t="s">
        <v>3000</v>
      </c>
      <c r="BP967" s="3267"/>
      <c r="BQ967" s="3276" t="e">
        <v>#DIV/0!</v>
      </c>
      <c r="BR967" s="3276" t="e">
        <v>#DIV/0!</v>
      </c>
      <c r="BS967" s="3285"/>
      <c r="BT967" s="3285"/>
      <c r="BU967" s="3285"/>
    </row>
    <row r="968" spans="1:245" hidden="1">
      <c r="A968" s="3267" t="s">
        <v>9747</v>
      </c>
      <c r="B968" s="3267" t="s">
        <v>9748</v>
      </c>
      <c r="C968" s="3269" t="s">
        <v>9749</v>
      </c>
      <c r="D968" s="3269" t="s">
        <v>9750</v>
      </c>
      <c r="E968" s="3267" t="s">
        <v>2985</v>
      </c>
      <c r="F968" s="3308" t="s">
        <v>9751</v>
      </c>
      <c r="G968" s="3267"/>
      <c r="H968" s="3268" t="s">
        <v>3178</v>
      </c>
      <c r="I968" s="3268"/>
      <c r="J968" s="3269" t="s">
        <v>3126</v>
      </c>
      <c r="K968" s="3267" t="s">
        <v>9752</v>
      </c>
      <c r="L968" s="3267">
        <v>151.49</v>
      </c>
      <c r="M968" s="3267">
        <v>6</v>
      </c>
      <c r="N968" s="3267" t="s">
        <v>3303</v>
      </c>
      <c r="O968" s="3267">
        <v>121.67</v>
      </c>
      <c r="P968" s="3267" t="s">
        <v>2963</v>
      </c>
      <c r="Q968" s="3271">
        <v>1200000</v>
      </c>
      <c r="R968" s="3267">
        <v>7921</v>
      </c>
      <c r="S968" s="3272">
        <v>120.26</v>
      </c>
      <c r="T968" s="3273">
        <v>1202600</v>
      </c>
      <c r="U968" s="3267">
        <v>7939</v>
      </c>
      <c r="V968" s="3289">
        <v>0.3</v>
      </c>
      <c r="W968" s="3272">
        <v>84.18</v>
      </c>
      <c r="X968" s="3275">
        <v>841800.00000000012</v>
      </c>
      <c r="Y968" s="3276">
        <v>2006</v>
      </c>
      <c r="Z968" s="3276">
        <v>12</v>
      </c>
      <c r="AA968" s="3276">
        <v>31</v>
      </c>
      <c r="AB968" s="3267">
        <v>1500</v>
      </c>
      <c r="AC968" s="3267" t="s">
        <v>2980</v>
      </c>
      <c r="AD968" s="3269" t="s">
        <v>9753</v>
      </c>
      <c r="AE968" s="3276" t="s">
        <v>3344</v>
      </c>
      <c r="AF968" s="3267" t="s">
        <v>2966</v>
      </c>
      <c r="AG968" s="3279" t="s">
        <v>2967</v>
      </c>
      <c r="AH968" s="3267" t="s">
        <v>9754</v>
      </c>
      <c r="AI968" s="3279" t="s">
        <v>2992</v>
      </c>
      <c r="AJ968" s="3284"/>
      <c r="AK968" s="3278" t="s">
        <v>3120</v>
      </c>
      <c r="AL968" s="3276">
        <v>56</v>
      </c>
      <c r="AM968" s="3276"/>
      <c r="AN968" s="3279" t="s">
        <v>3099</v>
      </c>
      <c r="AO968" s="3276"/>
      <c r="AP968" s="3279" t="s">
        <v>3305</v>
      </c>
      <c r="AQ968" s="3276" t="s">
        <v>3113</v>
      </c>
      <c r="AR968" s="3276"/>
      <c r="AS968" s="3276"/>
      <c r="AT968" s="3276"/>
      <c r="AU968" s="3276"/>
      <c r="AV968" s="3276"/>
      <c r="AW968" s="3276" t="s">
        <v>3171</v>
      </c>
      <c r="AX968" s="3276"/>
      <c r="AY968" s="3291"/>
      <c r="AZ968" s="3276" t="s">
        <v>9752</v>
      </c>
      <c r="BA968" s="3276"/>
      <c r="BB968" s="3291"/>
      <c r="BC968" s="3276"/>
      <c r="BD968" s="3292"/>
      <c r="BE968" s="3276"/>
      <c r="BF968" s="3281"/>
      <c r="BG968" s="3299">
        <v>39062</v>
      </c>
      <c r="BH968" s="3276" t="s">
        <v>2998</v>
      </c>
      <c r="BI968" s="3314" t="s">
        <v>3305</v>
      </c>
      <c r="BJ968" s="3283">
        <v>39070</v>
      </c>
      <c r="BK968" s="3299"/>
      <c r="BL968" s="3267" t="s">
        <v>3249</v>
      </c>
      <c r="BM968" s="3276" t="s">
        <v>2879</v>
      </c>
      <c r="BN968" s="3276" t="s">
        <v>2999</v>
      </c>
      <c r="BO968" s="3276" t="s">
        <v>3146</v>
      </c>
      <c r="BP968" s="3276"/>
      <c r="BQ968" s="3276">
        <v>9884</v>
      </c>
      <c r="BR968" s="3276">
        <v>9863</v>
      </c>
      <c r="BS968" s="3285"/>
      <c r="BT968" s="3285"/>
      <c r="BU968" s="3285"/>
    </row>
    <row r="969" spans="1:245" hidden="1">
      <c r="A969" s="3267" t="s">
        <v>9755</v>
      </c>
      <c r="B969" s="3267" t="s">
        <v>9756</v>
      </c>
      <c r="C969" s="3269" t="s">
        <v>9757</v>
      </c>
      <c r="D969" s="3269" t="s">
        <v>9758</v>
      </c>
      <c r="E969" s="3268" t="s">
        <v>2985</v>
      </c>
      <c r="F969" s="3268" t="s">
        <v>3350</v>
      </c>
      <c r="G969" s="3267"/>
      <c r="H969" s="3267" t="s">
        <v>5449</v>
      </c>
      <c r="I969" s="3268"/>
      <c r="J969" s="3267" t="s">
        <v>9759</v>
      </c>
      <c r="K969" s="3267" t="s">
        <v>9760</v>
      </c>
      <c r="L969" s="3267">
        <v>108.16</v>
      </c>
      <c r="M969" s="3267">
        <v>7</v>
      </c>
      <c r="N969" s="3267" t="s">
        <v>3303</v>
      </c>
      <c r="O969" s="3267"/>
      <c r="P969" s="3267" t="s">
        <v>2963</v>
      </c>
      <c r="Q969" s="3271">
        <v>926000</v>
      </c>
      <c r="R969" s="3288">
        <v>8561</v>
      </c>
      <c r="S969" s="3272">
        <v>79.27</v>
      </c>
      <c r="T969" s="3273">
        <v>792700</v>
      </c>
      <c r="U969" s="3267">
        <v>7329</v>
      </c>
      <c r="V969" s="3289">
        <v>0.3</v>
      </c>
      <c r="W969" s="3272">
        <v>55.48</v>
      </c>
      <c r="X969" s="3273">
        <v>554800</v>
      </c>
      <c r="Y969" s="3267">
        <v>2006</v>
      </c>
      <c r="Z969" s="3276">
        <v>12</v>
      </c>
      <c r="AA969" s="3276">
        <v>21</v>
      </c>
      <c r="AB969" s="3267">
        <v>1500</v>
      </c>
      <c r="AC969" s="3267" t="s">
        <v>2980</v>
      </c>
      <c r="AD969" s="3269" t="s">
        <v>9761</v>
      </c>
      <c r="AE969" s="3279" t="s">
        <v>3344</v>
      </c>
      <c r="AF969" s="3268" t="s">
        <v>2966</v>
      </c>
      <c r="AG969" s="3279" t="s">
        <v>2967</v>
      </c>
      <c r="AH969" s="3267"/>
      <c r="AI969" s="3279" t="s">
        <v>2992</v>
      </c>
      <c r="AJ969" s="3284"/>
      <c r="AK969" s="3278" t="s">
        <v>3120</v>
      </c>
      <c r="AL969" s="3276">
        <v>55</v>
      </c>
      <c r="AM969" s="3267"/>
      <c r="AN969" s="3279" t="s">
        <v>2994</v>
      </c>
      <c r="AO969" s="3267"/>
      <c r="AP969" s="3279" t="s">
        <v>3305</v>
      </c>
      <c r="AQ969" s="3276" t="s">
        <v>2996</v>
      </c>
      <c r="AR969" s="3276"/>
      <c r="AS969" s="3276"/>
      <c r="AT969" s="3276"/>
      <c r="AU969" s="3276"/>
      <c r="AV969" s="3276"/>
      <c r="AW969" s="3276" t="s">
        <v>3171</v>
      </c>
      <c r="AX969" s="3276"/>
      <c r="AY969" s="3291"/>
      <c r="AZ969" s="3267" t="s">
        <v>9760</v>
      </c>
      <c r="BA969" s="3296"/>
      <c r="BB969" s="3297"/>
      <c r="BC969" s="3296"/>
      <c r="BD969" s="3298"/>
      <c r="BE969" s="3276">
        <v>13501189898</v>
      </c>
      <c r="BF969" s="3281"/>
      <c r="BG969" s="3293">
        <v>39059</v>
      </c>
      <c r="BH969" s="3267" t="s">
        <v>2998</v>
      </c>
      <c r="BI969" s="3314" t="s">
        <v>3305</v>
      </c>
      <c r="BJ969" s="3283">
        <v>39071</v>
      </c>
      <c r="BK969" s="3283"/>
      <c r="BL969" s="3267" t="s">
        <v>3249</v>
      </c>
      <c r="BM969" s="3276" t="s">
        <v>2879</v>
      </c>
      <c r="BN969" s="3276" t="s">
        <v>2999</v>
      </c>
      <c r="BO969" s="3276" t="s">
        <v>3146</v>
      </c>
      <c r="BP969" s="3276"/>
      <c r="BQ969" s="3276" t="e">
        <v>#DIV/0!</v>
      </c>
      <c r="BR969" s="3276" t="e">
        <v>#DIV/0!</v>
      </c>
      <c r="BS969" s="3285"/>
      <c r="BT969" s="3285"/>
      <c r="BU969" s="3285"/>
    </row>
    <row r="970" spans="1:245" hidden="1">
      <c r="A970" s="3267" t="s">
        <v>9762</v>
      </c>
      <c r="B970" s="3267" t="s">
        <v>3166</v>
      </c>
      <c r="C970" s="3269" t="s">
        <v>9763</v>
      </c>
      <c r="D970" s="3269" t="s">
        <v>9764</v>
      </c>
      <c r="E970" s="3268" t="s">
        <v>2985</v>
      </c>
      <c r="F970" s="3268" t="s">
        <v>9765</v>
      </c>
      <c r="G970" s="3267"/>
      <c r="H970" s="3267" t="s">
        <v>3124</v>
      </c>
      <c r="I970" s="3268"/>
      <c r="J970" s="3267" t="s">
        <v>3866</v>
      </c>
      <c r="K970" s="3267" t="s">
        <v>9766</v>
      </c>
      <c r="L970" s="3267">
        <v>109.8</v>
      </c>
      <c r="M970" s="3267">
        <v>16</v>
      </c>
      <c r="N970" s="3267" t="s">
        <v>3098</v>
      </c>
      <c r="O970" s="3267">
        <v>93.14</v>
      </c>
      <c r="P970" s="3267" t="s">
        <v>2963</v>
      </c>
      <c r="Q970" s="3271">
        <v>1126000</v>
      </c>
      <c r="R970" s="3288">
        <v>10255</v>
      </c>
      <c r="S970" s="3272">
        <v>93.4</v>
      </c>
      <c r="T970" s="3273">
        <v>934000</v>
      </c>
      <c r="U970" s="3267">
        <v>8507</v>
      </c>
      <c r="V970" s="3289">
        <v>0.3</v>
      </c>
      <c r="W970" s="3272">
        <v>65.38</v>
      </c>
      <c r="X970" s="3273">
        <v>653800</v>
      </c>
      <c r="Y970" s="3267">
        <v>2006</v>
      </c>
      <c r="Z970" s="3276">
        <v>12</v>
      </c>
      <c r="AA970" s="3276">
        <v>26</v>
      </c>
      <c r="AB970" s="3267">
        <v>1500</v>
      </c>
      <c r="AC970" s="3267" t="s">
        <v>2980</v>
      </c>
      <c r="AD970" s="3366" t="s">
        <v>9767</v>
      </c>
      <c r="AE970" s="3279" t="s">
        <v>3344</v>
      </c>
      <c r="AF970" s="3268" t="s">
        <v>2966</v>
      </c>
      <c r="AG970" s="3279" t="s">
        <v>2967</v>
      </c>
      <c r="AH970" s="3267"/>
      <c r="AI970" s="3279" t="s">
        <v>2992</v>
      </c>
      <c r="AJ970" s="3284"/>
      <c r="AK970" s="3278" t="s">
        <v>3120</v>
      </c>
      <c r="AL970" s="3276">
        <v>57</v>
      </c>
      <c r="AM970" s="3267"/>
      <c r="AN970" s="3279" t="s">
        <v>3099</v>
      </c>
      <c r="AO970" s="3267"/>
      <c r="AP970" s="3279" t="s">
        <v>3305</v>
      </c>
      <c r="AQ970" s="3276" t="s">
        <v>3113</v>
      </c>
      <c r="AR970" s="3276">
        <v>2006</v>
      </c>
      <c r="AS970" s="3276">
        <v>12</v>
      </c>
      <c r="AT970" s="3276">
        <v>26</v>
      </c>
      <c r="AU970" s="3276"/>
      <c r="AV970" s="3276"/>
      <c r="AW970" s="3276" t="s">
        <v>3171</v>
      </c>
      <c r="AX970" s="3276"/>
      <c r="AY970" s="3291"/>
      <c r="AZ970" s="3267" t="s">
        <v>9766</v>
      </c>
      <c r="BA970" s="3296"/>
      <c r="BB970" s="3297"/>
      <c r="BC970" s="3296"/>
      <c r="BD970" s="3298"/>
      <c r="BE970" s="3276">
        <v>13601366627</v>
      </c>
      <c r="BF970" s="3281"/>
      <c r="BG970" s="3293">
        <v>39066</v>
      </c>
      <c r="BH970" s="3267" t="s">
        <v>2998</v>
      </c>
      <c r="BI970" s="3314" t="s">
        <v>3305</v>
      </c>
      <c r="BJ970" s="3283">
        <v>39071</v>
      </c>
      <c r="BK970" s="3283"/>
      <c r="BL970" s="3267" t="s">
        <v>3249</v>
      </c>
      <c r="BM970" s="3276" t="s">
        <v>2879</v>
      </c>
      <c r="BN970" s="3276" t="s">
        <v>2999</v>
      </c>
      <c r="BO970" s="3276" t="s">
        <v>3146</v>
      </c>
      <c r="BP970" s="3276"/>
      <c r="BQ970" s="3276">
        <v>10028</v>
      </c>
      <c r="BR970" s="3276">
        <v>12089</v>
      </c>
      <c r="BS970" s="3285"/>
      <c r="BT970" s="3285"/>
      <c r="BU970" s="3285"/>
    </row>
    <row r="971" spans="1:245" hidden="1">
      <c r="A971" s="3267" t="s">
        <v>9768</v>
      </c>
      <c r="B971" s="3267" t="s">
        <v>9769</v>
      </c>
      <c r="C971" s="3269" t="s">
        <v>9770</v>
      </c>
      <c r="D971" s="3267">
        <v>66410729</v>
      </c>
      <c r="E971" s="3267" t="s">
        <v>2985</v>
      </c>
      <c r="F971" s="3267" t="s">
        <v>7105</v>
      </c>
      <c r="G971" s="3267"/>
      <c r="H971" s="3267" t="s">
        <v>3181</v>
      </c>
      <c r="I971" s="3267"/>
      <c r="J971" s="3267" t="s">
        <v>9771</v>
      </c>
      <c r="K971" s="3268" t="s">
        <v>9772</v>
      </c>
      <c r="L971" s="3267">
        <v>77.150000000000006</v>
      </c>
      <c r="M971" s="3267">
        <v>11</v>
      </c>
      <c r="N971" s="3267" t="s">
        <v>3122</v>
      </c>
      <c r="O971" s="3267"/>
      <c r="P971" s="3267" t="s">
        <v>2963</v>
      </c>
      <c r="Q971" s="3267">
        <v>650000</v>
      </c>
      <c r="R971" s="3267">
        <v>8425</v>
      </c>
      <c r="S971" s="3272">
        <v>63.59</v>
      </c>
      <c r="T971" s="3273">
        <v>635900</v>
      </c>
      <c r="U971" s="3267">
        <v>8243</v>
      </c>
      <c r="V971" s="3274">
        <v>0.2</v>
      </c>
      <c r="W971" s="3272">
        <v>50.87</v>
      </c>
      <c r="X971" s="3275">
        <v>508700</v>
      </c>
      <c r="Y971" s="3267">
        <v>2006</v>
      </c>
      <c r="Z971" s="3267">
        <v>12</v>
      </c>
      <c r="AA971" s="3276">
        <v>22</v>
      </c>
      <c r="AB971" s="3267">
        <v>1500</v>
      </c>
      <c r="AC971" s="3267" t="s">
        <v>2980</v>
      </c>
      <c r="AD971" s="3280" t="s">
        <v>9773</v>
      </c>
      <c r="AE971" s="3267" t="s">
        <v>3069</v>
      </c>
      <c r="AF971" s="3267" t="s">
        <v>2966</v>
      </c>
      <c r="AG971" s="3267" t="s">
        <v>2967</v>
      </c>
      <c r="AH971" s="3267"/>
      <c r="AI971" s="3267" t="s">
        <v>2992</v>
      </c>
      <c r="AJ971" s="3284"/>
      <c r="AK971" s="3267" t="s">
        <v>3120</v>
      </c>
      <c r="AL971" s="3267" t="s">
        <v>8215</v>
      </c>
      <c r="AM971" s="3267"/>
      <c r="AN971" s="3267" t="s">
        <v>2994</v>
      </c>
      <c r="AO971" s="3267"/>
      <c r="AP971" s="3267" t="s">
        <v>3069</v>
      </c>
      <c r="AQ971" s="3276" t="s">
        <v>2996</v>
      </c>
      <c r="AR971" s="3267"/>
      <c r="AS971" s="3267"/>
      <c r="AT971" s="3267"/>
      <c r="AU971" s="3267"/>
      <c r="AV971" s="3267"/>
      <c r="AW971" s="3267" t="s">
        <v>3112</v>
      </c>
      <c r="AX971" s="3267"/>
      <c r="AY971" s="3269"/>
      <c r="AZ971" s="3268" t="s">
        <v>9772</v>
      </c>
      <c r="BA971" s="3267"/>
      <c r="BB971" s="3267"/>
      <c r="BC971" s="3267"/>
      <c r="BD971" s="3267"/>
      <c r="BE971" s="3267"/>
      <c r="BF971" s="3267"/>
      <c r="BG971" s="3307">
        <v>39043</v>
      </c>
      <c r="BH971" s="3267"/>
      <c r="BI971" s="3279" t="s">
        <v>3069</v>
      </c>
      <c r="BJ971" s="3307">
        <v>39071</v>
      </c>
      <c r="BK971" s="3283"/>
      <c r="BL971" s="3267" t="s">
        <v>2998</v>
      </c>
      <c r="BM971" s="3267" t="s">
        <v>2879</v>
      </c>
      <c r="BN971" s="3267" t="s">
        <v>2999</v>
      </c>
      <c r="BO971" s="3267" t="s">
        <v>3000</v>
      </c>
      <c r="BP971" s="3267"/>
      <c r="BQ971" s="3276" t="e">
        <v>#DIV/0!</v>
      </c>
      <c r="BR971" s="3276" t="e">
        <v>#DIV/0!</v>
      </c>
      <c r="BS971" s="3285"/>
      <c r="BT971" s="3285"/>
      <c r="BU971" s="3285"/>
    </row>
    <row r="972" spans="1:245" hidden="1">
      <c r="A972" s="3267" t="s">
        <v>9774</v>
      </c>
      <c r="B972" s="3267" t="s">
        <v>9775</v>
      </c>
      <c r="C972" s="3269" t="s">
        <v>9776</v>
      </c>
      <c r="D972" s="3269" t="s">
        <v>9777</v>
      </c>
      <c r="E972" s="3268" t="s">
        <v>2985</v>
      </c>
      <c r="F972" s="3268" t="s">
        <v>4412</v>
      </c>
      <c r="G972" s="3267"/>
      <c r="H972" s="3267" t="s">
        <v>6364</v>
      </c>
      <c r="I972" s="3268"/>
      <c r="J972" s="3268" t="s">
        <v>5273</v>
      </c>
      <c r="K972" s="3267" t="s">
        <v>9778</v>
      </c>
      <c r="L972" s="3267">
        <v>92.48</v>
      </c>
      <c r="M972" s="3267">
        <v>18</v>
      </c>
      <c r="N972" s="3267" t="s">
        <v>3122</v>
      </c>
      <c r="O972" s="3267"/>
      <c r="P972" s="3267" t="s">
        <v>2963</v>
      </c>
      <c r="Q972" s="3271">
        <v>750000</v>
      </c>
      <c r="R972" s="3267">
        <v>8110</v>
      </c>
      <c r="S972" s="3272">
        <v>66.88</v>
      </c>
      <c r="T972" s="3273">
        <v>668800</v>
      </c>
      <c r="U972" s="3267">
        <v>7232</v>
      </c>
      <c r="V972" s="3289">
        <v>0.3</v>
      </c>
      <c r="W972" s="3272">
        <v>46.81</v>
      </c>
      <c r="X972" s="3275">
        <v>468100</v>
      </c>
      <c r="Y972" s="3276">
        <v>2006</v>
      </c>
      <c r="Z972" s="3276">
        <v>12</v>
      </c>
      <c r="AA972" s="3276">
        <v>30</v>
      </c>
      <c r="AB972" s="3267">
        <v>1500</v>
      </c>
      <c r="AC972" s="3267" t="s">
        <v>2980</v>
      </c>
      <c r="AD972" s="3366">
        <v>91302006121025</v>
      </c>
      <c r="AE972" s="3279" t="s">
        <v>2991</v>
      </c>
      <c r="AF972" s="3268"/>
      <c r="AG972" s="3279" t="s">
        <v>2967</v>
      </c>
      <c r="AH972" s="3267"/>
      <c r="AI972" s="3279" t="s">
        <v>2992</v>
      </c>
      <c r="AJ972" s="3284"/>
      <c r="AK972" s="3278" t="s">
        <v>3120</v>
      </c>
      <c r="AL972" s="3276">
        <v>56</v>
      </c>
      <c r="AM972" s="3276"/>
      <c r="AN972" s="3279" t="s">
        <v>3099</v>
      </c>
      <c r="AO972" s="3267"/>
      <c r="AP972" s="3279" t="s">
        <v>2991</v>
      </c>
      <c r="AQ972" s="3276" t="s">
        <v>3113</v>
      </c>
      <c r="AR972" s="3276">
        <v>2006</v>
      </c>
      <c r="AS972" s="3276">
        <v>12</v>
      </c>
      <c r="AT972" s="3276">
        <v>30</v>
      </c>
      <c r="AU972" s="3276"/>
      <c r="AV972" s="3276"/>
      <c r="AW972" s="3276" t="s">
        <v>2997</v>
      </c>
      <c r="AX972" s="3276"/>
      <c r="AY972" s="3291"/>
      <c r="AZ972" s="3267" t="s">
        <v>9778</v>
      </c>
      <c r="BA972" s="3296"/>
      <c r="BB972" s="3297"/>
      <c r="BC972" s="3296"/>
      <c r="BD972" s="3298"/>
      <c r="BE972" s="3276"/>
      <c r="BF972" s="3281"/>
      <c r="BG972" s="3293">
        <v>39059</v>
      </c>
      <c r="BH972" s="3267"/>
      <c r="BI972" s="3279" t="s">
        <v>2991</v>
      </c>
      <c r="BJ972" s="3299">
        <v>39071</v>
      </c>
      <c r="BK972" s="3283" t="s">
        <v>2968</v>
      </c>
      <c r="BL972" s="3267" t="s">
        <v>2998</v>
      </c>
      <c r="BM972" s="3276" t="s">
        <v>2879</v>
      </c>
      <c r="BN972" s="3276" t="s">
        <v>2999</v>
      </c>
      <c r="BO972" s="3276" t="s">
        <v>3146</v>
      </c>
      <c r="BP972" s="3276"/>
      <c r="BQ972" s="3276" t="e">
        <v>#DIV/0!</v>
      </c>
      <c r="BR972" s="3276" t="e">
        <v>#DIV/0!</v>
      </c>
      <c r="BS972" s="3285"/>
      <c r="BT972" s="3285"/>
      <c r="BU972" s="3285"/>
      <c r="BW972" s="3262" t="s">
        <v>3262</v>
      </c>
      <c r="BX972" s="3262" t="s">
        <v>3262</v>
      </c>
      <c r="BY972" s="3262" t="s">
        <v>3262</v>
      </c>
      <c r="BZ972" s="3262" t="s">
        <v>3262</v>
      </c>
      <c r="CA972" s="3262" t="s">
        <v>3262</v>
      </c>
      <c r="CB972" s="3262" t="s">
        <v>3262</v>
      </c>
      <c r="CC972" s="3262" t="s">
        <v>3262</v>
      </c>
      <c r="CD972" s="3262" t="s">
        <v>3262</v>
      </c>
      <c r="CE972" s="3262" t="s">
        <v>3262</v>
      </c>
      <c r="CF972" s="3262" t="s">
        <v>3262</v>
      </c>
      <c r="CG972" s="3262" t="s">
        <v>3262</v>
      </c>
      <c r="CH972" s="3262" t="s">
        <v>3262</v>
      </c>
      <c r="CI972" s="3262" t="s">
        <v>3262</v>
      </c>
      <c r="CJ972" s="3262" t="s">
        <v>3262</v>
      </c>
      <c r="CK972" s="3262" t="s">
        <v>3262</v>
      </c>
      <c r="CL972" s="3262" t="s">
        <v>3262</v>
      </c>
      <c r="CM972" s="3262" t="s">
        <v>3262</v>
      </c>
      <c r="CN972" s="3262" t="s">
        <v>3262</v>
      </c>
      <c r="CO972" s="3262" t="s">
        <v>3262</v>
      </c>
      <c r="CP972" s="3262" t="s">
        <v>3262</v>
      </c>
      <c r="CQ972" s="3262" t="s">
        <v>3262</v>
      </c>
      <c r="CR972" s="3262" t="s">
        <v>3262</v>
      </c>
      <c r="CS972" s="3262" t="s">
        <v>3262</v>
      </c>
      <c r="CT972" s="3262" t="s">
        <v>3262</v>
      </c>
      <c r="CU972" s="3262" t="s">
        <v>3262</v>
      </c>
      <c r="CV972" s="3262" t="s">
        <v>3262</v>
      </c>
      <c r="CW972" s="3262" t="s">
        <v>3262</v>
      </c>
      <c r="CX972" s="3262" t="s">
        <v>3262</v>
      </c>
      <c r="CY972" s="3262" t="s">
        <v>3262</v>
      </c>
      <c r="CZ972" s="3262" t="s">
        <v>3262</v>
      </c>
      <c r="DA972" s="3262" t="s">
        <v>3262</v>
      </c>
      <c r="DB972" s="3262" t="s">
        <v>3262</v>
      </c>
      <c r="DC972" s="3262" t="s">
        <v>3262</v>
      </c>
      <c r="DD972" s="3262" t="s">
        <v>3262</v>
      </c>
      <c r="DE972" s="3262" t="s">
        <v>3262</v>
      </c>
      <c r="DF972" s="3262" t="s">
        <v>3262</v>
      </c>
      <c r="DG972" s="3262" t="s">
        <v>3262</v>
      </c>
      <c r="DH972" s="3262" t="s">
        <v>3262</v>
      </c>
      <c r="DI972" s="3262" t="s">
        <v>3262</v>
      </c>
      <c r="DJ972" s="3262" t="s">
        <v>3262</v>
      </c>
      <c r="DK972" s="3262" t="s">
        <v>3262</v>
      </c>
      <c r="DL972" s="3262" t="s">
        <v>3262</v>
      </c>
      <c r="DM972" s="3262" t="s">
        <v>3262</v>
      </c>
      <c r="DN972" s="3262" t="s">
        <v>3262</v>
      </c>
      <c r="DO972" s="3262" t="s">
        <v>3262</v>
      </c>
      <c r="DP972" s="3262" t="s">
        <v>3262</v>
      </c>
      <c r="DQ972" s="3262" t="s">
        <v>3262</v>
      </c>
      <c r="DR972" s="3262" t="s">
        <v>3262</v>
      </c>
      <c r="DS972" s="3262" t="s">
        <v>3262</v>
      </c>
      <c r="DT972" s="3262" t="s">
        <v>3262</v>
      </c>
      <c r="DU972" s="3262" t="s">
        <v>3262</v>
      </c>
      <c r="DV972" s="3262" t="s">
        <v>3262</v>
      </c>
      <c r="DW972" s="3262" t="s">
        <v>3262</v>
      </c>
      <c r="DX972" s="3262" t="s">
        <v>3262</v>
      </c>
      <c r="DY972" s="3262" t="s">
        <v>3262</v>
      </c>
      <c r="DZ972" s="3262" t="s">
        <v>3262</v>
      </c>
      <c r="EA972" s="3262" t="s">
        <v>3262</v>
      </c>
      <c r="EB972" s="3262" t="s">
        <v>3262</v>
      </c>
      <c r="EC972" s="3262" t="s">
        <v>3262</v>
      </c>
      <c r="ED972" s="3262" t="s">
        <v>3262</v>
      </c>
      <c r="EE972" s="3262" t="s">
        <v>3262</v>
      </c>
      <c r="EF972" s="3262" t="s">
        <v>3262</v>
      </c>
      <c r="EG972" s="3262" t="s">
        <v>3262</v>
      </c>
      <c r="EH972" s="3262" t="s">
        <v>3262</v>
      </c>
      <c r="EI972" s="3262" t="s">
        <v>3262</v>
      </c>
      <c r="EJ972" s="3262" t="s">
        <v>3262</v>
      </c>
      <c r="EK972" s="3262" t="s">
        <v>3262</v>
      </c>
      <c r="EL972" s="3262" t="s">
        <v>3262</v>
      </c>
      <c r="EM972" s="3262" t="s">
        <v>3262</v>
      </c>
      <c r="EN972" s="3262" t="s">
        <v>3262</v>
      </c>
      <c r="EO972" s="3262" t="s">
        <v>3262</v>
      </c>
      <c r="EP972" s="3262" t="s">
        <v>3262</v>
      </c>
      <c r="EQ972" s="3262" t="s">
        <v>3262</v>
      </c>
      <c r="ER972" s="3262" t="s">
        <v>3262</v>
      </c>
      <c r="ES972" s="3262" t="s">
        <v>3262</v>
      </c>
      <c r="ET972" s="3262" t="s">
        <v>3262</v>
      </c>
      <c r="EU972" s="3262" t="s">
        <v>3262</v>
      </c>
      <c r="EV972" s="3262" t="s">
        <v>3262</v>
      </c>
      <c r="EW972" s="3262" t="s">
        <v>3262</v>
      </c>
      <c r="EX972" s="3262" t="s">
        <v>3262</v>
      </c>
      <c r="EY972" s="3262" t="s">
        <v>3262</v>
      </c>
      <c r="EZ972" s="3262" t="s">
        <v>3262</v>
      </c>
      <c r="FA972" s="3262" t="s">
        <v>3262</v>
      </c>
      <c r="FB972" s="3262" t="s">
        <v>3262</v>
      </c>
      <c r="FC972" s="3262" t="s">
        <v>3262</v>
      </c>
      <c r="FD972" s="3262" t="s">
        <v>3262</v>
      </c>
      <c r="FE972" s="3262" t="s">
        <v>3262</v>
      </c>
      <c r="FF972" s="3262" t="s">
        <v>3262</v>
      </c>
      <c r="FG972" s="3262" t="s">
        <v>3262</v>
      </c>
      <c r="FH972" s="3262" t="s">
        <v>3262</v>
      </c>
      <c r="FI972" s="3262" t="s">
        <v>3262</v>
      </c>
      <c r="FJ972" s="3262" t="s">
        <v>3262</v>
      </c>
      <c r="FK972" s="3262" t="s">
        <v>3262</v>
      </c>
      <c r="FL972" s="3262" t="s">
        <v>3262</v>
      </c>
      <c r="FM972" s="3262" t="s">
        <v>3262</v>
      </c>
      <c r="FN972" s="3262" t="s">
        <v>3262</v>
      </c>
      <c r="FO972" s="3262" t="s">
        <v>3262</v>
      </c>
      <c r="FP972" s="3262" t="s">
        <v>3262</v>
      </c>
      <c r="FQ972" s="3262" t="s">
        <v>3262</v>
      </c>
      <c r="FR972" s="3262" t="s">
        <v>3262</v>
      </c>
      <c r="FS972" s="3262" t="s">
        <v>3262</v>
      </c>
      <c r="FT972" s="3262" t="s">
        <v>3262</v>
      </c>
      <c r="FU972" s="3262" t="s">
        <v>3262</v>
      </c>
      <c r="FV972" s="3262" t="s">
        <v>3262</v>
      </c>
      <c r="FW972" s="3262" t="s">
        <v>3262</v>
      </c>
      <c r="FX972" s="3262" t="s">
        <v>3262</v>
      </c>
      <c r="FY972" s="3262" t="s">
        <v>3262</v>
      </c>
      <c r="FZ972" s="3262" t="s">
        <v>3262</v>
      </c>
      <c r="GA972" s="3262" t="s">
        <v>3262</v>
      </c>
      <c r="GB972" s="3262" t="s">
        <v>3262</v>
      </c>
      <c r="GC972" s="3262" t="s">
        <v>3262</v>
      </c>
      <c r="GD972" s="3262" t="s">
        <v>3262</v>
      </c>
      <c r="GE972" s="3262" t="s">
        <v>3262</v>
      </c>
      <c r="GF972" s="3262" t="s">
        <v>3262</v>
      </c>
      <c r="GG972" s="3262" t="s">
        <v>3262</v>
      </c>
      <c r="GH972" s="3262" t="s">
        <v>3262</v>
      </c>
      <c r="GI972" s="3262" t="s">
        <v>3262</v>
      </c>
      <c r="GJ972" s="3262" t="s">
        <v>3262</v>
      </c>
      <c r="GK972" s="3262" t="s">
        <v>3262</v>
      </c>
      <c r="GL972" s="3262" t="s">
        <v>3262</v>
      </c>
      <c r="GM972" s="3262" t="s">
        <v>3262</v>
      </c>
      <c r="GN972" s="3262" t="s">
        <v>3262</v>
      </c>
      <c r="GO972" s="3262" t="s">
        <v>3262</v>
      </c>
      <c r="GP972" s="3262" t="s">
        <v>3262</v>
      </c>
      <c r="GQ972" s="3262" t="s">
        <v>3262</v>
      </c>
      <c r="GR972" s="3262" t="s">
        <v>3262</v>
      </c>
      <c r="GS972" s="3262" t="s">
        <v>3262</v>
      </c>
      <c r="GT972" s="3262" t="s">
        <v>3262</v>
      </c>
      <c r="GU972" s="3262" t="s">
        <v>3262</v>
      </c>
      <c r="GV972" s="3262" t="s">
        <v>3262</v>
      </c>
      <c r="GW972" s="3262" t="s">
        <v>3262</v>
      </c>
      <c r="GX972" s="3262" t="s">
        <v>3262</v>
      </c>
      <c r="GY972" s="3262" t="s">
        <v>3262</v>
      </c>
      <c r="GZ972" s="3262" t="s">
        <v>3262</v>
      </c>
      <c r="HA972" s="3262" t="s">
        <v>3262</v>
      </c>
      <c r="HB972" s="3262" t="s">
        <v>3262</v>
      </c>
      <c r="HC972" s="3262" t="s">
        <v>3262</v>
      </c>
      <c r="HD972" s="3262" t="s">
        <v>3262</v>
      </c>
      <c r="HE972" s="3262" t="s">
        <v>3262</v>
      </c>
      <c r="HF972" s="3262" t="s">
        <v>3262</v>
      </c>
      <c r="HG972" s="3262" t="s">
        <v>3262</v>
      </c>
      <c r="HH972" s="3262" t="s">
        <v>3262</v>
      </c>
      <c r="HI972" s="3262" t="s">
        <v>3262</v>
      </c>
      <c r="HJ972" s="3262" t="s">
        <v>3262</v>
      </c>
      <c r="HK972" s="3262" t="s">
        <v>3262</v>
      </c>
      <c r="HL972" s="3262" t="s">
        <v>3262</v>
      </c>
      <c r="HM972" s="3262" t="s">
        <v>3262</v>
      </c>
      <c r="HN972" s="3262" t="s">
        <v>3262</v>
      </c>
      <c r="HO972" s="3262" t="s">
        <v>3262</v>
      </c>
      <c r="HP972" s="3262" t="s">
        <v>3262</v>
      </c>
      <c r="HQ972" s="3262" t="s">
        <v>3262</v>
      </c>
      <c r="HR972" s="3262" t="s">
        <v>3262</v>
      </c>
      <c r="HS972" s="3262" t="s">
        <v>3262</v>
      </c>
      <c r="HT972" s="3262" t="s">
        <v>3262</v>
      </c>
      <c r="HU972" s="3262" t="s">
        <v>3262</v>
      </c>
      <c r="HV972" s="3262" t="s">
        <v>3262</v>
      </c>
      <c r="HW972" s="3262" t="s">
        <v>3262</v>
      </c>
      <c r="HX972" s="3262" t="s">
        <v>3262</v>
      </c>
      <c r="HY972" s="3262" t="s">
        <v>3262</v>
      </c>
      <c r="HZ972" s="3262" t="s">
        <v>3262</v>
      </c>
      <c r="IA972" s="3262" t="s">
        <v>3262</v>
      </c>
      <c r="IB972" s="3262" t="s">
        <v>3262</v>
      </c>
      <c r="IC972" s="3262" t="s">
        <v>3262</v>
      </c>
      <c r="ID972" s="3262" t="s">
        <v>3262</v>
      </c>
      <c r="IE972" s="3262" t="s">
        <v>3262</v>
      </c>
      <c r="IF972" s="3262" t="s">
        <v>3262</v>
      </c>
      <c r="IG972" s="3262" t="s">
        <v>3262</v>
      </c>
      <c r="IH972" s="3262" t="s">
        <v>3262</v>
      </c>
      <c r="II972" s="3262" t="s">
        <v>3262</v>
      </c>
      <c r="IJ972" s="3262" t="s">
        <v>3262</v>
      </c>
      <c r="IK972" s="3262" t="s">
        <v>3262</v>
      </c>
    </row>
    <row r="973" spans="1:245" hidden="1">
      <c r="A973" s="3267" t="s">
        <v>9779</v>
      </c>
      <c r="B973" s="3267" t="s">
        <v>4806</v>
      </c>
      <c r="C973" s="3269" t="s">
        <v>9780</v>
      </c>
      <c r="D973" s="3269" t="s">
        <v>9781</v>
      </c>
      <c r="E973" s="3267" t="s">
        <v>2985</v>
      </c>
      <c r="F973" s="3267" t="s">
        <v>9782</v>
      </c>
      <c r="G973" s="3267"/>
      <c r="H973" s="3267" t="s">
        <v>3127</v>
      </c>
      <c r="I973" s="3267"/>
      <c r="J973" s="3269" t="s">
        <v>3367</v>
      </c>
      <c r="K973" s="3267" t="s">
        <v>4806</v>
      </c>
      <c r="L973" s="3267">
        <v>56.74</v>
      </c>
      <c r="M973" s="3267">
        <v>6</v>
      </c>
      <c r="N973" s="3267" t="s">
        <v>3152</v>
      </c>
      <c r="O973" s="3267"/>
      <c r="P973" s="3267" t="s">
        <v>2963</v>
      </c>
      <c r="Q973" s="3271">
        <v>490000</v>
      </c>
      <c r="R973" s="3267">
        <v>8636</v>
      </c>
      <c r="S973" s="3272">
        <v>42.59</v>
      </c>
      <c r="T973" s="3273">
        <v>425900.00000000006</v>
      </c>
      <c r="U973" s="3267">
        <v>7507</v>
      </c>
      <c r="V973" s="3289">
        <v>0.2</v>
      </c>
      <c r="W973" s="3272">
        <v>34.07</v>
      </c>
      <c r="X973" s="3275">
        <v>340700</v>
      </c>
      <c r="Y973" s="3276">
        <v>2006</v>
      </c>
      <c r="Z973" s="3276">
        <v>12</v>
      </c>
      <c r="AA973" s="3276">
        <v>30</v>
      </c>
      <c r="AB973" s="3267">
        <v>1275</v>
      </c>
      <c r="AC973" s="3267" t="s">
        <v>2980</v>
      </c>
      <c r="AD973" s="3269" t="s">
        <v>9783</v>
      </c>
      <c r="AE973" s="3276" t="s">
        <v>3344</v>
      </c>
      <c r="AF973" s="3267" t="s">
        <v>2966</v>
      </c>
      <c r="AG973" s="3267" t="s">
        <v>2967</v>
      </c>
      <c r="AH973" s="3267" t="s">
        <v>9784</v>
      </c>
      <c r="AI973" s="3267" t="s">
        <v>2992</v>
      </c>
      <c r="AJ973" s="3284"/>
      <c r="AK973" s="3316" t="s">
        <v>3120</v>
      </c>
      <c r="AL973" s="3276">
        <v>36</v>
      </c>
      <c r="AM973" s="3267" t="s">
        <v>9785</v>
      </c>
      <c r="AN973" s="3276" t="s">
        <v>2994</v>
      </c>
      <c r="AO973" s="3276"/>
      <c r="AP973" s="3276" t="s">
        <v>3305</v>
      </c>
      <c r="AQ973" s="3276" t="s">
        <v>3113</v>
      </c>
      <c r="AR973" s="3276"/>
      <c r="AS973" s="3276"/>
      <c r="AT973" s="3276"/>
      <c r="AU973" s="3276"/>
      <c r="AV973" s="3276"/>
      <c r="AW973" s="3276" t="s">
        <v>3171</v>
      </c>
      <c r="AX973" s="3276"/>
      <c r="AY973" s="3291"/>
      <c r="AZ973" s="3276" t="s">
        <v>9786</v>
      </c>
      <c r="BA973" s="3276"/>
      <c r="BB973" s="3291"/>
      <c r="BC973" s="3276"/>
      <c r="BD973" s="3292"/>
      <c r="BE973" s="3276"/>
      <c r="BF973" s="3281"/>
      <c r="BG973" s="3299">
        <v>39071</v>
      </c>
      <c r="BH973" s="3276"/>
      <c r="BI973" s="3314" t="s">
        <v>3305</v>
      </c>
      <c r="BJ973" s="3283">
        <v>39072</v>
      </c>
      <c r="BK973" s="3283"/>
      <c r="BL973" s="3267" t="s">
        <v>2998</v>
      </c>
      <c r="BM973" s="3276"/>
      <c r="BN973" s="3276"/>
      <c r="BO973" s="3276"/>
      <c r="BP973" s="3276"/>
      <c r="BQ973" s="3276" t="e">
        <v>#DIV/0!</v>
      </c>
      <c r="BR973" s="3276" t="e">
        <v>#DIV/0!</v>
      </c>
      <c r="BS973" s="3285"/>
      <c r="BT973" s="3285"/>
      <c r="BU973" s="3285"/>
    </row>
    <row r="974" spans="1:245" hidden="1">
      <c r="A974" s="3267" t="s">
        <v>9787</v>
      </c>
      <c r="B974" s="3267" t="s">
        <v>9788</v>
      </c>
      <c r="C974" s="3269" t="s">
        <v>9789</v>
      </c>
      <c r="D974" s="3269" t="s">
        <v>9790</v>
      </c>
      <c r="E974" s="3268" t="s">
        <v>2985</v>
      </c>
      <c r="F974" s="3268" t="s">
        <v>8382</v>
      </c>
      <c r="G974" s="3267"/>
      <c r="H974" s="3268" t="s">
        <v>3225</v>
      </c>
      <c r="I974" s="3268"/>
      <c r="J974" s="3267" t="s">
        <v>4082</v>
      </c>
      <c r="K974" s="3267" t="s">
        <v>2968</v>
      </c>
      <c r="L974" s="3267">
        <v>63.65</v>
      </c>
      <c r="M974" s="3267">
        <v>13</v>
      </c>
      <c r="N974" s="3267" t="s">
        <v>3122</v>
      </c>
      <c r="O974" s="3267"/>
      <c r="P974" s="3267" t="s">
        <v>2963</v>
      </c>
      <c r="Q974" s="3271">
        <v>550000</v>
      </c>
      <c r="R974" s="3267">
        <v>8641</v>
      </c>
      <c r="S974" s="3272">
        <v>51.34</v>
      </c>
      <c r="T974" s="3273">
        <v>513400</v>
      </c>
      <c r="U974" s="3267">
        <v>8066</v>
      </c>
      <c r="V974" s="3289">
        <v>0.2</v>
      </c>
      <c r="W974" s="3272">
        <v>41.07</v>
      </c>
      <c r="X974" s="3275">
        <v>410700</v>
      </c>
      <c r="Y974" s="3276">
        <v>2006</v>
      </c>
      <c r="Z974" s="3276">
        <v>12</v>
      </c>
      <c r="AA974" s="3276">
        <v>28</v>
      </c>
      <c r="AB974" s="3267">
        <v>1500</v>
      </c>
      <c r="AC974" s="3267" t="s">
        <v>2980</v>
      </c>
      <c r="AD974" s="3269" t="s">
        <v>9791</v>
      </c>
      <c r="AE974" s="3279" t="s">
        <v>2979</v>
      </c>
      <c r="AF974" s="3268" t="s">
        <v>2966</v>
      </c>
      <c r="AG974" s="3279" t="s">
        <v>2967</v>
      </c>
      <c r="AH974" s="3267" t="s">
        <v>2968</v>
      </c>
      <c r="AI974" s="3279" t="s">
        <v>2992</v>
      </c>
      <c r="AJ974" s="3284"/>
      <c r="AK974" s="3278" t="s">
        <v>3120</v>
      </c>
      <c r="AL974" s="3276">
        <v>52</v>
      </c>
      <c r="AM974" s="3276"/>
      <c r="AN974" s="3279" t="s">
        <v>3114</v>
      </c>
      <c r="AO974" s="3267"/>
      <c r="AP974" s="3279" t="s">
        <v>2979</v>
      </c>
      <c r="AQ974" s="3267" t="s">
        <v>3228</v>
      </c>
      <c r="AR974" s="3276">
        <v>2006</v>
      </c>
      <c r="AS974" s="3276">
        <v>12</v>
      </c>
      <c r="AT974" s="3276">
        <v>28</v>
      </c>
      <c r="AU974" s="3276"/>
      <c r="AV974" s="3276"/>
      <c r="AW974" s="3276" t="s">
        <v>2997</v>
      </c>
      <c r="AX974" s="3276"/>
      <c r="AY974" s="3291"/>
      <c r="AZ974" s="3267" t="s">
        <v>9792</v>
      </c>
      <c r="BA974" s="3296"/>
      <c r="BB974" s="3297"/>
      <c r="BC974" s="3296"/>
      <c r="BD974" s="3298"/>
      <c r="BE974" s="3276" t="s">
        <v>2968</v>
      </c>
      <c r="BF974" s="3281"/>
      <c r="BG974" s="3293">
        <v>39072</v>
      </c>
      <c r="BH974" s="3267" t="s">
        <v>2968</v>
      </c>
      <c r="BI974" s="3314" t="s">
        <v>2979</v>
      </c>
      <c r="BJ974" s="3283">
        <v>39072</v>
      </c>
      <c r="BK974" s="3283"/>
      <c r="BL974" s="3267" t="s">
        <v>3249</v>
      </c>
      <c r="BM974" s="3276" t="s">
        <v>2879</v>
      </c>
      <c r="BN974" s="3276" t="s">
        <v>2999</v>
      </c>
      <c r="BO974" s="3276" t="s">
        <v>3000</v>
      </c>
      <c r="BP974" s="3276"/>
      <c r="BQ974" s="3276" t="e">
        <v>#DIV/0!</v>
      </c>
      <c r="BR974" s="3276" t="e">
        <v>#DIV/0!</v>
      </c>
      <c r="BS974" s="3285"/>
      <c r="BT974" s="3285"/>
      <c r="BU974" s="3285"/>
    </row>
    <row r="975" spans="1:245" hidden="1">
      <c r="A975" s="3267" t="s">
        <v>9793</v>
      </c>
      <c r="B975" s="3267" t="s">
        <v>9794</v>
      </c>
      <c r="C975" s="3269" t="s">
        <v>9795</v>
      </c>
      <c r="D975" s="3269" t="s">
        <v>9796</v>
      </c>
      <c r="E975" s="3268" t="s">
        <v>2985</v>
      </c>
      <c r="F975" s="3268" t="s">
        <v>5986</v>
      </c>
      <c r="G975" s="3267"/>
      <c r="H975" s="3267" t="s">
        <v>3263</v>
      </c>
      <c r="I975" s="3268" t="s">
        <v>2968</v>
      </c>
      <c r="J975" s="3267" t="s">
        <v>7106</v>
      </c>
      <c r="K975" s="3267" t="s">
        <v>2968</v>
      </c>
      <c r="L975" s="3267">
        <v>62.06</v>
      </c>
      <c r="M975" s="3270">
        <v>13</v>
      </c>
      <c r="N975" s="3267" t="s">
        <v>3122</v>
      </c>
      <c r="O975" s="3267"/>
      <c r="P975" s="3267" t="s">
        <v>2963</v>
      </c>
      <c r="Q975" s="3271">
        <v>650000</v>
      </c>
      <c r="R975" s="3267">
        <v>10474</v>
      </c>
      <c r="S975" s="3272">
        <v>50.13</v>
      </c>
      <c r="T975" s="3273">
        <v>501300</v>
      </c>
      <c r="U975" s="3267">
        <v>8079</v>
      </c>
      <c r="V975" s="3289">
        <v>0.2</v>
      </c>
      <c r="W975" s="3272">
        <v>40.1</v>
      </c>
      <c r="X975" s="3275">
        <v>401000</v>
      </c>
      <c r="Y975" s="3276">
        <v>2006</v>
      </c>
      <c r="Z975" s="3276">
        <v>12</v>
      </c>
      <c r="AA975" s="3276">
        <v>22</v>
      </c>
      <c r="AB975" s="3267">
        <v>1500</v>
      </c>
      <c r="AC975" s="3267" t="s">
        <v>2980</v>
      </c>
      <c r="AD975" s="3269" t="s">
        <v>9797</v>
      </c>
      <c r="AE975" s="3279" t="s">
        <v>2979</v>
      </c>
      <c r="AF975" s="3268" t="s">
        <v>2966</v>
      </c>
      <c r="AG975" s="3279" t="s">
        <v>2967</v>
      </c>
      <c r="AH975" s="3267"/>
      <c r="AI975" s="3279" t="s">
        <v>2992</v>
      </c>
      <c r="AJ975" s="3284"/>
      <c r="AK975" s="3278" t="s">
        <v>3120</v>
      </c>
      <c r="AL975" s="3276">
        <v>44</v>
      </c>
      <c r="AM975" s="3267" t="s">
        <v>2968</v>
      </c>
      <c r="AN975" s="3279" t="s">
        <v>3114</v>
      </c>
      <c r="AO975" s="3267" t="s">
        <v>2968</v>
      </c>
      <c r="AP975" s="3279" t="s">
        <v>2979</v>
      </c>
      <c r="AQ975" s="3276" t="s">
        <v>2996</v>
      </c>
      <c r="AR975" s="3276"/>
      <c r="AS975" s="3276"/>
      <c r="AT975" s="3276"/>
      <c r="AU975" s="3276"/>
      <c r="AV975" s="3276"/>
      <c r="AW975" s="3276" t="s">
        <v>3112</v>
      </c>
      <c r="AX975" s="3276"/>
      <c r="AY975" s="3291"/>
      <c r="AZ975" s="3267" t="s">
        <v>2968</v>
      </c>
      <c r="BA975" s="3296"/>
      <c r="BB975" s="3297"/>
      <c r="BC975" s="3296"/>
      <c r="BD975" s="3296"/>
      <c r="BE975" s="3276" t="s">
        <v>2968</v>
      </c>
      <c r="BF975" s="3281"/>
      <c r="BG975" s="3293">
        <v>39072</v>
      </c>
      <c r="BH975" s="3267" t="s">
        <v>2968</v>
      </c>
      <c r="BI975" s="3314" t="s">
        <v>2979</v>
      </c>
      <c r="BJ975" s="3283">
        <v>39072</v>
      </c>
      <c r="BK975" s="3283"/>
      <c r="BL975" s="3267" t="s">
        <v>3249</v>
      </c>
      <c r="BM975" s="3276" t="s">
        <v>3345</v>
      </c>
      <c r="BN975" s="3276" t="s">
        <v>2999</v>
      </c>
      <c r="BO975" s="3276" t="s">
        <v>3000</v>
      </c>
      <c r="BP975" s="3276"/>
      <c r="BQ975" s="3276" t="e">
        <v>#DIV/0!</v>
      </c>
      <c r="BR975" s="3276" t="e">
        <v>#DIV/0!</v>
      </c>
      <c r="BS975" s="3285"/>
      <c r="BT975" s="3285"/>
      <c r="BU975" s="3285"/>
    </row>
    <row r="976" spans="1:245" hidden="1">
      <c r="A976" s="3267" t="s">
        <v>9798</v>
      </c>
      <c r="B976" s="3267" t="s">
        <v>9799</v>
      </c>
      <c r="C976" s="3269" t="s">
        <v>9800</v>
      </c>
      <c r="D976" s="3269" t="s">
        <v>9801</v>
      </c>
      <c r="E976" s="3267" t="s">
        <v>2985</v>
      </c>
      <c r="F976" s="3267" t="s">
        <v>4639</v>
      </c>
      <c r="G976" s="3267"/>
      <c r="H976" s="3267" t="s">
        <v>3130</v>
      </c>
      <c r="I976" s="3267" t="s">
        <v>3608</v>
      </c>
      <c r="J976" s="3269" t="s">
        <v>9802</v>
      </c>
      <c r="K976" s="3267" t="s">
        <v>9803</v>
      </c>
      <c r="L976" s="3286">
        <v>71.88</v>
      </c>
      <c r="M976" s="3267">
        <v>3</v>
      </c>
      <c r="N976" s="3267" t="s">
        <v>3098</v>
      </c>
      <c r="O976" s="3267"/>
      <c r="P976" s="3267" t="s">
        <v>2963</v>
      </c>
      <c r="Q976" s="3287">
        <v>300000</v>
      </c>
      <c r="R976" s="3267">
        <v>4174</v>
      </c>
      <c r="S976" s="3272">
        <v>29.27</v>
      </c>
      <c r="T976" s="3273">
        <v>292700</v>
      </c>
      <c r="U976" s="3267">
        <v>4073</v>
      </c>
      <c r="V976" s="3274">
        <v>0.2</v>
      </c>
      <c r="W976" s="3272">
        <v>23.41</v>
      </c>
      <c r="X976" s="3275">
        <v>234100</v>
      </c>
      <c r="Y976" s="3276">
        <v>2006</v>
      </c>
      <c r="Z976" s="3276">
        <v>12</v>
      </c>
      <c r="AA976" s="3276">
        <v>26</v>
      </c>
      <c r="AB976" s="3270">
        <v>875</v>
      </c>
      <c r="AC976" s="3267" t="s">
        <v>2980</v>
      </c>
      <c r="AD976" s="3269" t="s">
        <v>9804</v>
      </c>
      <c r="AE976" s="3267" t="s">
        <v>3180</v>
      </c>
      <c r="AF976" s="3267" t="s">
        <v>2966</v>
      </c>
      <c r="AG976" s="3279" t="s">
        <v>2967</v>
      </c>
      <c r="AH976" s="3267"/>
      <c r="AI976" s="3279" t="s">
        <v>2992</v>
      </c>
      <c r="AJ976" s="3290"/>
      <c r="AK976" s="3316" t="s">
        <v>3120</v>
      </c>
      <c r="AL976" s="3276">
        <v>43</v>
      </c>
      <c r="AM976" s="3276"/>
      <c r="AN976" s="3276" t="s">
        <v>3114</v>
      </c>
      <c r="AO976" s="3276"/>
      <c r="AP976" s="3276" t="s">
        <v>3180</v>
      </c>
      <c r="AQ976" s="3276" t="s">
        <v>2996</v>
      </c>
      <c r="AR976" s="3276"/>
      <c r="AS976" s="3276"/>
      <c r="AT976" s="3276"/>
      <c r="AU976" s="3276"/>
      <c r="AV976" s="3276"/>
      <c r="AW976" s="3267" t="s">
        <v>3119</v>
      </c>
      <c r="AX976" s="3276"/>
      <c r="AY976" s="3291"/>
      <c r="AZ976" s="3276" t="s">
        <v>9803</v>
      </c>
      <c r="BA976" s="3276"/>
      <c r="BB976" s="3291"/>
      <c r="BC976" s="3276"/>
      <c r="BD976" s="3292"/>
      <c r="BE976" s="3276"/>
      <c r="BF976" s="3281"/>
      <c r="BG976" s="3293">
        <v>39052</v>
      </c>
      <c r="BH976" s="3276"/>
      <c r="BI976" s="3279" t="s">
        <v>3180</v>
      </c>
      <c r="BJ976" s="3299">
        <v>39073</v>
      </c>
      <c r="BK976" s="3283"/>
      <c r="BL976" s="3276" t="s">
        <v>2998</v>
      </c>
      <c r="BM976" s="3276" t="s">
        <v>2879</v>
      </c>
      <c r="BN976" s="3276" t="s">
        <v>2999</v>
      </c>
      <c r="BO976" s="3267" t="s">
        <v>3146</v>
      </c>
      <c r="BP976" s="3276"/>
      <c r="BQ976" s="3276" t="e">
        <v>#DIV/0!</v>
      </c>
      <c r="BR976" s="3276" t="e">
        <v>#DIV/0!</v>
      </c>
      <c r="BS976" s="3285"/>
      <c r="BT976" s="3285"/>
      <c r="BU976" s="3285"/>
    </row>
    <row r="977" spans="1:245" hidden="1">
      <c r="A977" s="3267" t="s">
        <v>9805</v>
      </c>
      <c r="B977" s="3267" t="s">
        <v>9806</v>
      </c>
      <c r="C977" s="3269" t="s">
        <v>9807</v>
      </c>
      <c r="D977" s="3269" t="s">
        <v>9808</v>
      </c>
      <c r="E977" s="3267" t="s">
        <v>2985</v>
      </c>
      <c r="F977" s="3308" t="s">
        <v>3926</v>
      </c>
      <c r="G977" s="3267"/>
      <c r="H977" s="3268" t="s">
        <v>3144</v>
      </c>
      <c r="I977" s="3268" t="s">
        <v>3431</v>
      </c>
      <c r="J977" s="3269" t="s">
        <v>3512</v>
      </c>
      <c r="K977" s="3267" t="s">
        <v>9809</v>
      </c>
      <c r="L977" s="3267">
        <v>57.24</v>
      </c>
      <c r="M977" s="3267">
        <v>5</v>
      </c>
      <c r="N977" s="3267" t="s">
        <v>3122</v>
      </c>
      <c r="O977" s="3267"/>
      <c r="P977" s="3267" t="s">
        <v>2963</v>
      </c>
      <c r="Q977" s="3271">
        <v>425000</v>
      </c>
      <c r="R977" s="3267">
        <v>7425</v>
      </c>
      <c r="S977" s="3272">
        <v>38.53</v>
      </c>
      <c r="T977" s="3273">
        <v>385300</v>
      </c>
      <c r="U977" s="3267">
        <v>6732</v>
      </c>
      <c r="V977" s="3289">
        <v>0.2</v>
      </c>
      <c r="W977" s="3272">
        <v>30.82</v>
      </c>
      <c r="X977" s="3275">
        <v>308200</v>
      </c>
      <c r="Y977" s="3276">
        <v>2006</v>
      </c>
      <c r="Z977" s="3276">
        <v>12</v>
      </c>
      <c r="AA977" s="3276">
        <v>28</v>
      </c>
      <c r="AB977" s="3267">
        <v>1155</v>
      </c>
      <c r="AC977" s="3267" t="s">
        <v>2980</v>
      </c>
      <c r="AD977" s="3269" t="s">
        <v>9810</v>
      </c>
      <c r="AE977" s="3276" t="s">
        <v>3344</v>
      </c>
      <c r="AF977" s="3267" t="s">
        <v>2966</v>
      </c>
      <c r="AG977" s="3279" t="s">
        <v>2967</v>
      </c>
      <c r="AH977" s="3267"/>
      <c r="AI977" s="3279" t="s">
        <v>2992</v>
      </c>
      <c r="AJ977" s="3284"/>
      <c r="AK977" s="3278" t="s">
        <v>3120</v>
      </c>
      <c r="AL977" s="3276">
        <v>34</v>
      </c>
      <c r="AM977" s="3276"/>
      <c r="AN977" s="3279" t="s">
        <v>3099</v>
      </c>
      <c r="AO977" s="3276"/>
      <c r="AP977" s="3279" t="s">
        <v>3305</v>
      </c>
      <c r="AQ977" s="3276" t="s">
        <v>2996</v>
      </c>
      <c r="AR977" s="3276"/>
      <c r="AS977" s="3276"/>
      <c r="AT977" s="3276"/>
      <c r="AU977" s="3276"/>
      <c r="AV977" s="3276"/>
      <c r="AW977" s="3276" t="s">
        <v>3171</v>
      </c>
      <c r="AX977" s="3276"/>
      <c r="AY977" s="3291"/>
      <c r="AZ977" s="3267" t="s">
        <v>9809</v>
      </c>
      <c r="BA977" s="3276"/>
      <c r="BB977" s="3291"/>
      <c r="BC977" s="3276"/>
      <c r="BD977" s="3292"/>
      <c r="BE977" s="3276">
        <v>13501385471</v>
      </c>
      <c r="BF977" s="3281"/>
      <c r="BG977" s="3299">
        <v>39072</v>
      </c>
      <c r="BH977" s="3276" t="s">
        <v>2998</v>
      </c>
      <c r="BI977" s="3314" t="s">
        <v>3305</v>
      </c>
      <c r="BJ977" s="3283">
        <v>39076</v>
      </c>
      <c r="BK977" s="3299"/>
      <c r="BL977" s="3267" t="s">
        <v>3249</v>
      </c>
      <c r="BM977" s="3276" t="s">
        <v>2879</v>
      </c>
      <c r="BN977" s="3276" t="s">
        <v>2999</v>
      </c>
      <c r="BO977" s="3276" t="s">
        <v>3146</v>
      </c>
      <c r="BP977" s="3276"/>
      <c r="BQ977" s="3276" t="e">
        <v>#DIV/0!</v>
      </c>
      <c r="BR977" s="3276" t="e">
        <v>#DIV/0!</v>
      </c>
      <c r="BS977" s="3285"/>
      <c r="BT977" s="3285"/>
      <c r="BU977" s="3285"/>
    </row>
    <row r="978" spans="1:245" hidden="1">
      <c r="A978" s="3267" t="s">
        <v>9811</v>
      </c>
      <c r="B978" s="3267" t="s">
        <v>9812</v>
      </c>
      <c r="C978" s="3269" t="s">
        <v>9813</v>
      </c>
      <c r="D978" s="3269" t="s">
        <v>9814</v>
      </c>
      <c r="E978" s="3268" t="s">
        <v>2985</v>
      </c>
      <c r="F978" s="3268" t="s">
        <v>9815</v>
      </c>
      <c r="G978" s="3267"/>
      <c r="H978" s="3267"/>
      <c r="I978" s="3268" t="s">
        <v>3458</v>
      </c>
      <c r="J978" s="3268" t="s">
        <v>3173</v>
      </c>
      <c r="K978" s="3267" t="s">
        <v>9816</v>
      </c>
      <c r="L978" s="3267">
        <v>122.78</v>
      </c>
      <c r="M978" s="3267">
        <v>2</v>
      </c>
      <c r="N978" s="3267" t="s">
        <v>3129</v>
      </c>
      <c r="O978" s="3267"/>
      <c r="P978" s="3267" t="s">
        <v>2963</v>
      </c>
      <c r="Q978" s="3271">
        <v>390440.4</v>
      </c>
      <c r="R978" s="3267">
        <v>3180</v>
      </c>
      <c r="S978" s="3272">
        <v>39.04</v>
      </c>
      <c r="T978" s="3273">
        <v>390400</v>
      </c>
      <c r="U978" s="3267">
        <v>3180</v>
      </c>
      <c r="V978" s="3289">
        <v>0.3</v>
      </c>
      <c r="W978" s="3272">
        <v>27.32</v>
      </c>
      <c r="X978" s="3275">
        <v>273200</v>
      </c>
      <c r="Y978" s="3276">
        <v>2006</v>
      </c>
      <c r="Z978" s="3276">
        <v>12</v>
      </c>
      <c r="AA978" s="3276">
        <v>26</v>
      </c>
      <c r="AB978" s="3267">
        <v>1170</v>
      </c>
      <c r="AC978" s="3267" t="s">
        <v>2980</v>
      </c>
      <c r="AD978" s="3366">
        <v>91302006121411</v>
      </c>
      <c r="AE978" s="3279" t="s">
        <v>2991</v>
      </c>
      <c r="AF978" s="3268"/>
      <c r="AG978" s="3279" t="s">
        <v>5571</v>
      </c>
      <c r="AH978" s="3267"/>
      <c r="AI978" s="3279" t="s">
        <v>2992</v>
      </c>
      <c r="AJ978" s="3284"/>
      <c r="AK978" s="3278" t="s">
        <v>3120</v>
      </c>
      <c r="AL978" s="3276">
        <v>57</v>
      </c>
      <c r="AM978" s="3276"/>
      <c r="AN978" s="3279" t="s">
        <v>3099</v>
      </c>
      <c r="AO978" s="3267"/>
      <c r="AP978" s="3279" t="s">
        <v>2991</v>
      </c>
      <c r="AQ978" s="3276" t="s">
        <v>2996</v>
      </c>
      <c r="AR978" s="3276"/>
      <c r="AS978" s="3276"/>
      <c r="AT978" s="3276"/>
      <c r="AU978" s="3276"/>
      <c r="AV978" s="3276"/>
      <c r="AW978" s="3276" t="s">
        <v>2997</v>
      </c>
      <c r="AX978" s="3276"/>
      <c r="AY978" s="3291"/>
      <c r="AZ978" s="3267" t="s">
        <v>9816</v>
      </c>
      <c r="BA978" s="3296"/>
      <c r="BB978" s="3297"/>
      <c r="BC978" s="3296"/>
      <c r="BD978" s="3298"/>
      <c r="BE978" s="3276"/>
      <c r="BF978" s="3281"/>
      <c r="BG978" s="3293">
        <v>39075</v>
      </c>
      <c r="BH978" s="3267"/>
      <c r="BI978" s="3279" t="s">
        <v>2991</v>
      </c>
      <c r="BJ978" s="3299">
        <v>39076</v>
      </c>
      <c r="BK978" s="3283" t="s">
        <v>2968</v>
      </c>
      <c r="BL978" s="3267" t="s">
        <v>2998</v>
      </c>
      <c r="BM978" s="3276" t="s">
        <v>2879</v>
      </c>
      <c r="BN978" s="3276" t="s">
        <v>2999</v>
      </c>
      <c r="BO978" s="3276" t="s">
        <v>3146</v>
      </c>
      <c r="BP978" s="3276"/>
      <c r="BQ978" s="3276" t="e">
        <v>#DIV/0!</v>
      </c>
      <c r="BR978" s="3276" t="e">
        <v>#DIV/0!</v>
      </c>
      <c r="BS978" s="3285"/>
      <c r="BT978" s="3285"/>
      <c r="BU978" s="3285"/>
      <c r="BW978" s="3262" t="s">
        <v>3262</v>
      </c>
      <c r="BX978" s="3262" t="s">
        <v>3262</v>
      </c>
      <c r="BY978" s="3262" t="s">
        <v>3262</v>
      </c>
      <c r="BZ978" s="3262" t="s">
        <v>3262</v>
      </c>
      <c r="CA978" s="3262" t="s">
        <v>3262</v>
      </c>
      <c r="CB978" s="3262" t="s">
        <v>3262</v>
      </c>
      <c r="CC978" s="3262" t="s">
        <v>3262</v>
      </c>
      <c r="CD978" s="3262" t="s">
        <v>3262</v>
      </c>
      <c r="CE978" s="3262" t="s">
        <v>3262</v>
      </c>
      <c r="CF978" s="3262" t="s">
        <v>3262</v>
      </c>
      <c r="CG978" s="3262" t="s">
        <v>3262</v>
      </c>
      <c r="CH978" s="3262" t="s">
        <v>3262</v>
      </c>
      <c r="CI978" s="3262" t="s">
        <v>3262</v>
      </c>
      <c r="CJ978" s="3262" t="s">
        <v>3262</v>
      </c>
      <c r="CK978" s="3262" t="s">
        <v>3262</v>
      </c>
      <c r="CL978" s="3262" t="s">
        <v>3262</v>
      </c>
      <c r="CM978" s="3262" t="s">
        <v>3262</v>
      </c>
      <c r="CN978" s="3262" t="s">
        <v>3262</v>
      </c>
      <c r="CO978" s="3262" t="s">
        <v>3262</v>
      </c>
      <c r="CP978" s="3262" t="s">
        <v>3262</v>
      </c>
      <c r="CQ978" s="3262" t="s">
        <v>3262</v>
      </c>
      <c r="CR978" s="3262" t="s">
        <v>3262</v>
      </c>
      <c r="CS978" s="3262" t="s">
        <v>3262</v>
      </c>
      <c r="CT978" s="3262" t="s">
        <v>3262</v>
      </c>
      <c r="CU978" s="3262" t="s">
        <v>3262</v>
      </c>
      <c r="CV978" s="3262" t="s">
        <v>3262</v>
      </c>
      <c r="CW978" s="3262" t="s">
        <v>3262</v>
      </c>
      <c r="CX978" s="3262" t="s">
        <v>3262</v>
      </c>
      <c r="CY978" s="3262" t="s">
        <v>3262</v>
      </c>
      <c r="CZ978" s="3262" t="s">
        <v>3262</v>
      </c>
      <c r="DA978" s="3262" t="s">
        <v>3262</v>
      </c>
      <c r="DB978" s="3262" t="s">
        <v>3262</v>
      </c>
      <c r="DC978" s="3262" t="s">
        <v>3262</v>
      </c>
      <c r="DD978" s="3262" t="s">
        <v>3262</v>
      </c>
      <c r="DE978" s="3262" t="s">
        <v>3262</v>
      </c>
      <c r="DF978" s="3262" t="s">
        <v>3262</v>
      </c>
      <c r="DG978" s="3262" t="s">
        <v>3262</v>
      </c>
      <c r="DH978" s="3262" t="s">
        <v>3262</v>
      </c>
      <c r="DI978" s="3262" t="s">
        <v>3262</v>
      </c>
      <c r="DJ978" s="3262" t="s">
        <v>3262</v>
      </c>
      <c r="DK978" s="3262" t="s">
        <v>3262</v>
      </c>
      <c r="DL978" s="3262" t="s">
        <v>3262</v>
      </c>
      <c r="DM978" s="3262" t="s">
        <v>3262</v>
      </c>
      <c r="DN978" s="3262" t="s">
        <v>3262</v>
      </c>
      <c r="DO978" s="3262" t="s">
        <v>3262</v>
      </c>
      <c r="DP978" s="3262" t="s">
        <v>3262</v>
      </c>
      <c r="DQ978" s="3262" t="s">
        <v>3262</v>
      </c>
      <c r="DR978" s="3262" t="s">
        <v>3262</v>
      </c>
      <c r="DS978" s="3262" t="s">
        <v>3262</v>
      </c>
      <c r="DT978" s="3262" t="s">
        <v>3262</v>
      </c>
      <c r="DU978" s="3262" t="s">
        <v>3262</v>
      </c>
      <c r="DV978" s="3262" t="s">
        <v>3262</v>
      </c>
      <c r="DW978" s="3262" t="s">
        <v>3262</v>
      </c>
      <c r="DX978" s="3262" t="s">
        <v>3262</v>
      </c>
      <c r="DY978" s="3262" t="s">
        <v>3262</v>
      </c>
      <c r="DZ978" s="3262" t="s">
        <v>3262</v>
      </c>
      <c r="EA978" s="3262" t="s">
        <v>3262</v>
      </c>
      <c r="EB978" s="3262" t="s">
        <v>3262</v>
      </c>
      <c r="EC978" s="3262" t="s">
        <v>3262</v>
      </c>
      <c r="ED978" s="3262" t="s">
        <v>3262</v>
      </c>
      <c r="EE978" s="3262" t="s">
        <v>3262</v>
      </c>
      <c r="EF978" s="3262" t="s">
        <v>3262</v>
      </c>
      <c r="EG978" s="3262" t="s">
        <v>3262</v>
      </c>
      <c r="EH978" s="3262" t="s">
        <v>3262</v>
      </c>
      <c r="EI978" s="3262" t="s">
        <v>3262</v>
      </c>
      <c r="EJ978" s="3262" t="s">
        <v>3262</v>
      </c>
      <c r="EK978" s="3262" t="s">
        <v>3262</v>
      </c>
      <c r="EL978" s="3262" t="s">
        <v>3262</v>
      </c>
      <c r="EM978" s="3262" t="s">
        <v>3262</v>
      </c>
      <c r="EN978" s="3262" t="s">
        <v>3262</v>
      </c>
      <c r="EO978" s="3262" t="s">
        <v>3262</v>
      </c>
      <c r="EP978" s="3262" t="s">
        <v>3262</v>
      </c>
      <c r="EQ978" s="3262" t="s">
        <v>3262</v>
      </c>
      <c r="ER978" s="3262" t="s">
        <v>3262</v>
      </c>
      <c r="ES978" s="3262" t="s">
        <v>3262</v>
      </c>
      <c r="ET978" s="3262" t="s">
        <v>3262</v>
      </c>
      <c r="EU978" s="3262" t="s">
        <v>3262</v>
      </c>
      <c r="EV978" s="3262" t="s">
        <v>3262</v>
      </c>
      <c r="EW978" s="3262" t="s">
        <v>3262</v>
      </c>
      <c r="EX978" s="3262" t="s">
        <v>3262</v>
      </c>
      <c r="EY978" s="3262" t="s">
        <v>3262</v>
      </c>
      <c r="EZ978" s="3262" t="s">
        <v>3262</v>
      </c>
      <c r="FA978" s="3262" t="s">
        <v>3262</v>
      </c>
      <c r="FB978" s="3262" t="s">
        <v>3262</v>
      </c>
      <c r="FC978" s="3262" t="s">
        <v>3262</v>
      </c>
      <c r="FD978" s="3262" t="s">
        <v>3262</v>
      </c>
      <c r="FE978" s="3262" t="s">
        <v>3262</v>
      </c>
      <c r="FF978" s="3262" t="s">
        <v>3262</v>
      </c>
      <c r="FG978" s="3262" t="s">
        <v>3262</v>
      </c>
      <c r="FH978" s="3262" t="s">
        <v>3262</v>
      </c>
      <c r="FI978" s="3262" t="s">
        <v>3262</v>
      </c>
      <c r="FJ978" s="3262" t="s">
        <v>3262</v>
      </c>
      <c r="FK978" s="3262" t="s">
        <v>3262</v>
      </c>
      <c r="FL978" s="3262" t="s">
        <v>3262</v>
      </c>
      <c r="FM978" s="3262" t="s">
        <v>3262</v>
      </c>
      <c r="FN978" s="3262" t="s">
        <v>3262</v>
      </c>
      <c r="FO978" s="3262" t="s">
        <v>3262</v>
      </c>
      <c r="FP978" s="3262" t="s">
        <v>3262</v>
      </c>
      <c r="FQ978" s="3262" t="s">
        <v>3262</v>
      </c>
      <c r="FR978" s="3262" t="s">
        <v>3262</v>
      </c>
      <c r="FS978" s="3262" t="s">
        <v>3262</v>
      </c>
      <c r="FT978" s="3262" t="s">
        <v>3262</v>
      </c>
      <c r="FU978" s="3262" t="s">
        <v>3262</v>
      </c>
      <c r="FV978" s="3262" t="s">
        <v>3262</v>
      </c>
      <c r="FW978" s="3262" t="s">
        <v>3262</v>
      </c>
      <c r="FX978" s="3262" t="s">
        <v>3262</v>
      </c>
      <c r="FY978" s="3262" t="s">
        <v>3262</v>
      </c>
      <c r="FZ978" s="3262" t="s">
        <v>3262</v>
      </c>
      <c r="GA978" s="3262" t="s">
        <v>3262</v>
      </c>
      <c r="GB978" s="3262" t="s">
        <v>3262</v>
      </c>
      <c r="GC978" s="3262" t="s">
        <v>3262</v>
      </c>
      <c r="GD978" s="3262" t="s">
        <v>3262</v>
      </c>
      <c r="GE978" s="3262" t="s">
        <v>3262</v>
      </c>
      <c r="GF978" s="3262" t="s">
        <v>3262</v>
      </c>
      <c r="GG978" s="3262" t="s">
        <v>3262</v>
      </c>
      <c r="GH978" s="3262" t="s">
        <v>3262</v>
      </c>
      <c r="GI978" s="3262" t="s">
        <v>3262</v>
      </c>
      <c r="GJ978" s="3262" t="s">
        <v>3262</v>
      </c>
      <c r="GK978" s="3262" t="s">
        <v>3262</v>
      </c>
      <c r="GL978" s="3262" t="s">
        <v>3262</v>
      </c>
      <c r="GM978" s="3262" t="s">
        <v>3262</v>
      </c>
      <c r="GN978" s="3262" t="s">
        <v>3262</v>
      </c>
      <c r="GO978" s="3262" t="s">
        <v>3262</v>
      </c>
      <c r="GP978" s="3262" t="s">
        <v>3262</v>
      </c>
      <c r="GQ978" s="3262" t="s">
        <v>3262</v>
      </c>
      <c r="GR978" s="3262" t="s">
        <v>3262</v>
      </c>
      <c r="GS978" s="3262" t="s">
        <v>3262</v>
      </c>
      <c r="GT978" s="3262" t="s">
        <v>3262</v>
      </c>
      <c r="GU978" s="3262" t="s">
        <v>3262</v>
      </c>
      <c r="GV978" s="3262" t="s">
        <v>3262</v>
      </c>
      <c r="GW978" s="3262" t="s">
        <v>3262</v>
      </c>
      <c r="GX978" s="3262" t="s">
        <v>3262</v>
      </c>
      <c r="GY978" s="3262" t="s">
        <v>3262</v>
      </c>
      <c r="GZ978" s="3262" t="s">
        <v>3262</v>
      </c>
      <c r="HA978" s="3262" t="s">
        <v>3262</v>
      </c>
      <c r="HB978" s="3262" t="s">
        <v>3262</v>
      </c>
      <c r="HC978" s="3262" t="s">
        <v>3262</v>
      </c>
      <c r="HD978" s="3262" t="s">
        <v>3262</v>
      </c>
      <c r="HE978" s="3262" t="s">
        <v>3262</v>
      </c>
      <c r="HF978" s="3262" t="s">
        <v>3262</v>
      </c>
      <c r="HG978" s="3262" t="s">
        <v>3262</v>
      </c>
      <c r="HH978" s="3262" t="s">
        <v>3262</v>
      </c>
      <c r="HI978" s="3262" t="s">
        <v>3262</v>
      </c>
      <c r="HJ978" s="3262" t="s">
        <v>3262</v>
      </c>
      <c r="HK978" s="3262" t="s">
        <v>3262</v>
      </c>
      <c r="HL978" s="3262" t="s">
        <v>3262</v>
      </c>
      <c r="HM978" s="3262" t="s">
        <v>3262</v>
      </c>
      <c r="HN978" s="3262" t="s">
        <v>3262</v>
      </c>
      <c r="HO978" s="3262" t="s">
        <v>3262</v>
      </c>
      <c r="HP978" s="3262" t="s">
        <v>3262</v>
      </c>
      <c r="HQ978" s="3262" t="s">
        <v>3262</v>
      </c>
      <c r="HR978" s="3262" t="s">
        <v>3262</v>
      </c>
      <c r="HS978" s="3262" t="s">
        <v>3262</v>
      </c>
      <c r="HT978" s="3262" t="s">
        <v>3262</v>
      </c>
      <c r="HU978" s="3262" t="s">
        <v>3262</v>
      </c>
      <c r="HV978" s="3262" t="s">
        <v>3262</v>
      </c>
      <c r="HW978" s="3262" t="s">
        <v>3262</v>
      </c>
      <c r="HX978" s="3262" t="s">
        <v>3262</v>
      </c>
      <c r="HY978" s="3262" t="s">
        <v>3262</v>
      </c>
      <c r="HZ978" s="3262" t="s">
        <v>3262</v>
      </c>
      <c r="IA978" s="3262" t="s">
        <v>3262</v>
      </c>
      <c r="IB978" s="3262" t="s">
        <v>3262</v>
      </c>
      <c r="IC978" s="3262" t="s">
        <v>3262</v>
      </c>
      <c r="ID978" s="3262" t="s">
        <v>3262</v>
      </c>
      <c r="IE978" s="3262" t="s">
        <v>3262</v>
      </c>
      <c r="IF978" s="3262" t="s">
        <v>3262</v>
      </c>
      <c r="IG978" s="3262" t="s">
        <v>3262</v>
      </c>
      <c r="IH978" s="3262" t="s">
        <v>3262</v>
      </c>
      <c r="II978" s="3262" t="s">
        <v>3262</v>
      </c>
      <c r="IJ978" s="3262" t="s">
        <v>3262</v>
      </c>
      <c r="IK978" s="3262" t="s">
        <v>3262</v>
      </c>
    </row>
    <row r="979" spans="1:245" hidden="1">
      <c r="A979" s="3267" t="s">
        <v>9817</v>
      </c>
      <c r="B979" s="3267" t="s">
        <v>9818</v>
      </c>
      <c r="C979" s="3269" t="s">
        <v>9819</v>
      </c>
      <c r="D979" s="3269" t="s">
        <v>9820</v>
      </c>
      <c r="E979" s="3267" t="s">
        <v>2985</v>
      </c>
      <c r="F979" s="3308" t="s">
        <v>9821</v>
      </c>
      <c r="G979" s="3267"/>
      <c r="H979" s="3268" t="s">
        <v>3130</v>
      </c>
      <c r="I979" s="3268"/>
      <c r="J979" s="3269" t="s">
        <v>7747</v>
      </c>
      <c r="K979" s="3267" t="s">
        <v>9822</v>
      </c>
      <c r="L979" s="3267">
        <v>126.25</v>
      </c>
      <c r="M979" s="3267">
        <v>15</v>
      </c>
      <c r="N979" s="3267" t="s">
        <v>3395</v>
      </c>
      <c r="O979" s="3267">
        <v>100.33</v>
      </c>
      <c r="P979" s="3267" t="s">
        <v>2963</v>
      </c>
      <c r="Q979" s="3271">
        <v>690000</v>
      </c>
      <c r="R979" s="3267">
        <v>5465</v>
      </c>
      <c r="S979" s="3272">
        <v>78.41</v>
      </c>
      <c r="T979" s="3273">
        <v>784100</v>
      </c>
      <c r="U979" s="3267">
        <v>6211</v>
      </c>
      <c r="V979" s="3289">
        <v>0.3</v>
      </c>
      <c r="W979" s="3272">
        <v>54.88</v>
      </c>
      <c r="X979" s="3275">
        <v>548800</v>
      </c>
      <c r="Y979" s="3276">
        <v>2006</v>
      </c>
      <c r="Z979" s="3276">
        <v>12</v>
      </c>
      <c r="AA979" s="3276">
        <v>28</v>
      </c>
      <c r="AB979" s="3267">
        <v>1500</v>
      </c>
      <c r="AC979" s="3267" t="s">
        <v>2980</v>
      </c>
      <c r="AD979" s="3269" t="s">
        <v>9823</v>
      </c>
      <c r="AE979" s="3276" t="s">
        <v>3121</v>
      </c>
      <c r="AF979" s="3267" t="s">
        <v>2966</v>
      </c>
      <c r="AG979" s="3279" t="s">
        <v>2967</v>
      </c>
      <c r="AH979" s="3267" t="s">
        <v>9824</v>
      </c>
      <c r="AI979" s="3279" t="s">
        <v>2992</v>
      </c>
      <c r="AJ979" s="3284"/>
      <c r="AK979" s="3278" t="s">
        <v>3120</v>
      </c>
      <c r="AL979" s="3276">
        <v>58</v>
      </c>
      <c r="AM979" s="3276"/>
      <c r="AN979" s="3279" t="s">
        <v>3099</v>
      </c>
      <c r="AO979" s="3276"/>
      <c r="AP979" s="3279" t="s">
        <v>3305</v>
      </c>
      <c r="AQ979" s="3276" t="s">
        <v>2996</v>
      </c>
      <c r="AR979" s="3276"/>
      <c r="AS979" s="3276"/>
      <c r="AT979" s="3276"/>
      <c r="AU979" s="3276"/>
      <c r="AV979" s="3276"/>
      <c r="AW979" s="3276" t="s">
        <v>3119</v>
      </c>
      <c r="AX979" s="3276"/>
      <c r="AY979" s="3291"/>
      <c r="AZ979" s="3276" t="s">
        <v>9822</v>
      </c>
      <c r="BA979" s="3276"/>
      <c r="BB979" s="3291"/>
      <c r="BC979" s="3276"/>
      <c r="BD979" s="3292"/>
      <c r="BE979" s="3276">
        <v>13366098277</v>
      </c>
      <c r="BF979" s="3281"/>
      <c r="BG979" s="3299">
        <v>39076</v>
      </c>
      <c r="BH979" s="3276" t="s">
        <v>2998</v>
      </c>
      <c r="BI979" s="3314" t="s">
        <v>3305</v>
      </c>
      <c r="BJ979" s="3283">
        <v>39077</v>
      </c>
      <c r="BK979" s="3299"/>
      <c r="BL979" s="3267" t="s">
        <v>3249</v>
      </c>
      <c r="BM979" s="3276" t="s">
        <v>5652</v>
      </c>
      <c r="BN979" s="3276" t="s">
        <v>2999</v>
      </c>
      <c r="BO979" s="3276" t="s">
        <v>3000</v>
      </c>
      <c r="BP979" s="3276"/>
      <c r="BQ979" s="3276">
        <v>7815</v>
      </c>
      <c r="BR979" s="3276">
        <v>6877</v>
      </c>
      <c r="BS979" s="3285"/>
      <c r="BT979" s="3285"/>
      <c r="BU979" s="3285"/>
    </row>
    <row r="980" spans="1:245" hidden="1">
      <c r="A980" s="3267" t="s">
        <v>9825</v>
      </c>
      <c r="B980" s="3267" t="s">
        <v>9826</v>
      </c>
      <c r="C980" s="3269" t="s">
        <v>9827</v>
      </c>
      <c r="D980" s="3267">
        <v>13031102689</v>
      </c>
      <c r="E980" s="3267" t="s">
        <v>2985</v>
      </c>
      <c r="F980" s="3267" t="s">
        <v>9828</v>
      </c>
      <c r="G980" s="3267"/>
      <c r="H980" s="3267" t="s">
        <v>3263</v>
      </c>
      <c r="I980" s="3267"/>
      <c r="J980" s="3267" t="s">
        <v>9829</v>
      </c>
      <c r="K980" s="3267" t="s">
        <v>4554</v>
      </c>
      <c r="L980" s="3267">
        <v>57.38</v>
      </c>
      <c r="M980" s="3267">
        <v>5</v>
      </c>
      <c r="N980" s="3267" t="s">
        <v>3122</v>
      </c>
      <c r="O980" s="3267"/>
      <c r="P980" s="3267" t="s">
        <v>2963</v>
      </c>
      <c r="Q980" s="3267">
        <v>498000</v>
      </c>
      <c r="R980" s="3267">
        <v>8679</v>
      </c>
      <c r="S980" s="3272">
        <v>41.57</v>
      </c>
      <c r="T980" s="3273">
        <v>415700</v>
      </c>
      <c r="U980" s="3267">
        <v>7245</v>
      </c>
      <c r="V980" s="3274">
        <v>0.2</v>
      </c>
      <c r="W980" s="3272">
        <v>33.25</v>
      </c>
      <c r="X980" s="3275">
        <v>332500</v>
      </c>
      <c r="Y980" s="3267">
        <v>2006</v>
      </c>
      <c r="Z980" s="3267">
        <v>12</v>
      </c>
      <c r="AA980" s="3276">
        <v>28</v>
      </c>
      <c r="AB980" s="3267">
        <v>1245</v>
      </c>
      <c r="AC980" s="3267" t="s">
        <v>2980</v>
      </c>
      <c r="AD980" s="3269" t="s">
        <v>9830</v>
      </c>
      <c r="AE980" s="3267" t="s">
        <v>3069</v>
      </c>
      <c r="AF980" s="3267" t="s">
        <v>2966</v>
      </c>
      <c r="AG980" s="3267" t="s">
        <v>2967</v>
      </c>
      <c r="AH980" s="3267"/>
      <c r="AI980" s="3267" t="s">
        <v>2992</v>
      </c>
      <c r="AJ980" s="3284"/>
      <c r="AK980" s="3267" t="s">
        <v>3120</v>
      </c>
      <c r="AL980" s="3267" t="s">
        <v>6145</v>
      </c>
      <c r="AM980" s="3267"/>
      <c r="AN980" s="3267" t="s">
        <v>3099</v>
      </c>
      <c r="AO980" s="3267"/>
      <c r="AP980" s="3267" t="s">
        <v>3069</v>
      </c>
      <c r="AQ980" s="3276" t="s">
        <v>2996</v>
      </c>
      <c r="AR980" s="3267"/>
      <c r="AS980" s="3267"/>
      <c r="AT980" s="3267"/>
      <c r="AU980" s="3267"/>
      <c r="AV980" s="3267"/>
      <c r="AW980" s="3267" t="s">
        <v>3171</v>
      </c>
      <c r="AX980" s="3267"/>
      <c r="AY980" s="3269"/>
      <c r="AZ980" s="3268" t="s">
        <v>4554</v>
      </c>
      <c r="BA980" s="3267"/>
      <c r="BB980" s="3267"/>
      <c r="BC980" s="3267"/>
      <c r="BD980" s="3267"/>
      <c r="BE980" s="3267"/>
      <c r="BF980" s="3267"/>
      <c r="BG980" s="3307">
        <v>39071</v>
      </c>
      <c r="BH980" s="3267"/>
      <c r="BI980" s="3279" t="s">
        <v>3069</v>
      </c>
      <c r="BJ980" s="3307">
        <v>39077</v>
      </c>
      <c r="BK980" s="3283"/>
      <c r="BL980" s="3267" t="s">
        <v>2998</v>
      </c>
      <c r="BM980" s="3267" t="s">
        <v>2879</v>
      </c>
      <c r="BN980" s="3267" t="s">
        <v>2999</v>
      </c>
      <c r="BO980" s="3267" t="s">
        <v>3000</v>
      </c>
      <c r="BP980" s="3267"/>
      <c r="BQ980" s="3276" t="e">
        <v>#DIV/0!</v>
      </c>
      <c r="BR980" s="3276" t="e">
        <v>#DIV/0!</v>
      </c>
      <c r="BS980" s="3285"/>
      <c r="BT980" s="3285"/>
      <c r="BU980" s="3285"/>
    </row>
    <row r="981" spans="1:245" hidden="1">
      <c r="A981" s="3267" t="s">
        <v>9831</v>
      </c>
      <c r="B981" s="3267" t="s">
        <v>9832</v>
      </c>
      <c r="C981" s="3269" t="s">
        <v>9833</v>
      </c>
      <c r="D981" s="3269" t="s">
        <v>9834</v>
      </c>
      <c r="E981" s="3268" t="s">
        <v>2985</v>
      </c>
      <c r="F981" s="3268" t="s">
        <v>9835</v>
      </c>
      <c r="G981" s="3267"/>
      <c r="H981" s="3267" t="s">
        <v>9836</v>
      </c>
      <c r="I981" s="3268"/>
      <c r="J981" s="3268" t="s">
        <v>9837</v>
      </c>
      <c r="K981" s="3267" t="s">
        <v>9838</v>
      </c>
      <c r="L981" s="3267">
        <v>44.94</v>
      </c>
      <c r="M981" s="3267">
        <v>13</v>
      </c>
      <c r="N981" s="3267" t="s">
        <v>3152</v>
      </c>
      <c r="O981" s="3267"/>
      <c r="P981" s="3267" t="s">
        <v>2963</v>
      </c>
      <c r="Q981" s="3271">
        <v>350000</v>
      </c>
      <c r="R981" s="3267">
        <v>7788</v>
      </c>
      <c r="S981" s="3272">
        <v>34.9</v>
      </c>
      <c r="T981" s="3273">
        <v>349000</v>
      </c>
      <c r="U981" s="3267">
        <v>7768</v>
      </c>
      <c r="V981" s="3289">
        <v>0.2</v>
      </c>
      <c r="W981" s="3272">
        <v>27.92</v>
      </c>
      <c r="X981" s="3275">
        <v>279200</v>
      </c>
      <c r="Y981" s="3276">
        <v>2006</v>
      </c>
      <c r="Z981" s="3276">
        <v>12</v>
      </c>
      <c r="AA981" s="3276">
        <v>28</v>
      </c>
      <c r="AB981" s="3267">
        <v>1045</v>
      </c>
      <c r="AC981" s="3267" t="s">
        <v>2980</v>
      </c>
      <c r="AD981" s="3366">
        <v>91302006121586</v>
      </c>
      <c r="AE981" s="3279" t="s">
        <v>2991</v>
      </c>
      <c r="AF981" s="3268"/>
      <c r="AG981" s="3279" t="s">
        <v>2967</v>
      </c>
      <c r="AH981" s="3267"/>
      <c r="AI981" s="3279" t="s">
        <v>2992</v>
      </c>
      <c r="AJ981" s="3284"/>
      <c r="AK981" s="3278" t="s">
        <v>3120</v>
      </c>
      <c r="AL981" s="3276">
        <v>54</v>
      </c>
      <c r="AM981" s="3276"/>
      <c r="AN981" s="3279" t="s">
        <v>3099</v>
      </c>
      <c r="AO981" s="3267"/>
      <c r="AP981" s="3279" t="s">
        <v>2991</v>
      </c>
      <c r="AQ981" s="3276" t="s">
        <v>2996</v>
      </c>
      <c r="AR981" s="3276"/>
      <c r="AS981" s="3276"/>
      <c r="AT981" s="3276"/>
      <c r="AU981" s="3276"/>
      <c r="AV981" s="3276"/>
      <c r="AW981" s="3276" t="s">
        <v>2997</v>
      </c>
      <c r="AX981" s="3276"/>
      <c r="AY981" s="3291"/>
      <c r="AZ981" s="3267" t="s">
        <v>9838</v>
      </c>
      <c r="BA981" s="3296"/>
      <c r="BB981" s="3297"/>
      <c r="BC981" s="3296"/>
      <c r="BD981" s="3298"/>
      <c r="BE981" s="3276"/>
      <c r="BF981" s="3281"/>
      <c r="BG981" s="3293">
        <v>39070</v>
      </c>
      <c r="BH981" s="3267"/>
      <c r="BI981" s="3279" t="s">
        <v>2991</v>
      </c>
      <c r="BJ981" s="3299">
        <v>39078</v>
      </c>
      <c r="BK981" s="3283" t="s">
        <v>2968</v>
      </c>
      <c r="BL981" s="3267" t="s">
        <v>2998</v>
      </c>
      <c r="BM981" s="3276" t="s">
        <v>2879</v>
      </c>
      <c r="BN981" s="3276" t="s">
        <v>2999</v>
      </c>
      <c r="BO981" s="3276" t="s">
        <v>3146</v>
      </c>
      <c r="BP981" s="3276"/>
      <c r="BQ981" s="3276" t="e">
        <v>#DIV/0!</v>
      </c>
      <c r="BR981" s="3276" t="e">
        <v>#DIV/0!</v>
      </c>
      <c r="BS981" s="3285"/>
      <c r="BT981" s="3285"/>
      <c r="BU981" s="3285"/>
      <c r="BW981" s="3262" t="s">
        <v>3262</v>
      </c>
      <c r="BX981" s="3262" t="s">
        <v>3262</v>
      </c>
      <c r="BY981" s="3262" t="s">
        <v>3262</v>
      </c>
      <c r="BZ981" s="3262" t="s">
        <v>3262</v>
      </c>
      <c r="CA981" s="3262" t="s">
        <v>3262</v>
      </c>
      <c r="CB981" s="3262" t="s">
        <v>3262</v>
      </c>
      <c r="CC981" s="3262" t="s">
        <v>3262</v>
      </c>
      <c r="CD981" s="3262" t="s">
        <v>3262</v>
      </c>
      <c r="CE981" s="3262" t="s">
        <v>3262</v>
      </c>
      <c r="CF981" s="3262" t="s">
        <v>3262</v>
      </c>
      <c r="CG981" s="3262" t="s">
        <v>3262</v>
      </c>
      <c r="CH981" s="3262" t="s">
        <v>3262</v>
      </c>
      <c r="CI981" s="3262" t="s">
        <v>3262</v>
      </c>
      <c r="CJ981" s="3262" t="s">
        <v>3262</v>
      </c>
      <c r="CK981" s="3262" t="s">
        <v>3262</v>
      </c>
      <c r="CL981" s="3262" t="s">
        <v>3262</v>
      </c>
      <c r="CM981" s="3262" t="s">
        <v>3262</v>
      </c>
      <c r="CN981" s="3262" t="s">
        <v>3262</v>
      </c>
      <c r="CO981" s="3262" t="s">
        <v>3262</v>
      </c>
      <c r="CP981" s="3262" t="s">
        <v>3262</v>
      </c>
      <c r="CQ981" s="3262" t="s">
        <v>3262</v>
      </c>
      <c r="CR981" s="3262" t="s">
        <v>3262</v>
      </c>
      <c r="CS981" s="3262" t="s">
        <v>3262</v>
      </c>
      <c r="CT981" s="3262" t="s">
        <v>3262</v>
      </c>
      <c r="CU981" s="3262" t="s">
        <v>3262</v>
      </c>
      <c r="CV981" s="3262" t="s">
        <v>3262</v>
      </c>
      <c r="CW981" s="3262" t="s">
        <v>3262</v>
      </c>
      <c r="CX981" s="3262" t="s">
        <v>3262</v>
      </c>
      <c r="CY981" s="3262" t="s">
        <v>3262</v>
      </c>
      <c r="CZ981" s="3262" t="s">
        <v>3262</v>
      </c>
      <c r="DA981" s="3262" t="s">
        <v>3262</v>
      </c>
      <c r="DB981" s="3262" t="s">
        <v>3262</v>
      </c>
      <c r="DC981" s="3262" t="s">
        <v>3262</v>
      </c>
      <c r="DD981" s="3262" t="s">
        <v>3262</v>
      </c>
      <c r="DE981" s="3262" t="s">
        <v>3262</v>
      </c>
      <c r="DF981" s="3262" t="s">
        <v>3262</v>
      </c>
      <c r="DG981" s="3262" t="s">
        <v>3262</v>
      </c>
      <c r="DH981" s="3262" t="s">
        <v>3262</v>
      </c>
      <c r="DI981" s="3262" t="s">
        <v>3262</v>
      </c>
      <c r="DJ981" s="3262" t="s">
        <v>3262</v>
      </c>
      <c r="DK981" s="3262" t="s">
        <v>3262</v>
      </c>
      <c r="DL981" s="3262" t="s">
        <v>3262</v>
      </c>
      <c r="DM981" s="3262" t="s">
        <v>3262</v>
      </c>
      <c r="DN981" s="3262" t="s">
        <v>3262</v>
      </c>
      <c r="DO981" s="3262" t="s">
        <v>3262</v>
      </c>
      <c r="DP981" s="3262" t="s">
        <v>3262</v>
      </c>
      <c r="DQ981" s="3262" t="s">
        <v>3262</v>
      </c>
      <c r="DR981" s="3262" t="s">
        <v>3262</v>
      </c>
      <c r="DS981" s="3262" t="s">
        <v>3262</v>
      </c>
      <c r="DT981" s="3262" t="s">
        <v>3262</v>
      </c>
      <c r="DU981" s="3262" t="s">
        <v>3262</v>
      </c>
      <c r="DV981" s="3262" t="s">
        <v>3262</v>
      </c>
      <c r="DW981" s="3262" t="s">
        <v>3262</v>
      </c>
      <c r="DX981" s="3262" t="s">
        <v>3262</v>
      </c>
      <c r="DY981" s="3262" t="s">
        <v>3262</v>
      </c>
      <c r="DZ981" s="3262" t="s">
        <v>3262</v>
      </c>
      <c r="EA981" s="3262" t="s">
        <v>3262</v>
      </c>
      <c r="EB981" s="3262" t="s">
        <v>3262</v>
      </c>
      <c r="EC981" s="3262" t="s">
        <v>3262</v>
      </c>
      <c r="ED981" s="3262" t="s">
        <v>3262</v>
      </c>
      <c r="EE981" s="3262" t="s">
        <v>3262</v>
      </c>
      <c r="EF981" s="3262" t="s">
        <v>3262</v>
      </c>
      <c r="EG981" s="3262" t="s">
        <v>3262</v>
      </c>
      <c r="EH981" s="3262" t="s">
        <v>3262</v>
      </c>
      <c r="EI981" s="3262" t="s">
        <v>3262</v>
      </c>
      <c r="EJ981" s="3262" t="s">
        <v>3262</v>
      </c>
      <c r="EK981" s="3262" t="s">
        <v>3262</v>
      </c>
      <c r="EL981" s="3262" t="s">
        <v>3262</v>
      </c>
      <c r="EM981" s="3262" t="s">
        <v>3262</v>
      </c>
      <c r="EN981" s="3262" t="s">
        <v>3262</v>
      </c>
      <c r="EO981" s="3262" t="s">
        <v>3262</v>
      </c>
      <c r="EP981" s="3262" t="s">
        <v>3262</v>
      </c>
      <c r="EQ981" s="3262" t="s">
        <v>3262</v>
      </c>
      <c r="ER981" s="3262" t="s">
        <v>3262</v>
      </c>
      <c r="ES981" s="3262" t="s">
        <v>3262</v>
      </c>
      <c r="ET981" s="3262" t="s">
        <v>3262</v>
      </c>
      <c r="EU981" s="3262" t="s">
        <v>3262</v>
      </c>
      <c r="EV981" s="3262" t="s">
        <v>3262</v>
      </c>
      <c r="EW981" s="3262" t="s">
        <v>3262</v>
      </c>
      <c r="EX981" s="3262" t="s">
        <v>3262</v>
      </c>
      <c r="EY981" s="3262" t="s">
        <v>3262</v>
      </c>
      <c r="EZ981" s="3262" t="s">
        <v>3262</v>
      </c>
      <c r="FA981" s="3262" t="s">
        <v>3262</v>
      </c>
      <c r="FB981" s="3262" t="s">
        <v>3262</v>
      </c>
      <c r="FC981" s="3262" t="s">
        <v>3262</v>
      </c>
      <c r="FD981" s="3262" t="s">
        <v>3262</v>
      </c>
      <c r="FE981" s="3262" t="s">
        <v>3262</v>
      </c>
      <c r="FF981" s="3262" t="s">
        <v>3262</v>
      </c>
      <c r="FG981" s="3262" t="s">
        <v>3262</v>
      </c>
      <c r="FH981" s="3262" t="s">
        <v>3262</v>
      </c>
      <c r="FI981" s="3262" t="s">
        <v>3262</v>
      </c>
      <c r="FJ981" s="3262" t="s">
        <v>3262</v>
      </c>
      <c r="FK981" s="3262" t="s">
        <v>3262</v>
      </c>
      <c r="FL981" s="3262" t="s">
        <v>3262</v>
      </c>
      <c r="FM981" s="3262" t="s">
        <v>3262</v>
      </c>
      <c r="FN981" s="3262" t="s">
        <v>3262</v>
      </c>
      <c r="FO981" s="3262" t="s">
        <v>3262</v>
      </c>
      <c r="FP981" s="3262" t="s">
        <v>3262</v>
      </c>
      <c r="FQ981" s="3262" t="s">
        <v>3262</v>
      </c>
      <c r="FR981" s="3262" t="s">
        <v>3262</v>
      </c>
      <c r="FS981" s="3262" t="s">
        <v>3262</v>
      </c>
      <c r="FT981" s="3262" t="s">
        <v>3262</v>
      </c>
      <c r="FU981" s="3262" t="s">
        <v>3262</v>
      </c>
      <c r="FV981" s="3262" t="s">
        <v>3262</v>
      </c>
      <c r="FW981" s="3262" t="s">
        <v>3262</v>
      </c>
      <c r="FX981" s="3262" t="s">
        <v>3262</v>
      </c>
      <c r="FY981" s="3262" t="s">
        <v>3262</v>
      </c>
      <c r="FZ981" s="3262" t="s">
        <v>3262</v>
      </c>
      <c r="GA981" s="3262" t="s">
        <v>3262</v>
      </c>
      <c r="GB981" s="3262" t="s">
        <v>3262</v>
      </c>
      <c r="GC981" s="3262" t="s">
        <v>3262</v>
      </c>
      <c r="GD981" s="3262" t="s">
        <v>3262</v>
      </c>
      <c r="GE981" s="3262" t="s">
        <v>3262</v>
      </c>
      <c r="GF981" s="3262" t="s">
        <v>3262</v>
      </c>
      <c r="GG981" s="3262" t="s">
        <v>3262</v>
      </c>
      <c r="GH981" s="3262" t="s">
        <v>3262</v>
      </c>
      <c r="GI981" s="3262" t="s">
        <v>3262</v>
      </c>
      <c r="GJ981" s="3262" t="s">
        <v>3262</v>
      </c>
      <c r="GK981" s="3262" t="s">
        <v>3262</v>
      </c>
      <c r="GL981" s="3262" t="s">
        <v>3262</v>
      </c>
      <c r="GM981" s="3262" t="s">
        <v>3262</v>
      </c>
      <c r="GN981" s="3262" t="s">
        <v>3262</v>
      </c>
      <c r="GO981" s="3262" t="s">
        <v>3262</v>
      </c>
      <c r="GP981" s="3262" t="s">
        <v>3262</v>
      </c>
      <c r="GQ981" s="3262" t="s">
        <v>3262</v>
      </c>
      <c r="GR981" s="3262" t="s">
        <v>3262</v>
      </c>
      <c r="GS981" s="3262" t="s">
        <v>3262</v>
      </c>
      <c r="GT981" s="3262" t="s">
        <v>3262</v>
      </c>
      <c r="GU981" s="3262" t="s">
        <v>3262</v>
      </c>
      <c r="GV981" s="3262" t="s">
        <v>3262</v>
      </c>
      <c r="GW981" s="3262" t="s">
        <v>3262</v>
      </c>
      <c r="GX981" s="3262" t="s">
        <v>3262</v>
      </c>
      <c r="GY981" s="3262" t="s">
        <v>3262</v>
      </c>
      <c r="GZ981" s="3262" t="s">
        <v>3262</v>
      </c>
      <c r="HA981" s="3262" t="s">
        <v>3262</v>
      </c>
      <c r="HB981" s="3262" t="s">
        <v>3262</v>
      </c>
      <c r="HC981" s="3262" t="s">
        <v>3262</v>
      </c>
      <c r="HD981" s="3262" t="s">
        <v>3262</v>
      </c>
      <c r="HE981" s="3262" t="s">
        <v>3262</v>
      </c>
      <c r="HF981" s="3262" t="s">
        <v>3262</v>
      </c>
      <c r="HG981" s="3262" t="s">
        <v>3262</v>
      </c>
      <c r="HH981" s="3262" t="s">
        <v>3262</v>
      </c>
      <c r="HI981" s="3262" t="s">
        <v>3262</v>
      </c>
      <c r="HJ981" s="3262" t="s">
        <v>3262</v>
      </c>
      <c r="HK981" s="3262" t="s">
        <v>3262</v>
      </c>
      <c r="HL981" s="3262" t="s">
        <v>3262</v>
      </c>
      <c r="HM981" s="3262" t="s">
        <v>3262</v>
      </c>
      <c r="HN981" s="3262" t="s">
        <v>3262</v>
      </c>
      <c r="HO981" s="3262" t="s">
        <v>3262</v>
      </c>
      <c r="HP981" s="3262" t="s">
        <v>3262</v>
      </c>
      <c r="HQ981" s="3262" t="s">
        <v>3262</v>
      </c>
      <c r="HR981" s="3262" t="s">
        <v>3262</v>
      </c>
      <c r="HS981" s="3262" t="s">
        <v>3262</v>
      </c>
      <c r="HT981" s="3262" t="s">
        <v>3262</v>
      </c>
      <c r="HU981" s="3262" t="s">
        <v>3262</v>
      </c>
      <c r="HV981" s="3262" t="s">
        <v>3262</v>
      </c>
      <c r="HW981" s="3262" t="s">
        <v>3262</v>
      </c>
      <c r="HX981" s="3262" t="s">
        <v>3262</v>
      </c>
      <c r="HY981" s="3262" t="s">
        <v>3262</v>
      </c>
      <c r="HZ981" s="3262" t="s">
        <v>3262</v>
      </c>
      <c r="IA981" s="3262" t="s">
        <v>3262</v>
      </c>
      <c r="IB981" s="3262" t="s">
        <v>3262</v>
      </c>
      <c r="IC981" s="3262" t="s">
        <v>3262</v>
      </c>
      <c r="ID981" s="3262" t="s">
        <v>3262</v>
      </c>
      <c r="IE981" s="3262" t="s">
        <v>3262</v>
      </c>
      <c r="IF981" s="3262" t="s">
        <v>3262</v>
      </c>
      <c r="IG981" s="3262" t="s">
        <v>3262</v>
      </c>
      <c r="IH981" s="3262" t="s">
        <v>3262</v>
      </c>
      <c r="II981" s="3262" t="s">
        <v>3262</v>
      </c>
      <c r="IJ981" s="3262" t="s">
        <v>3262</v>
      </c>
      <c r="IK981" s="3262" t="s">
        <v>3262</v>
      </c>
    </row>
    <row r="982" spans="1:245" hidden="1">
      <c r="A982" s="3267" t="s">
        <v>9839</v>
      </c>
      <c r="B982" s="3267" t="s">
        <v>9840</v>
      </c>
      <c r="C982" s="3269" t="s">
        <v>9841</v>
      </c>
      <c r="D982" s="3269" t="s">
        <v>9842</v>
      </c>
      <c r="E982" s="3268" t="s">
        <v>2985</v>
      </c>
      <c r="F982" s="3268" t="s">
        <v>3764</v>
      </c>
      <c r="G982" s="3267"/>
      <c r="H982" s="3267" t="s">
        <v>3130</v>
      </c>
      <c r="I982" s="3268" t="s">
        <v>3608</v>
      </c>
      <c r="J982" s="3268" t="s">
        <v>2987</v>
      </c>
      <c r="K982" s="3267" t="s">
        <v>9843</v>
      </c>
      <c r="L982" s="3267">
        <v>53.84</v>
      </c>
      <c r="M982" s="3267">
        <v>3</v>
      </c>
      <c r="N982" s="3267" t="s">
        <v>3122</v>
      </c>
      <c r="O982" s="3267"/>
      <c r="P982" s="3267" t="s">
        <v>2963</v>
      </c>
      <c r="Q982" s="3271">
        <v>400000</v>
      </c>
      <c r="R982" s="3267">
        <v>7429</v>
      </c>
      <c r="S982" s="3272">
        <v>37.909999999999997</v>
      </c>
      <c r="T982" s="3273">
        <v>379100</v>
      </c>
      <c r="U982" s="3267">
        <v>7043</v>
      </c>
      <c r="V982" s="3289">
        <v>0.2</v>
      </c>
      <c r="W982" s="3272">
        <v>30.32</v>
      </c>
      <c r="X982" s="3275">
        <v>303200</v>
      </c>
      <c r="Y982" s="3276">
        <v>2006</v>
      </c>
      <c r="Z982" s="3276">
        <v>12</v>
      </c>
      <c r="AA982" s="3276">
        <v>28</v>
      </c>
      <c r="AB982" s="3267">
        <v>1135</v>
      </c>
      <c r="AC982" s="3267" t="s">
        <v>2980</v>
      </c>
      <c r="AD982" s="3366">
        <v>91302006121667</v>
      </c>
      <c r="AE982" s="3279" t="s">
        <v>2991</v>
      </c>
      <c r="AF982" s="3268"/>
      <c r="AG982" s="3279" t="s">
        <v>2967</v>
      </c>
      <c r="AH982" s="3267"/>
      <c r="AI982" s="3279" t="s">
        <v>2992</v>
      </c>
      <c r="AJ982" s="3284"/>
      <c r="AK982" s="3278" t="s">
        <v>3120</v>
      </c>
      <c r="AL982" s="3276">
        <v>29</v>
      </c>
      <c r="AM982" s="3276"/>
      <c r="AN982" s="3279" t="s">
        <v>3099</v>
      </c>
      <c r="AO982" s="3267"/>
      <c r="AP982" s="3279" t="s">
        <v>2991</v>
      </c>
      <c r="AQ982" s="3276" t="s">
        <v>2996</v>
      </c>
      <c r="AR982" s="3276"/>
      <c r="AS982" s="3276"/>
      <c r="AT982" s="3276"/>
      <c r="AU982" s="3276"/>
      <c r="AV982" s="3276"/>
      <c r="AW982" s="3276" t="s">
        <v>2997</v>
      </c>
      <c r="AX982" s="3276"/>
      <c r="AY982" s="3291"/>
      <c r="AZ982" s="3267" t="s">
        <v>9844</v>
      </c>
      <c r="BA982" s="3296"/>
      <c r="BB982" s="3297"/>
      <c r="BC982" s="3296"/>
      <c r="BD982" s="3298"/>
      <c r="BE982" s="3276"/>
      <c r="BF982" s="3281"/>
      <c r="BG982" s="3293">
        <v>39033</v>
      </c>
      <c r="BH982" s="3267"/>
      <c r="BI982" s="3279" t="s">
        <v>2991</v>
      </c>
      <c r="BJ982" s="3299">
        <v>39078</v>
      </c>
      <c r="BK982" s="3283" t="s">
        <v>2968</v>
      </c>
      <c r="BL982" s="3267" t="s">
        <v>2998</v>
      </c>
      <c r="BM982" s="3276" t="s">
        <v>2879</v>
      </c>
      <c r="BN982" s="3276" t="s">
        <v>2999</v>
      </c>
      <c r="BO982" s="3276" t="s">
        <v>3146</v>
      </c>
      <c r="BP982" s="3276"/>
      <c r="BQ982" s="3276" t="e">
        <v>#DIV/0!</v>
      </c>
      <c r="BR982" s="3276" t="e">
        <v>#DIV/0!</v>
      </c>
      <c r="BS982" s="3285"/>
      <c r="BT982" s="3285"/>
      <c r="BU982" s="3285"/>
      <c r="BW982" s="3262" t="s">
        <v>3262</v>
      </c>
      <c r="BX982" s="3262" t="s">
        <v>3262</v>
      </c>
      <c r="BY982" s="3262" t="s">
        <v>3262</v>
      </c>
      <c r="BZ982" s="3262" t="s">
        <v>3262</v>
      </c>
      <c r="CA982" s="3262" t="s">
        <v>3262</v>
      </c>
      <c r="CB982" s="3262" t="s">
        <v>3262</v>
      </c>
      <c r="CC982" s="3262" t="s">
        <v>3262</v>
      </c>
      <c r="CD982" s="3262" t="s">
        <v>3262</v>
      </c>
      <c r="CE982" s="3262" t="s">
        <v>3262</v>
      </c>
      <c r="CF982" s="3262" t="s">
        <v>3262</v>
      </c>
      <c r="CG982" s="3262" t="s">
        <v>3262</v>
      </c>
      <c r="CH982" s="3262" t="s">
        <v>3262</v>
      </c>
      <c r="CI982" s="3262" t="s">
        <v>3262</v>
      </c>
      <c r="CJ982" s="3262" t="s">
        <v>3262</v>
      </c>
      <c r="CK982" s="3262" t="s">
        <v>3262</v>
      </c>
      <c r="CL982" s="3262" t="s">
        <v>3262</v>
      </c>
      <c r="CM982" s="3262" t="s">
        <v>3262</v>
      </c>
      <c r="CN982" s="3262" t="s">
        <v>3262</v>
      </c>
      <c r="CO982" s="3262" t="s">
        <v>3262</v>
      </c>
      <c r="CP982" s="3262" t="s">
        <v>3262</v>
      </c>
      <c r="CQ982" s="3262" t="s">
        <v>3262</v>
      </c>
      <c r="CR982" s="3262" t="s">
        <v>3262</v>
      </c>
      <c r="CS982" s="3262" t="s">
        <v>3262</v>
      </c>
      <c r="CT982" s="3262" t="s">
        <v>3262</v>
      </c>
      <c r="CU982" s="3262" t="s">
        <v>3262</v>
      </c>
      <c r="CV982" s="3262" t="s">
        <v>3262</v>
      </c>
      <c r="CW982" s="3262" t="s">
        <v>3262</v>
      </c>
      <c r="CX982" s="3262" t="s">
        <v>3262</v>
      </c>
      <c r="CY982" s="3262" t="s">
        <v>3262</v>
      </c>
      <c r="CZ982" s="3262" t="s">
        <v>3262</v>
      </c>
      <c r="DA982" s="3262" t="s">
        <v>3262</v>
      </c>
      <c r="DB982" s="3262" t="s">
        <v>3262</v>
      </c>
      <c r="DC982" s="3262" t="s">
        <v>3262</v>
      </c>
      <c r="DD982" s="3262" t="s">
        <v>3262</v>
      </c>
      <c r="DE982" s="3262" t="s">
        <v>3262</v>
      </c>
      <c r="DF982" s="3262" t="s">
        <v>3262</v>
      </c>
      <c r="DG982" s="3262" t="s">
        <v>3262</v>
      </c>
      <c r="DH982" s="3262" t="s">
        <v>3262</v>
      </c>
      <c r="DI982" s="3262" t="s">
        <v>3262</v>
      </c>
      <c r="DJ982" s="3262" t="s">
        <v>3262</v>
      </c>
      <c r="DK982" s="3262" t="s">
        <v>3262</v>
      </c>
      <c r="DL982" s="3262" t="s">
        <v>3262</v>
      </c>
      <c r="DM982" s="3262" t="s">
        <v>3262</v>
      </c>
      <c r="DN982" s="3262" t="s">
        <v>3262</v>
      </c>
      <c r="DO982" s="3262" t="s">
        <v>3262</v>
      </c>
      <c r="DP982" s="3262" t="s">
        <v>3262</v>
      </c>
      <c r="DQ982" s="3262" t="s">
        <v>3262</v>
      </c>
      <c r="DR982" s="3262" t="s">
        <v>3262</v>
      </c>
      <c r="DS982" s="3262" t="s">
        <v>3262</v>
      </c>
      <c r="DT982" s="3262" t="s">
        <v>3262</v>
      </c>
      <c r="DU982" s="3262" t="s">
        <v>3262</v>
      </c>
      <c r="DV982" s="3262" t="s">
        <v>3262</v>
      </c>
      <c r="DW982" s="3262" t="s">
        <v>3262</v>
      </c>
      <c r="DX982" s="3262" t="s">
        <v>3262</v>
      </c>
      <c r="DY982" s="3262" t="s">
        <v>3262</v>
      </c>
      <c r="DZ982" s="3262" t="s">
        <v>3262</v>
      </c>
      <c r="EA982" s="3262" t="s">
        <v>3262</v>
      </c>
      <c r="EB982" s="3262" t="s">
        <v>3262</v>
      </c>
      <c r="EC982" s="3262" t="s">
        <v>3262</v>
      </c>
      <c r="ED982" s="3262" t="s">
        <v>3262</v>
      </c>
      <c r="EE982" s="3262" t="s">
        <v>3262</v>
      </c>
      <c r="EF982" s="3262" t="s">
        <v>3262</v>
      </c>
      <c r="EG982" s="3262" t="s">
        <v>3262</v>
      </c>
      <c r="EH982" s="3262" t="s">
        <v>3262</v>
      </c>
      <c r="EI982" s="3262" t="s">
        <v>3262</v>
      </c>
      <c r="EJ982" s="3262" t="s">
        <v>3262</v>
      </c>
      <c r="EK982" s="3262" t="s">
        <v>3262</v>
      </c>
      <c r="EL982" s="3262" t="s">
        <v>3262</v>
      </c>
      <c r="EM982" s="3262" t="s">
        <v>3262</v>
      </c>
      <c r="EN982" s="3262" t="s">
        <v>3262</v>
      </c>
      <c r="EO982" s="3262" t="s">
        <v>3262</v>
      </c>
      <c r="EP982" s="3262" t="s">
        <v>3262</v>
      </c>
      <c r="EQ982" s="3262" t="s">
        <v>3262</v>
      </c>
      <c r="ER982" s="3262" t="s">
        <v>3262</v>
      </c>
      <c r="ES982" s="3262" t="s">
        <v>3262</v>
      </c>
      <c r="ET982" s="3262" t="s">
        <v>3262</v>
      </c>
      <c r="EU982" s="3262" t="s">
        <v>3262</v>
      </c>
      <c r="EV982" s="3262" t="s">
        <v>3262</v>
      </c>
      <c r="EW982" s="3262" t="s">
        <v>3262</v>
      </c>
      <c r="EX982" s="3262" t="s">
        <v>3262</v>
      </c>
      <c r="EY982" s="3262" t="s">
        <v>3262</v>
      </c>
      <c r="EZ982" s="3262" t="s">
        <v>3262</v>
      </c>
      <c r="FA982" s="3262" t="s">
        <v>3262</v>
      </c>
      <c r="FB982" s="3262" t="s">
        <v>3262</v>
      </c>
      <c r="FC982" s="3262" t="s">
        <v>3262</v>
      </c>
      <c r="FD982" s="3262" t="s">
        <v>3262</v>
      </c>
      <c r="FE982" s="3262" t="s">
        <v>3262</v>
      </c>
      <c r="FF982" s="3262" t="s">
        <v>3262</v>
      </c>
      <c r="FG982" s="3262" t="s">
        <v>3262</v>
      </c>
      <c r="FH982" s="3262" t="s">
        <v>3262</v>
      </c>
      <c r="FI982" s="3262" t="s">
        <v>3262</v>
      </c>
      <c r="FJ982" s="3262" t="s">
        <v>3262</v>
      </c>
      <c r="FK982" s="3262" t="s">
        <v>3262</v>
      </c>
      <c r="FL982" s="3262" t="s">
        <v>3262</v>
      </c>
      <c r="FM982" s="3262" t="s">
        <v>3262</v>
      </c>
      <c r="FN982" s="3262" t="s">
        <v>3262</v>
      </c>
      <c r="FO982" s="3262" t="s">
        <v>3262</v>
      </c>
      <c r="FP982" s="3262" t="s">
        <v>3262</v>
      </c>
      <c r="FQ982" s="3262" t="s">
        <v>3262</v>
      </c>
      <c r="FR982" s="3262" t="s">
        <v>3262</v>
      </c>
      <c r="FS982" s="3262" t="s">
        <v>3262</v>
      </c>
      <c r="FT982" s="3262" t="s">
        <v>3262</v>
      </c>
      <c r="FU982" s="3262" t="s">
        <v>3262</v>
      </c>
      <c r="FV982" s="3262" t="s">
        <v>3262</v>
      </c>
      <c r="FW982" s="3262" t="s">
        <v>3262</v>
      </c>
      <c r="FX982" s="3262" t="s">
        <v>3262</v>
      </c>
      <c r="FY982" s="3262" t="s">
        <v>3262</v>
      </c>
      <c r="FZ982" s="3262" t="s">
        <v>3262</v>
      </c>
      <c r="GA982" s="3262" t="s">
        <v>3262</v>
      </c>
      <c r="GB982" s="3262" t="s">
        <v>3262</v>
      </c>
      <c r="GC982" s="3262" t="s">
        <v>3262</v>
      </c>
      <c r="GD982" s="3262" t="s">
        <v>3262</v>
      </c>
      <c r="GE982" s="3262" t="s">
        <v>3262</v>
      </c>
      <c r="GF982" s="3262" t="s">
        <v>3262</v>
      </c>
      <c r="GG982" s="3262" t="s">
        <v>3262</v>
      </c>
      <c r="GH982" s="3262" t="s">
        <v>3262</v>
      </c>
      <c r="GI982" s="3262" t="s">
        <v>3262</v>
      </c>
      <c r="GJ982" s="3262" t="s">
        <v>3262</v>
      </c>
      <c r="GK982" s="3262" t="s">
        <v>3262</v>
      </c>
      <c r="GL982" s="3262" t="s">
        <v>3262</v>
      </c>
      <c r="GM982" s="3262" t="s">
        <v>3262</v>
      </c>
      <c r="GN982" s="3262" t="s">
        <v>3262</v>
      </c>
      <c r="GO982" s="3262" t="s">
        <v>3262</v>
      </c>
      <c r="GP982" s="3262" t="s">
        <v>3262</v>
      </c>
      <c r="GQ982" s="3262" t="s">
        <v>3262</v>
      </c>
      <c r="GR982" s="3262" t="s">
        <v>3262</v>
      </c>
      <c r="GS982" s="3262" t="s">
        <v>3262</v>
      </c>
      <c r="GT982" s="3262" t="s">
        <v>3262</v>
      </c>
      <c r="GU982" s="3262" t="s">
        <v>3262</v>
      </c>
      <c r="GV982" s="3262" t="s">
        <v>3262</v>
      </c>
      <c r="GW982" s="3262" t="s">
        <v>3262</v>
      </c>
      <c r="GX982" s="3262" t="s">
        <v>3262</v>
      </c>
      <c r="GY982" s="3262" t="s">
        <v>3262</v>
      </c>
      <c r="GZ982" s="3262" t="s">
        <v>3262</v>
      </c>
      <c r="HA982" s="3262" t="s">
        <v>3262</v>
      </c>
      <c r="HB982" s="3262" t="s">
        <v>3262</v>
      </c>
      <c r="HC982" s="3262" t="s">
        <v>3262</v>
      </c>
      <c r="HD982" s="3262" t="s">
        <v>3262</v>
      </c>
      <c r="HE982" s="3262" t="s">
        <v>3262</v>
      </c>
      <c r="HF982" s="3262" t="s">
        <v>3262</v>
      </c>
      <c r="HG982" s="3262" t="s">
        <v>3262</v>
      </c>
      <c r="HH982" s="3262" t="s">
        <v>3262</v>
      </c>
      <c r="HI982" s="3262" t="s">
        <v>3262</v>
      </c>
      <c r="HJ982" s="3262" t="s">
        <v>3262</v>
      </c>
      <c r="HK982" s="3262" t="s">
        <v>3262</v>
      </c>
      <c r="HL982" s="3262" t="s">
        <v>3262</v>
      </c>
      <c r="HM982" s="3262" t="s">
        <v>3262</v>
      </c>
      <c r="HN982" s="3262" t="s">
        <v>3262</v>
      </c>
      <c r="HO982" s="3262" t="s">
        <v>3262</v>
      </c>
      <c r="HP982" s="3262" t="s">
        <v>3262</v>
      </c>
      <c r="HQ982" s="3262" t="s">
        <v>3262</v>
      </c>
      <c r="HR982" s="3262" t="s">
        <v>3262</v>
      </c>
      <c r="HS982" s="3262" t="s">
        <v>3262</v>
      </c>
      <c r="HT982" s="3262" t="s">
        <v>3262</v>
      </c>
      <c r="HU982" s="3262" t="s">
        <v>3262</v>
      </c>
      <c r="HV982" s="3262" t="s">
        <v>3262</v>
      </c>
      <c r="HW982" s="3262" t="s">
        <v>3262</v>
      </c>
      <c r="HX982" s="3262" t="s">
        <v>3262</v>
      </c>
      <c r="HY982" s="3262" t="s">
        <v>3262</v>
      </c>
      <c r="HZ982" s="3262" t="s">
        <v>3262</v>
      </c>
      <c r="IA982" s="3262" t="s">
        <v>3262</v>
      </c>
      <c r="IB982" s="3262" t="s">
        <v>3262</v>
      </c>
      <c r="IC982" s="3262" t="s">
        <v>3262</v>
      </c>
      <c r="ID982" s="3262" t="s">
        <v>3262</v>
      </c>
      <c r="IE982" s="3262" t="s">
        <v>3262</v>
      </c>
      <c r="IF982" s="3262" t="s">
        <v>3262</v>
      </c>
      <c r="IG982" s="3262" t="s">
        <v>3262</v>
      </c>
      <c r="IH982" s="3262" t="s">
        <v>3262</v>
      </c>
      <c r="II982" s="3262" t="s">
        <v>3262</v>
      </c>
      <c r="IJ982" s="3262" t="s">
        <v>3262</v>
      </c>
      <c r="IK982" s="3262" t="s">
        <v>3262</v>
      </c>
    </row>
    <row r="983" spans="1:245" hidden="1">
      <c r="A983" s="3267" t="s">
        <v>9845</v>
      </c>
      <c r="B983" s="3267" t="s">
        <v>9846</v>
      </c>
      <c r="C983" s="3269" t="s">
        <v>9847</v>
      </c>
      <c r="D983" s="3269" t="s">
        <v>9848</v>
      </c>
      <c r="E983" s="3268" t="s">
        <v>2985</v>
      </c>
      <c r="F983" s="3268" t="s">
        <v>3542</v>
      </c>
      <c r="G983" s="3267"/>
      <c r="H983" s="3267" t="s">
        <v>3124</v>
      </c>
      <c r="I983" s="3268"/>
      <c r="J983" s="3267" t="s">
        <v>9849</v>
      </c>
      <c r="K983" s="3267" t="s">
        <v>9850</v>
      </c>
      <c r="L983" s="3267">
        <v>80.06</v>
      </c>
      <c r="M983" s="3267">
        <v>2</v>
      </c>
      <c r="N983" s="3267" t="s">
        <v>3125</v>
      </c>
      <c r="O983" s="3267"/>
      <c r="P983" s="3267" t="s">
        <v>2963</v>
      </c>
      <c r="Q983" s="3271">
        <v>700000</v>
      </c>
      <c r="R983" s="3267">
        <v>8743</v>
      </c>
      <c r="S983" s="3272">
        <v>60.62</v>
      </c>
      <c r="T983" s="3273">
        <v>606200</v>
      </c>
      <c r="U983" s="3267">
        <v>7572</v>
      </c>
      <c r="V983" s="3289">
        <v>0.2</v>
      </c>
      <c r="W983" s="3272">
        <v>48.49</v>
      </c>
      <c r="X983" s="3275">
        <v>484900</v>
      </c>
      <c r="Y983" s="3276">
        <v>2006</v>
      </c>
      <c r="Z983" s="3276">
        <v>12</v>
      </c>
      <c r="AA983" s="3276">
        <v>31</v>
      </c>
      <c r="AB983" s="3267">
        <v>1500</v>
      </c>
      <c r="AC983" s="3267" t="s">
        <v>2980</v>
      </c>
      <c r="AD983" s="3280" t="s">
        <v>9851</v>
      </c>
      <c r="AE983" s="3279" t="s">
        <v>3344</v>
      </c>
      <c r="AF983" s="3267" t="s">
        <v>2966</v>
      </c>
      <c r="AG983" s="3279" t="s">
        <v>2967</v>
      </c>
      <c r="AH983" s="3267"/>
      <c r="AI983" s="3279" t="s">
        <v>2992</v>
      </c>
      <c r="AJ983" s="3284"/>
      <c r="AK983" s="3278" t="s">
        <v>3120</v>
      </c>
      <c r="AL983" s="3276">
        <v>44</v>
      </c>
      <c r="AM983" s="3267"/>
      <c r="AN983" s="3279" t="s">
        <v>3099</v>
      </c>
      <c r="AO983" s="3267"/>
      <c r="AP983" s="3279" t="s">
        <v>3305</v>
      </c>
      <c r="AQ983" s="3276" t="s">
        <v>2996</v>
      </c>
      <c r="AR983" s="3276"/>
      <c r="AS983" s="3276"/>
      <c r="AT983" s="3276"/>
      <c r="AU983" s="3276"/>
      <c r="AV983" s="3276" t="s">
        <v>2968</v>
      </c>
      <c r="AW983" s="3276" t="s">
        <v>3171</v>
      </c>
      <c r="AX983" s="3276"/>
      <c r="AY983" s="3291"/>
      <c r="AZ983" s="3267" t="s">
        <v>9850</v>
      </c>
      <c r="BA983" s="3296"/>
      <c r="BB983" s="3297"/>
      <c r="BC983" s="3296"/>
      <c r="BD983" s="3298"/>
      <c r="BE983" s="3276" t="s">
        <v>9852</v>
      </c>
      <c r="BF983" s="3281" t="s">
        <v>2968</v>
      </c>
      <c r="BG983" s="3293">
        <v>39033</v>
      </c>
      <c r="BH983" s="3267" t="s">
        <v>2998</v>
      </c>
      <c r="BI983" s="3314" t="s">
        <v>3305</v>
      </c>
      <c r="BJ983" s="3283">
        <v>39080</v>
      </c>
      <c r="BK983" s="3283"/>
      <c r="BL983" s="3267" t="s">
        <v>3249</v>
      </c>
      <c r="BM983" s="3276" t="s">
        <v>2879</v>
      </c>
      <c r="BN983" s="3276" t="s">
        <v>2999</v>
      </c>
      <c r="BO983" s="3276" t="s">
        <v>3146</v>
      </c>
      <c r="BP983" s="3276"/>
      <c r="BQ983" s="3276" t="e">
        <v>#DIV/0!</v>
      </c>
      <c r="BR983" s="3276" t="e">
        <v>#DIV/0!</v>
      </c>
      <c r="BS983" s="3285"/>
      <c r="BT983" s="3285"/>
      <c r="BU983" s="3285"/>
    </row>
  </sheetData>
  <autoFilter ref="A2:IU983" xr:uid="{F7B42416-392C-4E6D-949C-85905ECC405A}">
    <filterColumn colId="58">
      <filters>
        <filter val="2006-10-26"/>
        <filter val="2006-12-11"/>
        <filter val="2006-12-6"/>
        <filter val="2006-12-8"/>
        <dateGroupItem year="2006" dateTimeGrouping="year"/>
      </filters>
    </filterColumn>
  </autoFilter>
  <mergeCells count="1">
    <mergeCell ref="AL1:AM1"/>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3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0"/>
      <c r="C2" s="3380"/>
      <c r="D2" s="3380"/>
      <c r="E2" s="3380"/>
    </row>
    <row r="3" spans="1:5" ht="13.5" customHeight="1">
      <c r="A3" s="1362"/>
      <c r="B3" s="1362"/>
      <c r="C3" s="1362"/>
      <c r="D3" s="1362"/>
      <c r="E3" s="1362"/>
    </row>
    <row r="4" spans="1:5" ht="19.5" thickBot="1">
      <c r="A4" s="3381" t="str">
        <f>IF(项目基本情况!D5="房地产市场价值","估价结果一览表（市场价值不需本页表格)","估价结果一览表")</f>
        <v>估价结果一览表（市场价值不需本页表格)</v>
      </c>
      <c r="B4" s="3381"/>
      <c r="C4" s="3381"/>
      <c r="D4" s="3381"/>
      <c r="E4" s="3381"/>
    </row>
    <row r="5" spans="1:5" ht="14.25" customHeight="1" thickTop="1">
      <c r="A5" s="1359"/>
      <c r="B5" s="1363" t="s">
        <v>742</v>
      </c>
      <c r="C5" s="3382" t="s">
        <v>775</v>
      </c>
      <c r="D5" s="3383"/>
      <c r="E5" s="1359"/>
    </row>
    <row r="6" spans="1:5" ht="14.25">
      <c r="A6" s="1359"/>
      <c r="B6" s="1364" t="str">
        <f>项目基本情况!I1</f>
        <v>北京市房地产</v>
      </c>
      <c r="C6" s="3384">
        <f>项目基本情况!C12</f>
        <v>64.19</v>
      </c>
      <c r="D6" s="3384"/>
      <c r="E6" s="1359"/>
    </row>
    <row r="7" spans="1:5" ht="14.25">
      <c r="A7" s="1359"/>
      <c r="B7" s="3378" t="s">
        <v>776</v>
      </c>
      <c r="C7" s="1365" t="str">
        <f>IF('数据-取费表'!B3="万元","总价（万元）","总价（元）")</f>
        <v>总价（元）</v>
      </c>
      <c r="D7" s="1366">
        <f>IF('数据-取费表'!E3="否",结果表!I102,'结果表 (1修多)'!I104)</f>
        <v>0</v>
      </c>
      <c r="E7" s="1359"/>
    </row>
    <row r="8" spans="1:5" ht="14.25">
      <c r="A8" s="1359"/>
      <c r="B8" s="3378"/>
      <c r="C8" s="1367" t="s">
        <v>1162</v>
      </c>
      <c r="D8" s="1368" t="str">
        <f>IF('数据-取费表'!B3="万元",NUMBERSTRING(INT(D7*10000),2)&amp;"元整",NUMBERSTRING(INT(D7),2)&amp;"元整")</f>
        <v>零元整</v>
      </c>
      <c r="E8" s="1359"/>
    </row>
    <row r="9" spans="1:5" ht="14.25">
      <c r="A9" s="1359"/>
      <c r="B9" s="3378"/>
      <c r="C9" s="1369" t="s">
        <v>1259</v>
      </c>
      <c r="D9" s="1366" t="e">
        <f>IF('数据-取费表'!E3="否",结果表!I103,'结果表 (1修多)'!I105)</f>
        <v>#DIV/0!</v>
      </c>
      <c r="E9" s="1359"/>
    </row>
    <row r="10" spans="1:5" ht="14.25">
      <c r="A10" s="1359"/>
      <c r="B10" s="338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38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385" t="str">
        <f>IF('数据-取费表'!E3="否",结果表!F110,'结果表 (1修多)'!F112)</f>
        <v>3.房地产抵押价值</v>
      </c>
      <c r="C15" s="1360" t="str">
        <f>C7</f>
        <v>总价（元）</v>
      </c>
      <c r="D15" s="1366">
        <f>IF('数据-取费表'!E3="否",结果表!I110,'结果表 (1修多)'!I112)</f>
        <v>0</v>
      </c>
      <c r="E15" s="1359"/>
    </row>
    <row r="16" spans="1:5" ht="14.25">
      <c r="A16" s="1359"/>
      <c r="B16" s="3385"/>
      <c r="C16" s="1367" t="s">
        <v>1162</v>
      </c>
      <c r="D16" s="1366" t="str">
        <f>IF('数据-取费表'!B3="万元",NUMBERSTRING(INT(D15*10000),2)&amp;"元整",NUMBERSTRING(INT(D15),2)&amp;"元整")</f>
        <v>零元整</v>
      </c>
      <c r="E16" s="1359"/>
    </row>
    <row r="17" spans="1:5" ht="14.25">
      <c r="A17" s="1359"/>
      <c r="B17" s="3385"/>
      <c r="C17" s="1369" t="s">
        <v>1259</v>
      </c>
      <c r="D17" s="1366" t="e">
        <f>IF('数据-取费表'!E3="否",结果表!I111,'结果表 (1修多)'!I113)</f>
        <v>#DIV/0!</v>
      </c>
      <c r="E17" s="1359"/>
    </row>
    <row r="18" spans="1:5" ht="14.25">
      <c r="A18" s="1359"/>
      <c r="B18" s="3385" t="str">
        <f>IF('数据-取费表'!E3="否",结果表!F112,'结果表 (1修多)'!F114)</f>
        <v>——</v>
      </c>
      <c r="C18" s="1360" t="str">
        <f>C7</f>
        <v>总价（元）</v>
      </c>
      <c r="D18" s="1366" t="str">
        <f>IF('数据-取费表'!E3="否",结果表!I112,'结果表 (1修多)'!I114)</f>
        <v>——</v>
      </c>
      <c r="E18" s="1359"/>
    </row>
    <row r="19" spans="1:5" ht="14.25">
      <c r="A19" s="1359"/>
      <c r="B19" s="3385"/>
      <c r="C19" s="1367" t="s">
        <v>1162</v>
      </c>
      <c r="D19" s="1366" t="e">
        <f>IF('数据-取费表'!B3="万元",NUMBERSTRING(INT(D18*10000),2)&amp;"元整",NUMBERSTRING(INT(D18),2)&amp;"元整")</f>
        <v>#VALUE!</v>
      </c>
      <c r="E19" s="1359"/>
    </row>
    <row r="20" spans="1:5" ht="14.25">
      <c r="A20" s="1359"/>
      <c r="B20" s="3385"/>
      <c r="C20" s="1369" t="s">
        <v>1259</v>
      </c>
      <c r="D20" s="1366" t="str">
        <f>IF('数据-取费表'!E3="否",结果表!I113,'结果表 (1修多)'!I115)</f>
        <v>——</v>
      </c>
      <c r="E20" s="1359"/>
    </row>
    <row r="21" spans="1:5" ht="14.25">
      <c r="A21" s="1359"/>
      <c r="B21" s="3378" t="str">
        <f>IF('数据-取费表'!E3="否",结果表!F114,'结果表 (1修多)'!F116)</f>
        <v>——</v>
      </c>
      <c r="C21" s="1365" t="str">
        <f>C7</f>
        <v>总价（元）</v>
      </c>
      <c r="D21" s="1366" t="str">
        <f>IF('数据-取费表'!E3="否",结果表!I114,'结果表 (1修多)'!I116)</f>
        <v>——</v>
      </c>
      <c r="E21" s="1359"/>
    </row>
    <row r="22" spans="1:5" ht="14.25">
      <c r="A22" s="1359"/>
      <c r="B22" s="3378"/>
      <c r="C22" s="1367" t="s">
        <v>1162</v>
      </c>
      <c r="D22" s="1368" t="e">
        <f>IF('数据-取费表'!B3="万元",NUMBERSTRING(INT(D21*10000),2)&amp;"元整",NUMBERSTRING(INT(D21),2)&amp;"元整")</f>
        <v>#VALUE!</v>
      </c>
      <c r="E22" s="1359"/>
    </row>
    <row r="23" spans="1:5" ht="15" thickBot="1">
      <c r="A23" s="1359"/>
      <c r="B23" s="3379"/>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393" t="s">
        <v>1260</v>
      </c>
      <c r="C25" s="3393"/>
      <c r="D25" s="3393"/>
      <c r="E25" s="1359"/>
    </row>
    <row r="26" spans="1:5" ht="18.75" customHeight="1" thickTop="1">
      <c r="A26" s="1359"/>
      <c r="B26" s="3396" t="s">
        <v>1161</v>
      </c>
      <c r="C26" s="3397"/>
      <c r="D26" s="3394" t="s">
        <v>1160</v>
      </c>
      <c r="E26" s="1359"/>
    </row>
    <row r="27" spans="1:5" ht="18.75" customHeight="1">
      <c r="A27" s="1359"/>
      <c r="B27" s="3398"/>
      <c r="C27" s="3399"/>
      <c r="D27" s="3395"/>
      <c r="E27" s="1359"/>
    </row>
    <row r="28" spans="1:5" ht="14.25">
      <c r="A28" s="1359"/>
      <c r="B28" s="3386" t="s">
        <v>776</v>
      </c>
      <c r="C28" s="1376" t="s">
        <v>1163</v>
      </c>
      <c r="D28" s="1377">
        <f>IF('数据-取费表'!E3="否",结果表!I102,'结果表 (1修多)'!I104)</f>
        <v>0</v>
      </c>
      <c r="E28" s="1359"/>
    </row>
    <row r="29" spans="1:5" ht="14.25">
      <c r="A29" s="1359"/>
      <c r="B29" s="3387"/>
      <c r="C29" s="1378" t="s">
        <v>1162</v>
      </c>
      <c r="D29" s="1379" t="str">
        <f>IF('数据-取费表'!B3="万元",NUMBERSTRING(INT(D28*10000),2)&amp;"元整",NUMBERSTRING(INT(D28),2)&amp;"元整")</f>
        <v>零元整</v>
      </c>
      <c r="E29" s="1359"/>
    </row>
    <row r="30" spans="1:5" ht="14.25">
      <c r="A30" s="1359"/>
      <c r="B30" s="3388"/>
      <c r="C30" s="1369" t="s">
        <v>1165</v>
      </c>
      <c r="D30" s="1380" t="e">
        <f>IF('数据-取费表'!E3="否",结果表!I103,'结果表 (1修多)'!I105)</f>
        <v>#DIV/0!</v>
      </c>
      <c r="E30" s="1359"/>
    </row>
    <row r="31" spans="1:5" ht="14.25">
      <c r="A31" s="1359"/>
      <c r="B31" s="3391" t="str">
        <f>B10</f>
        <v>2.估价师所知悉的法定优先受偿款</v>
      </c>
      <c r="C31" s="1381" t="s">
        <v>1164</v>
      </c>
      <c r="D31" s="1382">
        <f>IF('数据-取费表'!E3="否",结果表!I105,'结果表 (1修多)'!I107)</f>
        <v>0</v>
      </c>
      <c r="E31" s="1359"/>
    </row>
    <row r="32" spans="1:5" ht="14.25">
      <c r="A32" s="1359"/>
      <c r="B32" s="340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389" t="str">
        <f>B15</f>
        <v>3.房地产抵押价值</v>
      </c>
      <c r="C36" s="1381" t="str">
        <f>C28</f>
        <v>总价</v>
      </c>
      <c r="D36" s="1382">
        <f>IF('数据-取费表'!E3="否",结果表!I110,'结果表 (1修多)'!I112)</f>
        <v>0</v>
      </c>
      <c r="E36" s="1359"/>
    </row>
    <row r="37" spans="1:5" ht="14.25">
      <c r="A37" s="1359"/>
      <c r="B37" s="3389"/>
      <c r="C37" s="1378" t="s">
        <v>1162</v>
      </c>
      <c r="D37" s="1383" t="str">
        <f>IF('数据-取费表'!B3="万元",NUMBERSTRING(INT(D36*10000),2)&amp;"元整",NUMBERSTRING(INT(D36),2)&amp;"元整")</f>
        <v>零元整</v>
      </c>
      <c r="E37" s="1359"/>
    </row>
    <row r="38" spans="1:5" ht="14.25">
      <c r="A38" s="1359"/>
      <c r="B38" s="3389"/>
      <c r="C38" s="1369" t="s">
        <v>1166</v>
      </c>
      <c r="D38" s="1380" t="e">
        <f>IF('数据-取费表'!E3="否",结果表!D113,'结果表 (1修多)'!D117)</f>
        <v>#DIV/0!</v>
      </c>
      <c r="E38" s="1359"/>
    </row>
    <row r="39" spans="1:5" ht="14.25">
      <c r="A39" s="1359"/>
      <c r="B39" s="3390" t="str">
        <f>B18</f>
        <v>——</v>
      </c>
      <c r="C39" s="1381" t="str">
        <f>C28</f>
        <v>总价</v>
      </c>
      <c r="D39" s="1382" t="str">
        <f>IF('数据-取费表'!E3="否",结果表!I112,'结果表 (1修多)'!I114)</f>
        <v>——</v>
      </c>
      <c r="E39" s="1359"/>
    </row>
    <row r="40" spans="1:5" ht="14.25">
      <c r="A40" s="1359"/>
      <c r="B40" s="3390"/>
      <c r="C40" s="1378" t="s">
        <v>1162</v>
      </c>
      <c r="D40" s="1383" t="e">
        <f>IF('数据-取费表'!B3="万元",NUMBERSTRING(INT(D39*10000),2)&amp;"元整",NUMBERSTRING(INT(D39),2)&amp;"元整")</f>
        <v>#VALUE!</v>
      </c>
      <c r="E40" s="1359"/>
    </row>
    <row r="41" spans="1:5" ht="14.25">
      <c r="A41" s="1359"/>
      <c r="B41" s="3390"/>
      <c r="C41" s="1369" t="s">
        <v>1166</v>
      </c>
      <c r="D41" s="1380" t="str">
        <f>IF('数据-取费表'!E3="否",结果表!D115,'结果表 (1修多)'!D119)</f>
        <v>——</v>
      </c>
      <c r="E41" s="1359"/>
    </row>
    <row r="42" spans="1:5" ht="14.25">
      <c r="A42" s="1359"/>
      <c r="B42" s="3389" t="str">
        <f>B21</f>
        <v>——</v>
      </c>
      <c r="C42" s="1381" t="str">
        <f>C28</f>
        <v>总价</v>
      </c>
      <c r="D42" s="1382" t="str">
        <f>IF('数据-取费表'!E3="否",结果表!I114,'结果表 (1修多)'!I116)</f>
        <v>——</v>
      </c>
      <c r="E42" s="1359"/>
    </row>
    <row r="43" spans="1:5" ht="14.25">
      <c r="A43" s="1359"/>
      <c r="B43" s="3391"/>
      <c r="C43" s="1378" t="s">
        <v>1162</v>
      </c>
      <c r="D43" s="1384" t="e">
        <f>IF('数据-取费表'!B3="万元",NUMBERSTRING(INT(D42*10000),2)&amp;"元整",NUMBERSTRING(INT(D42),2)&amp;"元整")</f>
        <v>#VALUE!</v>
      </c>
      <c r="E43" s="1359"/>
    </row>
    <row r="44" spans="1:5" ht="15" thickBot="1">
      <c r="A44" s="1359"/>
      <c r="B44" s="3392"/>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407" t="str">
        <f>IF(项目基本情况!D5="房地产市场价值","估价结果一览表","结果表-2")</f>
        <v>估价结果一览表</v>
      </c>
      <c r="B1" s="3407"/>
      <c r="C1" s="3407"/>
      <c r="D1" s="3407"/>
      <c r="E1" s="3407"/>
      <c r="F1" s="3407"/>
      <c r="G1" s="3407"/>
      <c r="H1" s="3407"/>
      <c r="I1" s="3407"/>
    </row>
    <row r="2" spans="1:9" ht="30" customHeight="1" thickTop="1">
      <c r="A2" s="3408" t="s">
        <v>1261</v>
      </c>
      <c r="B2" s="3408" t="s">
        <v>1262</v>
      </c>
      <c r="C2" s="3408" t="s">
        <v>1263</v>
      </c>
      <c r="D2" s="3408" t="str">
        <f>IF('数据-取费表'!E3="否",结果表!D119,'结果表 (1修多)'!D123)</f>
        <v>出让国有建设用地使用权价值</v>
      </c>
      <c r="E2" s="3408"/>
      <c r="F2" s="3408" t="s">
        <v>1264</v>
      </c>
      <c r="G2" s="3408"/>
      <c r="H2" s="3408" t="s">
        <v>1265</v>
      </c>
      <c r="I2" s="3408"/>
    </row>
    <row r="3" spans="1:9" ht="15">
      <c r="A3" s="3403"/>
      <c r="B3" s="3403"/>
      <c r="C3" s="3403"/>
      <c r="D3" s="818" t="s">
        <v>1266</v>
      </c>
      <c r="E3" s="818" t="s">
        <v>1267</v>
      </c>
      <c r="F3" s="818" t="s">
        <v>1266</v>
      </c>
      <c r="G3" s="818" t="s">
        <v>1268</v>
      </c>
      <c r="H3" s="818" t="s">
        <v>1266</v>
      </c>
      <c r="I3" s="818" t="s">
        <v>1268</v>
      </c>
    </row>
    <row r="4" spans="1:9" ht="46.5" customHeight="1">
      <c r="A4" s="818" t="str">
        <f>项目基本情况!I1</f>
        <v>北京市房地产</v>
      </c>
      <c r="B4" s="818">
        <f>结果表!B121</f>
        <v>64.19</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403" t="s">
        <v>1269</v>
      </c>
      <c r="B5" s="3403"/>
      <c r="C5" s="3403"/>
      <c r="D5" s="3401" t="str">
        <f>IF('数据-取费表'!E3="否",结果表!D122,'结果表 (1修多)'!D126)</f>
        <v>零元整</v>
      </c>
      <c r="E5" s="3401"/>
      <c r="F5" s="3401" t="str">
        <f>IF('数据-取费表'!E3="否",结果表!F122,'结果表 (1修多)'!F126)</f>
        <v>零元整</v>
      </c>
      <c r="G5" s="3401"/>
      <c r="H5" s="3401" t="str">
        <f>IF('数据-取费表'!E3="否",结果表!H122,'结果表 (1修多)'!H126)</f>
        <v>零元整</v>
      </c>
      <c r="I5" s="3401"/>
    </row>
    <row r="6" spans="1:9" ht="15.75">
      <c r="A6" s="3402" t="str">
        <f>IF('数据-取费表'!E3="否",结果表!A123,'结果表 (1修多)'!A127)</f>
        <v>——</v>
      </c>
      <c r="B6" s="3402"/>
      <c r="C6" s="3402"/>
      <c r="D6" s="3402">
        <f>IF('数据-取费表'!E3="否",结果表!D123,'结果表 (1修多)'!D127)</f>
        <v>0</v>
      </c>
      <c r="E6" s="3402"/>
      <c r="F6" s="3402"/>
      <c r="G6" s="3402"/>
      <c r="H6" s="3402"/>
      <c r="I6" s="3402"/>
    </row>
    <row r="7" spans="1:9" ht="15">
      <c r="A7" s="3403" t="s">
        <v>1269</v>
      </c>
      <c r="B7" s="3403"/>
      <c r="C7" s="3403"/>
      <c r="D7" s="3404">
        <f>IF('数据-取费表'!E3="否",结果表!D124,'结果表 (1修多)'!D128)</f>
        <v>0</v>
      </c>
      <c r="E7" s="3405"/>
      <c r="F7" s="3405"/>
      <c r="G7" s="3405"/>
      <c r="H7" s="3405"/>
      <c r="I7" s="3406"/>
    </row>
    <row r="8" spans="1:9" ht="15.75">
      <c r="A8" s="3402" t="str">
        <f>IF('数据-取费表'!E3="否",结果表!A125,'结果表 (1修多)'!A129)</f>
        <v>——</v>
      </c>
      <c r="B8" s="3402"/>
      <c r="C8" s="3402"/>
      <c r="D8" s="3402">
        <f>IF('数据-取费表'!E3="否",结果表!D125,'结果表 (1修多)'!D129)</f>
        <v>0</v>
      </c>
      <c r="E8" s="3402"/>
      <c r="F8" s="3402"/>
      <c r="G8" s="3402"/>
      <c r="H8" s="3402"/>
      <c r="I8" s="3402"/>
    </row>
    <row r="9" spans="1:9" ht="15">
      <c r="A9" s="3403" t="s">
        <v>1269</v>
      </c>
      <c r="B9" s="3403"/>
      <c r="C9" s="3403"/>
      <c r="D9" s="3401" t="e">
        <f>IF('数据-取费表'!E3="否",结果表!D126,'结果表 (1修多)'!D130)</f>
        <v>#DIV/0!</v>
      </c>
      <c r="E9" s="3401"/>
      <c r="F9" s="3401"/>
      <c r="G9" s="3401"/>
      <c r="H9" s="3401"/>
      <c r="I9" s="3401"/>
    </row>
    <row r="10" spans="1:9" ht="15.75">
      <c r="A10" s="3402" t="str">
        <f>IF('数据-取费表'!E3="否",结果表!A127,'结果表 (1修多)'!A131)</f>
        <v>——</v>
      </c>
      <c r="B10" s="3402"/>
      <c r="C10" s="3402"/>
      <c r="D10" s="3402" t="e">
        <f>IF('数据-取费表'!E3="否",结果表!D127,'结果表 (1修多)'!D130)</f>
        <v>#DIV/0!</v>
      </c>
      <c r="E10" s="3402"/>
      <c r="F10" s="3402"/>
      <c r="G10" s="3402"/>
      <c r="H10" s="3402"/>
      <c r="I10" s="3402"/>
    </row>
    <row r="11" spans="1:9" ht="15">
      <c r="A11" s="3403" t="s">
        <v>1269</v>
      </c>
      <c r="B11" s="3403"/>
      <c r="C11" s="3403"/>
      <c r="D11" s="3401" t="str">
        <f>IF('数据-取费表'!E3="否",结果表!D128,'结果表 (1修多)'!D132)</f>
        <v>——</v>
      </c>
      <c r="E11" s="3401"/>
      <c r="F11" s="3401"/>
      <c r="G11" s="3401"/>
      <c r="H11" s="3401"/>
      <c r="I11" s="3401"/>
    </row>
    <row r="12" spans="1:9" ht="15.75">
      <c r="A12" s="3402" t="str">
        <f>IF('数据-取费表'!E3="否",结果表!A129,'结果表 (1修多)'!A133)</f>
        <v>——</v>
      </c>
      <c r="B12" s="3402"/>
      <c r="C12" s="3402"/>
      <c r="D12" s="3402" t="str">
        <f>IF('数据-取费表'!E3="否",结果表!D129,'结果表 (1修多)'!D133)</f>
        <v>——</v>
      </c>
      <c r="E12" s="3402"/>
      <c r="F12" s="3402"/>
      <c r="G12" s="3402"/>
      <c r="H12" s="3402"/>
      <c r="I12" s="3402"/>
    </row>
    <row r="13" spans="1:9" ht="15.75" thickBot="1">
      <c r="A13" s="3409" t="s">
        <v>1269</v>
      </c>
      <c r="B13" s="3409"/>
      <c r="C13" s="3409"/>
      <c r="D13" s="3410">
        <f>IF('数据-取费表'!E3="否",结果表!D130,'结果表 (1修多)'!D134)</f>
        <v>0</v>
      </c>
      <c r="E13" s="3410"/>
      <c r="F13" s="3410"/>
      <c r="G13" s="3410"/>
      <c r="H13" s="3410"/>
      <c r="I13" s="3410"/>
    </row>
    <row r="14" spans="1:9" ht="15" thickTop="1">
      <c r="A14" s="3411" t="str">
        <f>IF('数据-取费表'!E3="否",结果表!A131,'结果表 (1修多)'!A135)</f>
        <v>单位：平方米、元、元/平方米（币种：人民币）</v>
      </c>
      <c r="B14" s="3411"/>
      <c r="C14" s="3411"/>
      <c r="D14" s="3411"/>
      <c r="E14" s="3411"/>
      <c r="F14" s="3411"/>
      <c r="G14" s="3411"/>
      <c r="H14" s="3411"/>
      <c r="I14" s="341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416" t="s">
        <v>1282</v>
      </c>
      <c r="B1" s="3416"/>
      <c r="C1" s="3416"/>
      <c r="D1" s="3416"/>
    </row>
    <row r="2" spans="1:4" ht="18">
      <c r="A2" s="3415" t="s">
        <v>1271</v>
      </c>
      <c r="B2" s="3415"/>
      <c r="C2" s="3415"/>
      <c r="D2" s="3415"/>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415" t="s">
        <v>1276</v>
      </c>
      <c r="B7" s="3415"/>
      <c r="C7" s="3415"/>
      <c r="D7" s="341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412" t="s">
        <v>2737</v>
      </c>
      <c r="B12" s="3414"/>
      <c r="C12" s="3414"/>
      <c r="D12" s="3414"/>
    </row>
    <row r="13" spans="1:4" ht="15.75">
      <c r="A13" s="34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14"/>
      <c r="C13" s="3414"/>
      <c r="D13" s="3414"/>
    </row>
    <row r="14" spans="1:4" ht="30" customHeight="1">
      <c r="A14" s="3412" t="str">
        <f>IF(项目基本情况!D4="抵押","3.抵押双方在办理抵押登记手续时，应使用本公司出具的正式《不动产估价报告书》，特提醒报告使用者注意。","——")</f>
        <v>——</v>
      </c>
      <c r="B14" s="3414"/>
      <c r="C14" s="3414"/>
      <c r="D14" s="3414"/>
    </row>
    <row r="15" spans="1:4" ht="15.75" customHeight="1">
      <c r="A15" s="3412" t="str">
        <f>IF(项目基本情况!D4="抵押","4.本次评估估价师所知悉的法定优先受偿款情况说明如下：","——")</f>
        <v>——</v>
      </c>
      <c r="B15" s="3414"/>
      <c r="C15" s="3414"/>
      <c r="D15" s="3414"/>
    </row>
    <row r="16" spans="1:4" ht="75" customHeight="1">
      <c r="A16" s="3412" t="str">
        <f>IF(项目基本情况!D4="抵押",CONCATENATE(项目基本情况!J13,项目基本情况!J14,项目基本情况!J15),"——")</f>
        <v>——</v>
      </c>
      <c r="B16" s="3412"/>
      <c r="C16" s="3412"/>
      <c r="D16" s="3412"/>
    </row>
    <row r="17" spans="1:4" ht="63.75" customHeight="1">
      <c r="A17" s="3413" t="s">
        <v>1284</v>
      </c>
      <c r="B17" s="3413"/>
      <c r="C17" s="3413"/>
      <c r="D17" s="3413"/>
    </row>
    <row r="18" spans="1:4" ht="15.75" customHeight="1">
      <c r="A18" s="3412" t="str">
        <f>IF(项目基本情况!D4="抵押",结果表!L106,"——")</f>
        <v>——</v>
      </c>
      <c r="B18" s="3412"/>
      <c r="C18" s="3412"/>
      <c r="D18" s="3412"/>
    </row>
    <row r="19" spans="1:4" ht="46.5" customHeight="1">
      <c r="A19" s="34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2"/>
      <c r="C19" s="3412"/>
      <c r="D19" s="3412"/>
    </row>
    <row r="20" spans="1:4" ht="15">
      <c r="A20" s="3413" t="s">
        <v>2738</v>
      </c>
      <c r="B20" s="3413"/>
      <c r="C20" s="3413"/>
      <c r="D20" s="341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422" t="s">
        <v>1363</v>
      </c>
      <c r="B15" s="3417" t="s">
        <v>1364</v>
      </c>
      <c r="C15" s="3418"/>
    </row>
    <row r="16" spans="1:7" ht="14.25">
      <c r="A16" s="3423"/>
      <c r="B16" s="3417" t="s">
        <v>1365</v>
      </c>
      <c r="C16" s="3418"/>
    </row>
    <row r="17" spans="1:3" ht="14.25">
      <c r="A17" s="3423"/>
      <c r="B17" s="3417" t="s">
        <v>1366</v>
      </c>
      <c r="C17" s="3418"/>
    </row>
    <row r="18" spans="1:3" ht="14.25">
      <c r="A18" s="3424"/>
      <c r="B18" s="3419" t="s">
        <v>1367</v>
      </c>
      <c r="C18" s="3418"/>
    </row>
    <row r="19" spans="1:3" ht="14.25">
      <c r="A19" s="1412" t="s">
        <v>1368</v>
      </c>
      <c r="B19" s="1413"/>
      <c r="C19" s="1414"/>
    </row>
    <row r="20" spans="1:3" ht="14.25">
      <c r="A20" s="3420" t="s">
        <v>1369</v>
      </c>
      <c r="B20" s="3419" t="s">
        <v>1370</v>
      </c>
      <c r="C20" s="3418"/>
    </row>
    <row r="21" spans="1:3" ht="14.25">
      <c r="A21" s="3420"/>
      <c r="B21" s="3419" t="s">
        <v>1371</v>
      </c>
      <c r="C21" s="3418"/>
    </row>
    <row r="22" spans="1:3" ht="14.25">
      <c r="A22" s="3420"/>
      <c r="B22" s="3419" t="s">
        <v>1372</v>
      </c>
      <c r="C22" s="3418"/>
    </row>
    <row r="23" spans="1:3" ht="14.25">
      <c r="A23" s="3420"/>
      <c r="B23" s="3421" t="s">
        <v>1373</v>
      </c>
      <c r="C23" s="1415" t="s">
        <v>1374</v>
      </c>
    </row>
    <row r="24" spans="1:3" ht="14.25">
      <c r="A24" s="3420"/>
      <c r="B24" s="3421"/>
      <c r="C24" s="1415" t="s">
        <v>1375</v>
      </c>
    </row>
    <row r="25" spans="1:3" ht="14.25">
      <c r="A25" s="3420"/>
      <c r="B25" s="3421"/>
      <c r="C25" s="1415" t="s">
        <v>1376</v>
      </c>
    </row>
    <row r="26" spans="1:3" ht="14.25">
      <c r="A26" s="3420"/>
      <c r="B26" s="3421"/>
      <c r="C26" s="1415" t="s">
        <v>1377</v>
      </c>
    </row>
    <row r="27" spans="1:3" ht="14.25">
      <c r="A27" s="3420"/>
      <c r="B27" s="3421"/>
      <c r="C27" s="1415" t="s">
        <v>1378</v>
      </c>
    </row>
    <row r="28" spans="1:3" ht="14.25">
      <c r="A28" s="3420"/>
      <c r="B28" s="3421"/>
      <c r="C28" s="1415" t="s">
        <v>1379</v>
      </c>
    </row>
    <row r="29" spans="1:3" ht="14.25">
      <c r="A29" s="3420"/>
      <c r="B29" s="3421"/>
      <c r="C29" s="1415" t="s">
        <v>1380</v>
      </c>
    </row>
    <row r="30" spans="1:3" ht="14.25">
      <c r="A30" s="3420"/>
      <c r="B30" s="3421"/>
      <c r="C30" s="1415" t="s">
        <v>1381</v>
      </c>
    </row>
    <row r="31" spans="1:3" ht="14.25">
      <c r="A31" s="3420"/>
      <c r="B31" s="34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44614</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f ca="1">IF(C4&lt;B2,"已过期",1119970066)</f>
        <v>1119970066</v>
      </c>
      <c r="C4" s="3068">
        <v>44876</v>
      </c>
      <c r="D4" s="3079" t="str">
        <f ca="1">A4&amp;"（注册号："&amp;B4&amp;"）"</f>
        <v>梁津（注册号：1119970066）</v>
      </c>
      <c r="E4" s="3081" t="s">
        <v>753</v>
      </c>
      <c r="F4" s="1301">
        <f ca="1">IF(G4&lt;B2,"已过期",96010014)</f>
        <v>96010014</v>
      </c>
      <c r="G4" s="3069">
        <v>47118</v>
      </c>
      <c r="H4" s="3070" t="str">
        <f ca="1">E4&amp;"（注册号："&amp;F4&amp;"）"</f>
        <v>梁津（注册号：96010014）</v>
      </c>
    </row>
    <row r="5" spans="1:8" ht="24" customHeight="1">
      <c r="A5" s="1301" t="s">
        <v>754</v>
      </c>
      <c r="B5" s="1301">
        <f ca="1">IF(C5&lt;B2,"已过期",1119970111)</f>
        <v>1119970111</v>
      </c>
      <c r="C5" s="3068">
        <v>44876</v>
      </c>
      <c r="D5" s="3079" t="str">
        <f t="shared" ref="D5:D14" ca="1" si="0">A5&amp;"（注册号："&amp;B5&amp;"）"</f>
        <v>叶凌（注册号：1119970111）</v>
      </c>
      <c r="E5" s="3081" t="s">
        <v>754</v>
      </c>
      <c r="F5" s="1301">
        <f ca="1">IF(G5&lt;B2,"已过期",94010078)</f>
        <v>94010078</v>
      </c>
      <c r="G5" s="3069">
        <v>46387</v>
      </c>
      <c r="H5" s="3070" t="str">
        <f t="shared" ref="H5:H16" ca="1" si="1">E5&amp;"（注册号："&amp;F5&amp;"）"</f>
        <v>叶凌（注册号：94010078）</v>
      </c>
    </row>
    <row r="6" spans="1:8" ht="24" customHeight="1">
      <c r="A6" s="1301" t="s">
        <v>755</v>
      </c>
      <c r="B6" s="1301" t="str">
        <f ca="1">IF(C6&lt;B2,"已过期",1120050019)</f>
        <v>已过期</v>
      </c>
      <c r="C6" s="3068">
        <v>44395</v>
      </c>
      <c r="D6" s="3079" t="str">
        <f t="shared" ca="1" si="0"/>
        <v>王鹏（注册号：已过期）</v>
      </c>
      <c r="E6" s="3081" t="s">
        <v>755</v>
      </c>
      <c r="F6" s="1301">
        <f ca="1">IF(G6&lt;B2,"已过期",2002110030)</f>
        <v>2002110030</v>
      </c>
      <c r="G6" s="3069">
        <v>46387</v>
      </c>
      <c r="H6" s="3070" t="str">
        <f t="shared" ca="1" si="1"/>
        <v>王鹏（注册号：2002110030）</v>
      </c>
    </row>
    <row r="7" spans="1:8" ht="24" customHeight="1">
      <c r="A7" s="1301" t="s">
        <v>756</v>
      </c>
      <c r="B7" s="1301">
        <f ca="1">IF(C7&lt;B2,"已过期",1120000080)</f>
        <v>1120000080</v>
      </c>
      <c r="C7" s="3068">
        <v>44876</v>
      </c>
      <c r="D7" s="3079" t="str">
        <f t="shared" ca="1" si="0"/>
        <v>欧红伟（注册号：1120000080）</v>
      </c>
      <c r="E7" s="3081" t="s">
        <v>756</v>
      </c>
      <c r="F7" s="1301">
        <f ca="1">IF(G7&lt;B2,"已过期",2000110082)</f>
        <v>2000110082</v>
      </c>
      <c r="G7" s="3069">
        <v>46387</v>
      </c>
      <c r="H7" s="3070" t="str">
        <f t="shared" ca="1" si="1"/>
        <v>欧红伟（注册号：2000110082）</v>
      </c>
    </row>
    <row r="8" spans="1:8" ht="24" customHeight="1">
      <c r="A8" s="1301" t="s">
        <v>757</v>
      </c>
      <c r="B8" s="1301">
        <f ca="1">IF(C8&lt;B2,"已过期",1419970001)</f>
        <v>1419970001</v>
      </c>
      <c r="C8" s="3068">
        <v>44899</v>
      </c>
      <c r="D8" s="3079" t="str">
        <f t="shared" ca="1" si="0"/>
        <v>吴薇（注册号：1419970001）</v>
      </c>
      <c r="E8" s="3081" t="s">
        <v>757</v>
      </c>
      <c r="F8" s="1301">
        <f ca="1">IF(G8&lt;B2,"已过期",2002110125)</f>
        <v>2002110125</v>
      </c>
      <c r="G8" s="3069">
        <v>47118</v>
      </c>
      <c r="H8" s="3070" t="str">
        <f t="shared" ca="1" si="1"/>
        <v>吴薇（注册号：2002110125）</v>
      </c>
    </row>
    <row r="9" spans="1:8" ht="24" customHeight="1">
      <c r="A9" s="1301" t="s">
        <v>758</v>
      </c>
      <c r="B9" s="1301" t="str">
        <f ca="1">IF(C9&lt;B2,"已过期",1120060040)</f>
        <v>已过期</v>
      </c>
      <c r="C9" s="3071">
        <v>44554</v>
      </c>
      <c r="D9" s="3079" t="str">
        <f t="shared" ca="1" si="0"/>
        <v>陈颖（注册号：已过期）</v>
      </c>
      <c r="E9" s="3081" t="s">
        <v>758</v>
      </c>
      <c r="F9" s="1301">
        <f ca="1">IF(G9&lt;B2,"已过期",2004110096)</f>
        <v>2004110096</v>
      </c>
      <c r="G9" s="3069">
        <v>47118</v>
      </c>
      <c r="H9" s="3070" t="str">
        <f t="shared" ca="1" si="1"/>
        <v>陈颖（注册号：2004110096）</v>
      </c>
    </row>
    <row r="10" spans="1:8" ht="24" customHeight="1">
      <c r="A10" s="1301" t="s">
        <v>759</v>
      </c>
      <c r="B10" s="1301">
        <f ca="1">IF(C10&lt;B2,"已过期",1120100036)</f>
        <v>1120100036</v>
      </c>
      <c r="C10" s="3071">
        <v>44675</v>
      </c>
      <c r="D10" s="3079" t="str">
        <f t="shared" ca="1" si="0"/>
        <v>崔锴（注册号：1120100036）</v>
      </c>
      <c r="E10" s="3081" t="s">
        <v>759</v>
      </c>
      <c r="F10" s="1301">
        <f ca="1">IF(G10&lt;B2,"已过期",2010110070)</f>
        <v>2010110070</v>
      </c>
      <c r="G10" s="3069">
        <v>47907</v>
      </c>
      <c r="H10" s="3070" t="str">
        <f t="shared" ca="1" si="1"/>
        <v>崔锴（注册号：2010110070）</v>
      </c>
    </row>
    <row r="11" spans="1:8" ht="24" customHeight="1">
      <c r="A11" s="1301" t="s">
        <v>760</v>
      </c>
      <c r="B11" s="1301">
        <f ca="1">IF(C11&lt;B2,"已过期",1120070131)</f>
        <v>1120070131</v>
      </c>
      <c r="C11" s="3068">
        <v>44849</v>
      </c>
      <c r="D11" s="3079" t="str">
        <f t="shared" ca="1" si="0"/>
        <v>郑燚（注册号：1120070131）</v>
      </c>
      <c r="E11" s="3081" t="s">
        <v>760</v>
      </c>
      <c r="F11" s="1301">
        <f ca="1">IF(G11&lt;B2,"已过期",2014110011)</f>
        <v>2014110011</v>
      </c>
      <c r="G11" s="3069">
        <v>49302</v>
      </c>
      <c r="H11" s="3070" t="str">
        <f t="shared" ca="1" si="1"/>
        <v>郑燚（注册号：2014110011）</v>
      </c>
    </row>
    <row r="12" spans="1:8" ht="24" customHeight="1">
      <c r="A12" s="1301" t="s">
        <v>2713</v>
      </c>
      <c r="B12" s="1301">
        <f ca="1">IF(C12&lt;B2,"已过期",1120040230)</f>
        <v>1120040230</v>
      </c>
      <c r="C12" s="3071">
        <v>44864</v>
      </c>
      <c r="D12" s="3079" t="str">
        <f t="shared" ca="1" si="0"/>
        <v>苏海（注册号：1120040230）</v>
      </c>
      <c r="E12" s="3081" t="s">
        <v>2713</v>
      </c>
      <c r="F12" s="1301">
        <f ca="1">IF(G12&lt;B2,"已过期",98030020)</f>
        <v>98030020</v>
      </c>
      <c r="G12" s="3069">
        <v>47118</v>
      </c>
      <c r="H12" s="3070" t="str">
        <f t="shared" ca="1" si="1"/>
        <v>苏海（注册号：98030020）</v>
      </c>
    </row>
    <row r="13" spans="1:8" ht="24" customHeight="1">
      <c r="A13" s="1301" t="s">
        <v>761</v>
      </c>
      <c r="B13" s="1301" t="str">
        <f ca="1">IF(C13&lt;B2,"已过期",1120020033)</f>
        <v>已过期</v>
      </c>
      <c r="C13" s="3068">
        <v>44339</v>
      </c>
      <c r="D13" s="3079" t="str">
        <f t="shared" ca="1" si="0"/>
        <v>刘敬东（注册号：已过期）</v>
      </c>
      <c r="E13" s="3081" t="s">
        <v>761</v>
      </c>
      <c r="F13" s="1301">
        <f ca="1">IF(G13&lt;B2,"已过期",2000110137)</f>
        <v>2000110137</v>
      </c>
      <c r="G13" s="3069">
        <v>46387</v>
      </c>
      <c r="H13" s="3070" t="str">
        <f t="shared" ca="1" si="1"/>
        <v>刘敬东（注册号：2000110137）</v>
      </c>
    </row>
    <row r="14" spans="1:8" ht="24" customHeight="1">
      <c r="A14" s="1301" t="s">
        <v>2730</v>
      </c>
      <c r="B14" s="1301">
        <f ca="1">IF(C14&lt;B2,"已过期",1119980106)</f>
        <v>1119980106</v>
      </c>
      <c r="C14" s="3071">
        <v>44969</v>
      </c>
      <c r="D14" s="3079" t="str">
        <f t="shared" ca="1" si="0"/>
        <v>刘俊财（注册号：1119980106）</v>
      </c>
      <c r="E14" s="3081" t="s">
        <v>2830</v>
      </c>
      <c r="F14" s="1301">
        <f ca="1">IF(G14&lt;B2,"已过期",96010063)</f>
        <v>96010063</v>
      </c>
      <c r="G14" s="3069">
        <v>47483</v>
      </c>
      <c r="H14" s="3070" t="str">
        <f t="shared" ca="1" si="1"/>
        <v>刘俊财（注册号：96010063）</v>
      </c>
    </row>
    <row r="15" spans="1:8" ht="24" customHeight="1">
      <c r="A15" s="1301"/>
      <c r="B15" s="1301"/>
      <c r="C15" s="3071"/>
      <c r="D15" s="3079" t="str">
        <f t="shared" ref="D15" si="2">A15&amp;"（注册号："&amp;B15&amp;"）"</f>
        <v>（注册号：）</v>
      </c>
      <c r="E15" s="3081" t="s">
        <v>2834</v>
      </c>
      <c r="F15" s="1301">
        <f ca="1">IF(G15&lt;B2,"已过期",2011110090)</f>
        <v>2011110090</v>
      </c>
      <c r="G15" s="3069">
        <v>48302</v>
      </c>
      <c r="H15" s="3070" t="str">
        <f t="shared" ref="H15" ca="1" si="3">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3425" t="s">
        <v>762</v>
      </c>
      <c r="B17" s="3425"/>
      <c r="C17" s="3425"/>
      <c r="D17" s="3425"/>
      <c r="E17" s="3425"/>
      <c r="F17" s="3425"/>
      <c r="G17" s="3425"/>
      <c r="H17" s="3425"/>
    </row>
    <row r="18" spans="1:8" ht="24" customHeight="1">
      <c r="A18" s="3426" t="s">
        <v>763</v>
      </c>
      <c r="B18" s="3426"/>
      <c r="C18" s="3426"/>
      <c r="D18" s="3067"/>
      <c r="E18" s="3427" t="s">
        <v>764</v>
      </c>
      <c r="F18" s="3426"/>
      <c r="G18" s="3426"/>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2831</v>
      </c>
      <c r="B20" s="3074" t="s">
        <v>2832</v>
      </c>
      <c r="C20" s="3069">
        <v>44820</v>
      </c>
      <c r="D20" s="3082"/>
      <c r="E20" s="3084" t="s">
        <v>768</v>
      </c>
      <c r="F20" s="3074" t="s">
        <v>769</v>
      </c>
      <c r="G20" s="3075">
        <v>44377</v>
      </c>
    </row>
    <row r="21" spans="1:8" s="3057" customFormat="1" ht="24" customHeight="1">
      <c r="A21" s="3074"/>
      <c r="B21" s="3074"/>
      <c r="C21" s="3076"/>
      <c r="D21" s="3083"/>
      <c r="E21" s="3084" t="s">
        <v>770</v>
      </c>
      <c r="F21" s="3077" t="s">
        <v>2729</v>
      </c>
      <c r="G21" s="3078">
        <v>44012</v>
      </c>
    </row>
    <row r="22" spans="1:8" ht="24" customHeight="1">
      <c r="C22" s="3060"/>
      <c r="D22" s="3060"/>
      <c r="E22" s="3085"/>
      <c r="F22" s="3086"/>
      <c r="G22" s="3087"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4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本次估价的“房地产价值”是指在正常市场情况下，在价值时点2006年10月14日，估价对象规划用途为，假定未设立法定优先受偿款下的房地产市场价值。</v>
      </c>
    </row>
    <row r="54" spans="1:4">
      <c r="A54" s="3428"/>
      <c r="B54" s="9" t="s">
        <v>1519</v>
      </c>
      <c r="C54" s="9" t="s">
        <v>1520</v>
      </c>
    </row>
    <row r="55" spans="1:4">
      <c r="A55" s="3428"/>
      <c r="B55" s="9" t="s">
        <v>1521</v>
      </c>
      <c r="C55" s="9" t="s">
        <v>1522</v>
      </c>
    </row>
    <row r="56" spans="1:4">
      <c r="A56" s="3428"/>
      <c r="B56" s="9" t="s">
        <v>1523</v>
      </c>
      <c r="C56" s="9" t="s">
        <v>1524</v>
      </c>
    </row>
    <row r="57" spans="1:4">
      <c r="A57" s="34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2022-02-22T05:36:32Z</dcterms:modified>
</cp:coreProperties>
</file>